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https://mailmissouri.sharepoint.com/sites/MissouriAgFoodandForestryInnovationCenterTeam-Ogrp/Shared Documents/FSA Urban and Innovative Ag/Specialty Crop Budgets and Resources/Chestnuts/"/>
    </mc:Choice>
  </mc:AlternateContent>
  <xr:revisionPtr revIDLastSave="955" documentId="8_{A4C0DABA-5582-48D7-B66C-326549215AF2}" xr6:coauthVersionLast="47" xr6:coauthVersionMax="47" xr10:uidLastSave="{C1241031-208A-4C36-BB6C-BE39BC567FDC}"/>
  <bookViews>
    <workbookView xWindow="53880" yWindow="-5025" windowWidth="29040" windowHeight="16440" firstSheet="1" activeTab="7" xr2:uid="{6113B597-C308-46FA-B2FF-51B5194229FA}"/>
  </bookViews>
  <sheets>
    <sheet name="Leafy greens (DWC) (2)" sheetId="21" state="hidden" r:id="rId1"/>
    <sheet name="Introduction" sheetId="22" r:id="rId2"/>
    <sheet name="Inputs" sheetId="25" r:id="rId3"/>
    <sheet name="Investment" sheetId="37" r:id="rId4"/>
    <sheet name="Labor" sheetId="36" r:id="rId5"/>
    <sheet name="Establishment" sheetId="30" r:id="rId6"/>
    <sheet name="Production" sheetId="32" r:id="rId7"/>
    <sheet name="Long-term Model Summary" sheetId="34" r:id="rId8"/>
  </sheets>
  <definedNames>
    <definedName name="BudgetActivities" localSheetId="5">Establishment!#REF!</definedName>
    <definedName name="BudgetActivities" localSheetId="0">'Leafy greens (DWC) (2)'!$N$6:$V$36</definedName>
    <definedName name="BudgetActivities" localSheetId="6">Production!$Q$5:$U$38</definedName>
    <definedName name="BudgetActivities">#REF!</definedName>
    <definedName name="CustomActivities">#REF!</definedName>
    <definedName name="CustomImps" localSheetId="5">#REF!</definedName>
    <definedName name="CustomImps" localSheetId="0">#REF!</definedName>
    <definedName name="CustomImps" localSheetId="6">#REF!</definedName>
    <definedName name="CustomImps">#REF!</definedName>
    <definedName name="Implements" localSheetId="5">#REF!</definedName>
    <definedName name="Implements" localSheetId="0">#REF!</definedName>
    <definedName name="Implements" localSheetId="6">#REF!</definedName>
    <definedName name="Implements">#REF!</definedName>
    <definedName name="_xlnm.Print_Area" localSheetId="5">Establishment!$B$1:$J$38</definedName>
    <definedName name="_xlnm.Print_Area" localSheetId="2">Inputs!$B$13:$H$33</definedName>
    <definedName name="_xlnm.Print_Area" localSheetId="1">Introduction!$B$2:$F$16</definedName>
    <definedName name="_xlnm.Print_Area" localSheetId="3">Investment!$B$1:$D$36,Investment!$G$1:$P$21,Investment!$G$23:$P$53</definedName>
    <definedName name="_xlnm.Print_Area" localSheetId="4">Labor!$A$1:$D$9,Labor!$F$1:$P$9</definedName>
    <definedName name="_xlnm.Print_Area" localSheetId="7">'Long-term Model Summary'!$A$1:$I$35,'Long-term Model Summary'!$J$1:$M$6</definedName>
    <definedName name="_xlnm.Print_Area" localSheetId="6">Production!$B$1:$G$46,Production!$I$2:$Q$12</definedName>
    <definedName name="ss">#REF!</definedName>
    <definedName name="ww" localSheetId="0">#REF!</definedName>
    <definedName name="ww">#REF!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30" l="1"/>
  <c r="C28" i="37"/>
  <c r="C13" i="36" l="1"/>
  <c r="D13" i="36"/>
  <c r="F13" i="36"/>
  <c r="B13" i="36"/>
  <c r="J39" i="37"/>
  <c r="J19" i="37"/>
  <c r="P37" i="37"/>
  <c r="M37" i="37"/>
  <c r="N37" i="37"/>
  <c r="P17" i="37"/>
  <c r="N17" i="37"/>
  <c r="M17" i="37"/>
  <c r="L2" i="34"/>
  <c r="D16" i="30" l="1"/>
  <c r="N12" i="34" l="1"/>
  <c r="E13" i="36" s="1"/>
  <c r="O10" i="34"/>
  <c r="L14" i="34"/>
  <c r="M14" i="34"/>
  <c r="O14" i="34"/>
  <c r="K14" i="34"/>
  <c r="M10" i="34"/>
  <c r="L10" i="34"/>
  <c r="K10" i="34"/>
  <c r="N10" i="34" l="1"/>
  <c r="N14" i="34"/>
  <c r="I10" i="30"/>
  <c r="F10" i="30"/>
  <c r="P34" i="37" l="1"/>
  <c r="M34" i="37"/>
  <c r="N34" i="37"/>
  <c r="M15" i="37"/>
  <c r="N15" i="37"/>
  <c r="P15" i="37"/>
  <c r="J50" i="37"/>
  <c r="J46" i="37"/>
  <c r="J47" i="37"/>
  <c r="J48" i="37"/>
  <c r="J49" i="37"/>
  <c r="J51" i="37"/>
  <c r="J52" i="37"/>
  <c r="J45" i="37"/>
  <c r="J53" i="37" l="1"/>
  <c r="B48" i="36"/>
  <c r="C10" i="36"/>
  <c r="J35" i="37" l="1"/>
  <c r="J40" i="37" s="1"/>
  <c r="J14" i="37"/>
  <c r="J20" i="37" s="1"/>
  <c r="J4" i="32"/>
  <c r="E5" i="32"/>
  <c r="N38" i="37"/>
  <c r="M38" i="37"/>
  <c r="N36" i="37"/>
  <c r="M36" i="37"/>
  <c r="P38" i="37"/>
  <c r="P36" i="37"/>
  <c r="P18" i="37"/>
  <c r="P16" i="37"/>
  <c r="N18" i="37"/>
  <c r="M18" i="37"/>
  <c r="N16" i="37"/>
  <c r="M16" i="37"/>
  <c r="AA4" i="25"/>
  <c r="AB4" i="25" s="1"/>
  <c r="AA5" i="25"/>
  <c r="AB5" i="25" s="1"/>
  <c r="AA6" i="25"/>
  <c r="AB6" i="25" s="1"/>
  <c r="AA9" i="25"/>
  <c r="AB9" i="25" s="1"/>
  <c r="AA10" i="25"/>
  <c r="AB10" i="25" s="1"/>
  <c r="AB36" i="25"/>
  <c r="AC36" i="25"/>
  <c r="C52" i="36"/>
  <c r="B52" i="36"/>
  <c r="C51" i="36"/>
  <c r="J4" i="36"/>
  <c r="J3" i="36"/>
  <c r="E4" i="36"/>
  <c r="D51" i="36" l="1"/>
  <c r="P35" i="37"/>
  <c r="P14" i="37"/>
  <c r="J21" i="37"/>
  <c r="O44" i="37" s="1"/>
  <c r="M35" i="37"/>
  <c r="M14" i="37"/>
  <c r="N35" i="37"/>
  <c r="N14" i="37"/>
  <c r="Y14" i="25"/>
  <c r="J41" i="37"/>
  <c r="N45" i="37" s="1"/>
  <c r="E30" i="30"/>
  <c r="O25" i="30"/>
  <c r="Y15" i="25" l="1"/>
  <c r="O45" i="37"/>
  <c r="N44" i="37"/>
  <c r="F4" i="30"/>
  <c r="C58" i="37"/>
  <c r="D12" i="37"/>
  <c r="Y16" i="25" s="1"/>
  <c r="AB16" i="25" l="1"/>
  <c r="AC16" i="25"/>
  <c r="C59" i="37"/>
  <c r="C60" i="37" s="1"/>
  <c r="E51" i="36"/>
  <c r="I30" i="36"/>
  <c r="J30" i="36"/>
  <c r="K30" i="36"/>
  <c r="L30" i="36"/>
  <c r="M30" i="36"/>
  <c r="N30" i="36"/>
  <c r="O30" i="36"/>
  <c r="P30" i="36"/>
  <c r="Q30" i="36"/>
  <c r="R30" i="36"/>
  <c r="S30" i="36"/>
  <c r="T30" i="36"/>
  <c r="U30" i="36"/>
  <c r="V30" i="36"/>
  <c r="W30" i="36"/>
  <c r="X30" i="36"/>
  <c r="Y30" i="36"/>
  <c r="Z30" i="36"/>
  <c r="AA30" i="36"/>
  <c r="AB30" i="36"/>
  <c r="AC30" i="36"/>
  <c r="AD30" i="36"/>
  <c r="AE30" i="36"/>
  <c r="AF30" i="36"/>
  <c r="AG30" i="36"/>
  <c r="AH30" i="36"/>
  <c r="AI30" i="36"/>
  <c r="AJ30" i="36"/>
  <c r="AK30" i="36"/>
  <c r="AL30" i="36"/>
  <c r="AM30" i="36"/>
  <c r="AN30" i="36"/>
  <c r="AO30" i="36"/>
  <c r="AP30" i="36"/>
  <c r="AQ30" i="36"/>
  <c r="AR30" i="36"/>
  <c r="AS30" i="36"/>
  <c r="AT30" i="36"/>
  <c r="AU30" i="36"/>
  <c r="AV30" i="36"/>
  <c r="AW30" i="36"/>
  <c r="AX30" i="36"/>
  <c r="AY30" i="36"/>
  <c r="C30" i="36"/>
  <c r="N32" i="37"/>
  <c r="M32" i="37"/>
  <c r="N31" i="37"/>
  <c r="M31" i="37"/>
  <c r="N30" i="37"/>
  <c r="M30" i="37"/>
  <c r="N33" i="37"/>
  <c r="N40" i="37" s="1"/>
  <c r="M33" i="37"/>
  <c r="M40" i="37" s="1"/>
  <c r="N29" i="37"/>
  <c r="M29" i="37"/>
  <c r="N28" i="37"/>
  <c r="M28" i="37"/>
  <c r="N27" i="37"/>
  <c r="M27" i="37"/>
  <c r="N26" i="37"/>
  <c r="M26" i="37"/>
  <c r="N25" i="37"/>
  <c r="M25" i="37"/>
  <c r="N6" i="37"/>
  <c r="N7" i="37"/>
  <c r="N8" i="37"/>
  <c r="N9" i="37"/>
  <c r="N13" i="37"/>
  <c r="N20" i="37" s="1"/>
  <c r="N10" i="37"/>
  <c r="N11" i="37"/>
  <c r="N12" i="37"/>
  <c r="N5" i="37"/>
  <c r="M6" i="37"/>
  <c r="M7" i="37"/>
  <c r="M8" i="37"/>
  <c r="M9" i="37"/>
  <c r="M13" i="37"/>
  <c r="M20" i="37" s="1"/>
  <c r="M10" i="37"/>
  <c r="M11" i="37"/>
  <c r="M12" i="37"/>
  <c r="M5" i="37"/>
  <c r="P31" i="37"/>
  <c r="P32" i="37"/>
  <c r="P26" i="37"/>
  <c r="P27" i="37"/>
  <c r="P28" i="37"/>
  <c r="P29" i="37"/>
  <c r="P33" i="37"/>
  <c r="P40" i="37" s="1"/>
  <c r="P30" i="37"/>
  <c r="P25" i="37"/>
  <c r="P6" i="37"/>
  <c r="P7" i="37"/>
  <c r="P8" i="37"/>
  <c r="P9" i="37"/>
  <c r="P13" i="37"/>
  <c r="P20" i="37" s="1"/>
  <c r="P10" i="37"/>
  <c r="P11" i="37"/>
  <c r="P12" i="37"/>
  <c r="P5" i="37"/>
  <c r="N39" i="37" l="1"/>
  <c r="P39" i="37"/>
  <c r="M39" i="37"/>
  <c r="P19" i="37"/>
  <c r="M19" i="37"/>
  <c r="N19" i="37"/>
  <c r="B30" i="36"/>
  <c r="H30" i="36"/>
  <c r="F30" i="36"/>
  <c r="E30" i="36"/>
  <c r="D30" i="36"/>
  <c r="G30" i="36"/>
  <c r="N41" i="37" l="1"/>
  <c r="N21" i="37"/>
  <c r="AC15" i="25"/>
  <c r="M41" i="37"/>
  <c r="M21" i="37"/>
  <c r="P21" i="37"/>
  <c r="P41" i="37"/>
  <c r="AC14" i="25"/>
  <c r="AB14" i="25"/>
  <c r="AB15" i="25"/>
  <c r="F26" i="30"/>
  <c r="I26" i="30"/>
  <c r="F26" i="32"/>
  <c r="C7" i="36"/>
  <c r="AA8" i="25" s="1"/>
  <c r="AB8" i="25" s="1"/>
  <c r="B28" i="36"/>
  <c r="B29" i="36" s="1"/>
  <c r="A15" i="36"/>
  <c r="A14" i="36"/>
  <c r="A13" i="36"/>
  <c r="B12" i="36"/>
  <c r="C12" i="36" s="1"/>
  <c r="D12" i="36" s="1"/>
  <c r="E12" i="36" s="1"/>
  <c r="F12" i="36" s="1"/>
  <c r="G12" i="36" s="1"/>
  <c r="H12" i="36" s="1"/>
  <c r="I12" i="36" s="1"/>
  <c r="J12" i="36" s="1"/>
  <c r="K12" i="36" s="1"/>
  <c r="L12" i="36" s="1"/>
  <c r="M12" i="36" s="1"/>
  <c r="N12" i="36" s="1"/>
  <c r="O12" i="36" s="1"/>
  <c r="P12" i="36" s="1"/>
  <c r="Q12" i="36" s="1"/>
  <c r="R12" i="36" s="1"/>
  <c r="S12" i="36" s="1"/>
  <c r="T12" i="36" s="1"/>
  <c r="U12" i="36" s="1"/>
  <c r="V12" i="36" s="1"/>
  <c r="W12" i="36" s="1"/>
  <c r="X12" i="36" s="1"/>
  <c r="Y12" i="36" s="1"/>
  <c r="Z12" i="36" s="1"/>
  <c r="AA12" i="36" s="1"/>
  <c r="AB12" i="36" s="1"/>
  <c r="AC12" i="36" s="1"/>
  <c r="AD12" i="36" s="1"/>
  <c r="AE12" i="36" s="1"/>
  <c r="AF12" i="36" s="1"/>
  <c r="AG12" i="36" s="1"/>
  <c r="AH12" i="36" s="1"/>
  <c r="AI12" i="36" s="1"/>
  <c r="AJ12" i="36" s="1"/>
  <c r="AK12" i="36" s="1"/>
  <c r="AL12" i="36" s="1"/>
  <c r="AM12" i="36" s="1"/>
  <c r="AN12" i="36" s="1"/>
  <c r="AO12" i="36" s="1"/>
  <c r="AP12" i="36" s="1"/>
  <c r="AQ12" i="36" s="1"/>
  <c r="AR12" i="36" s="1"/>
  <c r="AS12" i="36" s="1"/>
  <c r="AT12" i="36" s="1"/>
  <c r="AU12" i="36" s="1"/>
  <c r="AV12" i="36" s="1"/>
  <c r="AW12" i="36" s="1"/>
  <c r="AX12" i="36" s="1"/>
  <c r="AY12" i="36" s="1"/>
  <c r="D7" i="36" l="1"/>
  <c r="E48" i="36"/>
  <c r="AA7" i="25" s="1"/>
  <c r="AX28" i="36"/>
  <c r="AX29" i="36" s="1"/>
  <c r="AL28" i="36"/>
  <c r="AL29" i="36" s="1"/>
  <c r="Z28" i="36"/>
  <c r="Z29" i="36" s="1"/>
  <c r="N28" i="36"/>
  <c r="N29" i="36" s="1"/>
  <c r="AO28" i="36"/>
  <c r="AO29" i="36" s="1"/>
  <c r="Q28" i="36"/>
  <c r="Q29" i="36" s="1"/>
  <c r="AM28" i="36"/>
  <c r="AM29" i="36" s="1"/>
  <c r="O28" i="36"/>
  <c r="O29" i="36" s="1"/>
  <c r="AH28" i="36"/>
  <c r="AH29" i="36" s="1"/>
  <c r="J28" i="36"/>
  <c r="J29" i="36" s="1"/>
  <c r="AE28" i="36"/>
  <c r="AE29" i="36" s="1"/>
  <c r="G28" i="36"/>
  <c r="G29" i="36" s="1"/>
  <c r="AD28" i="36"/>
  <c r="AD29" i="36" s="1"/>
  <c r="F28" i="36"/>
  <c r="F29" i="36" s="1"/>
  <c r="AC28" i="36"/>
  <c r="AC29" i="36" s="1"/>
  <c r="E28" i="36"/>
  <c r="E29" i="36" s="1"/>
  <c r="AY28" i="36"/>
  <c r="AY29" i="36" s="1"/>
  <c r="AA28" i="36"/>
  <c r="AA29" i="36" s="1"/>
  <c r="C28" i="36"/>
  <c r="AT28" i="36"/>
  <c r="AT29" i="36" s="1"/>
  <c r="V28" i="36"/>
  <c r="V29" i="36" s="1"/>
  <c r="AQ28" i="36"/>
  <c r="AQ29" i="36" s="1"/>
  <c r="S28" i="36"/>
  <c r="S29" i="36" s="1"/>
  <c r="AP28" i="36"/>
  <c r="AP29" i="36" s="1"/>
  <c r="R28" i="36"/>
  <c r="R29" i="36" s="1"/>
  <c r="AW28" i="36"/>
  <c r="AW29" i="36" s="1"/>
  <c r="AK28" i="36"/>
  <c r="AK29" i="36" s="1"/>
  <c r="Y28" i="36"/>
  <c r="Y29" i="36" s="1"/>
  <c r="M28" i="36"/>
  <c r="M29" i="36" s="1"/>
  <c r="AV28" i="36"/>
  <c r="AV29" i="36" s="1"/>
  <c r="AJ28" i="36"/>
  <c r="AJ29" i="36" s="1"/>
  <c r="X28" i="36"/>
  <c r="X29" i="36" s="1"/>
  <c r="L28" i="36"/>
  <c r="L29" i="36" s="1"/>
  <c r="AU28" i="36"/>
  <c r="AU29" i="36" s="1"/>
  <c r="AI28" i="36"/>
  <c r="AI29" i="36" s="1"/>
  <c r="W28" i="36"/>
  <c r="W29" i="36" s="1"/>
  <c r="K28" i="36"/>
  <c r="K29" i="36" s="1"/>
  <c r="AS28" i="36"/>
  <c r="AS29" i="36" s="1"/>
  <c r="AG28" i="36"/>
  <c r="AG29" i="36" s="1"/>
  <c r="U28" i="36"/>
  <c r="U29" i="36" s="1"/>
  <c r="I28" i="36"/>
  <c r="I29" i="36" s="1"/>
  <c r="AR28" i="36"/>
  <c r="AR29" i="36" s="1"/>
  <c r="AF28" i="36"/>
  <c r="T28" i="36"/>
  <c r="T29" i="36" s="1"/>
  <c r="H28" i="36"/>
  <c r="H29" i="36" s="1"/>
  <c r="AN28" i="36"/>
  <c r="AN29" i="36" s="1"/>
  <c r="AB28" i="36"/>
  <c r="AB29" i="36" s="1"/>
  <c r="P28" i="36"/>
  <c r="P29" i="36" s="1"/>
  <c r="D28" i="36"/>
  <c r="D29" i="36" s="1"/>
  <c r="G31" i="36"/>
  <c r="D5" i="25"/>
  <c r="K16" i="34" s="1"/>
  <c r="K15" i="34" l="1"/>
  <c r="K13" i="34"/>
  <c r="K11" i="34"/>
  <c r="AB7" i="25"/>
  <c r="D6" i="36" s="1"/>
  <c r="C61" i="37"/>
  <c r="D16" i="37" s="1"/>
  <c r="J36" i="30"/>
  <c r="J35" i="30"/>
  <c r="AG31" i="36"/>
  <c r="S31" i="36"/>
  <c r="Y31" i="36"/>
  <c r="AH31" i="36"/>
  <c r="Z31" i="36"/>
  <c r="O31" i="36"/>
  <c r="D31" i="36"/>
  <c r="B31" i="36"/>
  <c r="AL31" i="36"/>
  <c r="AA31" i="36"/>
  <c r="F31" i="36"/>
  <c r="E31" i="36"/>
  <c r="T31" i="36"/>
  <c r="AC31" i="36"/>
  <c r="M31" i="36"/>
  <c r="AO31" i="36"/>
  <c r="AX31" i="36"/>
  <c r="AM31" i="36"/>
  <c r="AB31" i="36"/>
  <c r="AD31" i="36"/>
  <c r="AP31" i="36"/>
  <c r="R31" i="36"/>
  <c r="AY31" i="36"/>
  <c r="AN31" i="36"/>
  <c r="AF31" i="36"/>
  <c r="Q31" i="36"/>
  <c r="V31" i="36"/>
  <c r="I31" i="36"/>
  <c r="U31" i="36"/>
  <c r="H31" i="36"/>
  <c r="AQ31" i="36"/>
  <c r="X31" i="36"/>
  <c r="AW31" i="36"/>
  <c r="AT31" i="36"/>
  <c r="AR31" i="36"/>
  <c r="AS31" i="36"/>
  <c r="AK31" i="36"/>
  <c r="J31" i="36"/>
  <c r="N31" i="36"/>
  <c r="L31" i="36"/>
  <c r="AE31" i="36"/>
  <c r="AV31" i="36"/>
  <c r="P31" i="36"/>
  <c r="AJ31" i="36"/>
  <c r="K31" i="36"/>
  <c r="AF29" i="36"/>
  <c r="W31" i="36"/>
  <c r="AI31" i="36"/>
  <c r="AU31" i="36"/>
  <c r="E6" i="30"/>
  <c r="F6" i="30" s="1"/>
  <c r="C31" i="37" l="1"/>
  <c r="C30" i="37"/>
  <c r="D20" i="37"/>
  <c r="D21" i="37" s="1"/>
  <c r="C29" i="37" s="1"/>
  <c r="B14" i="36"/>
  <c r="E5" i="30"/>
  <c r="C26" i="37" l="1"/>
  <c r="F5" i="30"/>
  <c r="G4" i="30"/>
  <c r="G6" i="30"/>
  <c r="B20" i="36"/>
  <c r="U5" i="32"/>
  <c r="D19" i="30"/>
  <c r="E19" i="32"/>
  <c r="D7" i="30"/>
  <c r="E22" i="32"/>
  <c r="D8" i="36"/>
  <c r="D9" i="36"/>
  <c r="C31" i="36" s="1"/>
  <c r="D4" i="36"/>
  <c r="D5" i="36"/>
  <c r="D3" i="36"/>
  <c r="E4" i="32"/>
  <c r="K9" i="34"/>
  <c r="D37" i="32"/>
  <c r="D32" i="32"/>
  <c r="E24" i="32"/>
  <c r="F24" i="32" s="1"/>
  <c r="E23" i="32"/>
  <c r="F23" i="32" s="1"/>
  <c r="E21" i="32"/>
  <c r="B21" i="32"/>
  <c r="E20" i="32"/>
  <c r="B20" i="32"/>
  <c r="E16" i="32"/>
  <c r="E15" i="32"/>
  <c r="E14" i="32"/>
  <c r="E13" i="32"/>
  <c r="E12" i="32"/>
  <c r="E10" i="32"/>
  <c r="D18" i="30"/>
  <c r="D21" i="30"/>
  <c r="D20" i="30"/>
  <c r="E34" i="30"/>
  <c r="D24" i="30"/>
  <c r="D23" i="30"/>
  <c r="D22" i="30"/>
  <c r="B21" i="30"/>
  <c r="B20" i="30"/>
  <c r="B18" i="30"/>
  <c r="D15" i="30"/>
  <c r="D14" i="30"/>
  <c r="D13" i="30"/>
  <c r="D12" i="30"/>
  <c r="D11" i="30"/>
  <c r="D9" i="30"/>
  <c r="F9" i="32" l="1"/>
  <c r="C27" i="37"/>
  <c r="F18" i="32"/>
  <c r="E22" i="30"/>
  <c r="F22" i="30" s="1"/>
  <c r="G22" i="30" s="1"/>
  <c r="I14" i="30"/>
  <c r="F14" i="30"/>
  <c r="G14" i="30" s="1"/>
  <c r="F23" i="30"/>
  <c r="G23" i="30" s="1"/>
  <c r="I23" i="30"/>
  <c r="I11" i="30"/>
  <c r="F11" i="30"/>
  <c r="G11" i="30" s="1"/>
  <c r="I12" i="30"/>
  <c r="F12" i="30"/>
  <c r="G12" i="30" s="1"/>
  <c r="G5" i="30"/>
  <c r="F13" i="30"/>
  <c r="G13" i="30" s="1"/>
  <c r="I13" i="30"/>
  <c r="F18" i="30"/>
  <c r="I18" i="30"/>
  <c r="F15" i="30"/>
  <c r="G15" i="30" s="1"/>
  <c r="I15" i="30"/>
  <c r="F19" i="30"/>
  <c r="G19" i="30" s="1"/>
  <c r="I19" i="30"/>
  <c r="F24" i="30"/>
  <c r="G24" i="30" s="1"/>
  <c r="I24" i="30"/>
  <c r="I9" i="30"/>
  <c r="F9" i="30"/>
  <c r="F20" i="30"/>
  <c r="G20" i="30" s="1"/>
  <c r="I20" i="30"/>
  <c r="I21" i="30"/>
  <c r="F21" i="30"/>
  <c r="G21" i="30" s="1"/>
  <c r="L9" i="34"/>
  <c r="E7" i="30"/>
  <c r="B21" i="36"/>
  <c r="B23" i="36"/>
  <c r="C29" i="36"/>
  <c r="G35" i="30"/>
  <c r="K19" i="34"/>
  <c r="F8" i="30" l="1"/>
  <c r="G8" i="30" s="1"/>
  <c r="M9" i="34"/>
  <c r="M19" i="34" s="1"/>
  <c r="L16" i="34"/>
  <c r="P12" i="34" s="1"/>
  <c r="G13" i="36" s="1"/>
  <c r="I8" i="30"/>
  <c r="J8" i="30" s="1"/>
  <c r="G9" i="30"/>
  <c r="J9" i="30" s="1"/>
  <c r="I17" i="30"/>
  <c r="J17" i="30" s="1"/>
  <c r="G18" i="30"/>
  <c r="F17" i="30"/>
  <c r="G17" i="30" s="1"/>
  <c r="Y35" i="25"/>
  <c r="Y38" i="25" s="1"/>
  <c r="J21" i="30"/>
  <c r="C36" i="37"/>
  <c r="J15" i="30"/>
  <c r="J24" i="30"/>
  <c r="J23" i="30"/>
  <c r="J20" i="30"/>
  <c r="J11" i="30"/>
  <c r="J14" i="30"/>
  <c r="J13" i="30"/>
  <c r="J12" i="30"/>
  <c r="J18" i="30"/>
  <c r="J19" i="30"/>
  <c r="F7" i="30"/>
  <c r="L19" i="34"/>
  <c r="K22" i="34"/>
  <c r="G36" i="30"/>
  <c r="N9" i="34" l="1"/>
  <c r="M16" i="34"/>
  <c r="L13" i="34"/>
  <c r="L15" i="34"/>
  <c r="AB35" i="25"/>
  <c r="AB38" i="25" s="1"/>
  <c r="F36" i="32" s="1"/>
  <c r="AC35" i="25"/>
  <c r="AC38" i="25" s="1"/>
  <c r="F37" i="32" s="1"/>
  <c r="Y37" i="25"/>
  <c r="F30" i="30"/>
  <c r="F31" i="30" s="1"/>
  <c r="G7" i="30"/>
  <c r="G31" i="30" s="1"/>
  <c r="C14" i="36"/>
  <c r="C22" i="36" s="1"/>
  <c r="C23" i="36" s="1"/>
  <c r="O9" i="34"/>
  <c r="N19" i="34"/>
  <c r="P10" i="34" l="1"/>
  <c r="P14" i="34"/>
  <c r="N16" i="34"/>
  <c r="N13" i="34" s="1"/>
  <c r="M13" i="34"/>
  <c r="M15" i="34"/>
  <c r="AC37" i="25"/>
  <c r="K23" i="34"/>
  <c r="K20" i="34" s="1"/>
  <c r="AB37" i="25"/>
  <c r="F33" i="30" s="1"/>
  <c r="Q12" i="34"/>
  <c r="H13" i="36" s="1"/>
  <c r="D14" i="36"/>
  <c r="D22" i="36" s="1"/>
  <c r="D23" i="36" s="1"/>
  <c r="P9" i="34"/>
  <c r="O19" i="34"/>
  <c r="L11" i="34"/>
  <c r="Q10" i="34" l="1"/>
  <c r="Q14" i="34"/>
  <c r="N15" i="34"/>
  <c r="O16" i="34"/>
  <c r="K21" i="34"/>
  <c r="L23" i="34"/>
  <c r="L22" i="34"/>
  <c r="R12" i="34"/>
  <c r="I13" i="36" s="1"/>
  <c r="E14" i="36"/>
  <c r="E22" i="36" s="1"/>
  <c r="Q9" i="34"/>
  <c r="P19" i="34"/>
  <c r="M11" i="34"/>
  <c r="R10" i="34" l="1"/>
  <c r="R14" i="34"/>
  <c r="B3" i="34"/>
  <c r="O13" i="34"/>
  <c r="O15" i="34"/>
  <c r="P16" i="34"/>
  <c r="Q16" i="34" s="1"/>
  <c r="Q13" i="34" s="1"/>
  <c r="M23" i="34"/>
  <c r="M22" i="34"/>
  <c r="L20" i="34"/>
  <c r="E23" i="36"/>
  <c r="H22" i="30"/>
  <c r="F14" i="36"/>
  <c r="F22" i="36" s="1"/>
  <c r="F23" i="36" s="1"/>
  <c r="S12" i="34"/>
  <c r="J13" i="36" s="1"/>
  <c r="R9" i="34"/>
  <c r="Q19" i="34"/>
  <c r="N11" i="34"/>
  <c r="P13" i="34" l="1"/>
  <c r="P15" i="34"/>
  <c r="C3" i="34"/>
  <c r="D3" i="34" s="1"/>
  <c r="S14" i="34"/>
  <c r="S10" i="34"/>
  <c r="Q15" i="34"/>
  <c r="L21" i="34"/>
  <c r="M20" i="34"/>
  <c r="M21" i="34" s="1"/>
  <c r="N23" i="34"/>
  <c r="N22" i="34"/>
  <c r="G33" i="30"/>
  <c r="I33" i="30"/>
  <c r="I22" i="30"/>
  <c r="H31" i="30"/>
  <c r="J31" i="30" s="1"/>
  <c r="T12" i="34"/>
  <c r="K13" i="36" s="1"/>
  <c r="G14" i="36"/>
  <c r="G22" i="36" s="1"/>
  <c r="G23" i="36" s="1"/>
  <c r="S9" i="34"/>
  <c r="R19" i="34"/>
  <c r="O11" i="34"/>
  <c r="N20" i="34" l="1"/>
  <c r="T14" i="34"/>
  <c r="T10" i="34"/>
  <c r="O23" i="34"/>
  <c r="O22" i="34"/>
  <c r="I30" i="30"/>
  <c r="I31" i="30" s="1"/>
  <c r="F34" i="30"/>
  <c r="G34" i="30" s="1"/>
  <c r="I34" i="30"/>
  <c r="J34" i="30" s="1"/>
  <c r="J33" i="30"/>
  <c r="J22" i="30"/>
  <c r="T9" i="34"/>
  <c r="S19" i="34"/>
  <c r="P11" i="34"/>
  <c r="K50" i="21"/>
  <c r="K49" i="21"/>
  <c r="K48" i="21"/>
  <c r="K47" i="21"/>
  <c r="K46" i="21"/>
  <c r="K42" i="21"/>
  <c r="K41" i="21"/>
  <c r="K40" i="21"/>
  <c r="K39" i="21"/>
  <c r="T38" i="21"/>
  <c r="K38" i="21"/>
  <c r="T37" i="21"/>
  <c r="K37" i="21"/>
  <c r="V36" i="21"/>
  <c r="T36" i="21"/>
  <c r="K36" i="21"/>
  <c r="V35" i="21"/>
  <c r="T35" i="21"/>
  <c r="K35" i="21"/>
  <c r="V34" i="21"/>
  <c r="T34" i="21"/>
  <c r="K34" i="21"/>
  <c r="V33" i="21"/>
  <c r="U32" i="21"/>
  <c r="S32" i="21"/>
  <c r="S31" i="21"/>
  <c r="U30" i="21"/>
  <c r="S30" i="21"/>
  <c r="L30" i="21"/>
  <c r="U29" i="21"/>
  <c r="S29" i="21"/>
  <c r="U28" i="21"/>
  <c r="S28" i="21"/>
  <c r="U27" i="21"/>
  <c r="S27" i="21"/>
  <c r="V26" i="21"/>
  <c r="T26" i="21"/>
  <c r="K26" i="21"/>
  <c r="V25" i="21"/>
  <c r="T25" i="21"/>
  <c r="K25" i="21"/>
  <c r="V24" i="21"/>
  <c r="T24" i="21"/>
  <c r="K24" i="21"/>
  <c r="C24" i="21"/>
  <c r="V23" i="21"/>
  <c r="T23" i="21"/>
  <c r="K23" i="21"/>
  <c r="C23" i="21"/>
  <c r="V22" i="21"/>
  <c r="K22" i="21"/>
  <c r="V21" i="21"/>
  <c r="T21" i="21"/>
  <c r="V20" i="21"/>
  <c r="U20" i="21" s="1"/>
  <c r="T20" i="21"/>
  <c r="V19" i="21"/>
  <c r="U19" i="21" s="1"/>
  <c r="T19" i="21"/>
  <c r="V18" i="21"/>
  <c r="T18" i="21"/>
  <c r="V17" i="21"/>
  <c r="U17" i="21" s="1"/>
  <c r="T17" i="21"/>
  <c r="V16" i="21"/>
  <c r="T16" i="21"/>
  <c r="C11" i="21"/>
  <c r="M9" i="21"/>
  <c r="C25" i="21" s="1"/>
  <c r="I8" i="21"/>
  <c r="D18" i="21" s="1"/>
  <c r="D7" i="21"/>
  <c r="O20" i="34" l="1"/>
  <c r="O21" i="34" s="1"/>
  <c r="E3" i="34" s="1"/>
  <c r="N21" i="34"/>
  <c r="P23" i="34"/>
  <c r="P22" i="34"/>
  <c r="F37" i="30"/>
  <c r="F38" i="30" s="1"/>
  <c r="I37" i="30"/>
  <c r="J37" i="30" s="1"/>
  <c r="J38" i="30" s="1"/>
  <c r="N7" i="21"/>
  <c r="N8" i="21"/>
  <c r="U16" i="21"/>
  <c r="U24" i="21"/>
  <c r="U33" i="21"/>
  <c r="U35" i="21"/>
  <c r="C13" i="21"/>
  <c r="D13" i="21" s="1"/>
  <c r="C12" i="21"/>
  <c r="D12" i="21" s="1"/>
  <c r="U26" i="21"/>
  <c r="D24" i="21"/>
  <c r="N5" i="21"/>
  <c r="C15" i="21"/>
  <c r="D15" i="21" s="1"/>
  <c r="N6" i="21"/>
  <c r="T27" i="21"/>
  <c r="D17" i="21"/>
  <c r="U22" i="21"/>
  <c r="D23" i="21"/>
  <c r="C14" i="21"/>
  <c r="D14" i="21" s="1"/>
  <c r="I10" i="21"/>
  <c r="I16" i="21" s="1"/>
  <c r="C6" i="21" s="1"/>
  <c r="C8" i="21" s="1"/>
  <c r="U36" i="21"/>
  <c r="U9" i="34"/>
  <c r="T19" i="34"/>
  <c r="T32" i="21"/>
  <c r="T29" i="21"/>
  <c r="T28" i="21"/>
  <c r="U34" i="21"/>
  <c r="U18" i="21"/>
  <c r="T30" i="21"/>
  <c r="U21" i="21"/>
  <c r="U25" i="21"/>
  <c r="U23" i="21"/>
  <c r="C26" i="21"/>
  <c r="D11" i="21"/>
  <c r="D25" i="21"/>
  <c r="P20" i="34" l="1"/>
  <c r="G37" i="30"/>
  <c r="G38" i="30" s="1"/>
  <c r="I38" i="30"/>
  <c r="D6" i="21"/>
  <c r="D8" i="21" s="1"/>
  <c r="D26" i="21"/>
  <c r="N9" i="21"/>
  <c r="V9" i="34"/>
  <c r="U19" i="34"/>
  <c r="C16" i="21"/>
  <c r="E7" i="21"/>
  <c r="E6" i="21"/>
  <c r="E8" i="21" s="1"/>
  <c r="P21" i="34" l="1"/>
  <c r="W9" i="34"/>
  <c r="V19" i="34"/>
  <c r="D16" i="21"/>
  <c r="C19" i="21"/>
  <c r="C20" i="21" s="1"/>
  <c r="C4" i="34" l="1"/>
  <c r="X9" i="34"/>
  <c r="W19" i="34"/>
  <c r="C28" i="21"/>
  <c r="E19" i="21" s="1"/>
  <c r="C29" i="21"/>
  <c r="D19" i="21"/>
  <c r="D20" i="21" s="1"/>
  <c r="Y9" i="34" l="1"/>
  <c r="Y16" i="34" s="1"/>
  <c r="X19" i="34"/>
  <c r="D29" i="21"/>
  <c r="D28" i="21"/>
  <c r="D30" i="21" s="1"/>
  <c r="E17" i="21"/>
  <c r="E18" i="21"/>
  <c r="E12" i="21"/>
  <c r="E11" i="21"/>
  <c r="E24" i="21"/>
  <c r="E13" i="21"/>
  <c r="E14" i="21"/>
  <c r="E25" i="21"/>
  <c r="E23" i="21"/>
  <c r="E15" i="21"/>
  <c r="C30" i="21"/>
  <c r="E16" i="21"/>
  <c r="E26" i="21" l="1"/>
  <c r="Z9" i="34"/>
  <c r="Z16" i="34" s="1"/>
  <c r="Y19" i="34"/>
  <c r="E20" i="21"/>
  <c r="E28" i="21" s="1"/>
  <c r="B5" i="34" l="1"/>
  <c r="Z19" i="34"/>
  <c r="AA9" i="34"/>
  <c r="AA16" i="34" s="1"/>
  <c r="P14" i="36" l="1"/>
  <c r="AA19" i="34"/>
  <c r="AB9" i="34"/>
  <c r="AB16" i="34" s="1"/>
  <c r="P22" i="36" l="1"/>
  <c r="P23" i="36" s="1"/>
  <c r="Q14" i="36"/>
  <c r="AB19" i="34"/>
  <c r="AC9" i="34"/>
  <c r="AC16" i="34" s="1"/>
  <c r="Q22" i="36" l="1"/>
  <c r="Q23" i="36" s="1"/>
  <c r="R14" i="36"/>
  <c r="R22" i="36" s="1"/>
  <c r="R23" i="36" s="1"/>
  <c r="AC19" i="34"/>
  <c r="AD9" i="34"/>
  <c r="AD16" i="34" s="1"/>
  <c r="S14" i="36" l="1"/>
  <c r="S22" i="36" s="1"/>
  <c r="S23" i="36" s="1"/>
  <c r="AD19" i="34"/>
  <c r="AE9" i="34"/>
  <c r="AE16" i="34" s="1"/>
  <c r="V14" i="36" l="1"/>
  <c r="V22" i="36" s="1"/>
  <c r="V23" i="36" s="1"/>
  <c r="T14" i="36"/>
  <c r="T22" i="36" s="1"/>
  <c r="T23" i="36" s="1"/>
  <c r="AE19" i="34"/>
  <c r="AF9" i="34"/>
  <c r="AF16" i="34" s="1"/>
  <c r="W14" i="36" l="1"/>
  <c r="W22" i="36" s="1"/>
  <c r="W23" i="36" s="1"/>
  <c r="U14" i="36"/>
  <c r="U22" i="36" s="1"/>
  <c r="U23" i="36" s="1"/>
  <c r="B6" i="34"/>
  <c r="AF19" i="34"/>
  <c r="AG9" i="34"/>
  <c r="AG16" i="34" l="1"/>
  <c r="X14" i="36" s="1"/>
  <c r="X22" i="36" s="1"/>
  <c r="X23" i="36" s="1"/>
  <c r="AG19" i="34"/>
  <c r="AH9" i="34"/>
  <c r="AH16" i="34" l="1"/>
  <c r="Y14" i="36" s="1"/>
  <c r="Y22" i="36" s="1"/>
  <c r="Y23" i="36" s="1"/>
  <c r="AH19" i="34"/>
  <c r="AI9" i="34"/>
  <c r="AI16" i="34" s="1"/>
  <c r="Z14" i="36" l="1"/>
  <c r="Z22" i="36" s="1"/>
  <c r="Z23" i="36" s="1"/>
  <c r="B7" i="34"/>
  <c r="AI19" i="34"/>
  <c r="AJ9" i="34"/>
  <c r="AJ16" i="34" l="1"/>
  <c r="AA14" i="36" s="1"/>
  <c r="AA22" i="36" s="1"/>
  <c r="AA23" i="36" s="1"/>
  <c r="AK9" i="34"/>
  <c r="AJ19" i="34"/>
  <c r="AK16" i="34" l="1"/>
  <c r="AB14" i="36" s="1"/>
  <c r="AB22" i="36" s="1"/>
  <c r="AB23" i="36" s="1"/>
  <c r="AL9" i="34"/>
  <c r="AK19" i="34"/>
  <c r="AL16" i="34" l="1"/>
  <c r="AC14" i="36" s="1"/>
  <c r="AC22" i="36" s="1"/>
  <c r="AC23" i="36" s="1"/>
  <c r="AL19" i="34"/>
  <c r="AM9" i="34"/>
  <c r="AM16" i="34" l="1"/>
  <c r="AD14" i="36" s="1"/>
  <c r="AD22" i="36" s="1"/>
  <c r="AD23" i="36" s="1"/>
  <c r="AN9" i="34"/>
  <c r="AN19" i="34" s="1"/>
  <c r="AM19" i="34"/>
  <c r="AO9" i="34" l="1"/>
  <c r="AN16" i="34"/>
  <c r="AE14" i="36" s="1"/>
  <c r="AE22" i="36" s="1"/>
  <c r="AE23" i="36" s="1"/>
  <c r="AO16" i="34"/>
  <c r="AF14" i="36" s="1"/>
  <c r="AF22" i="36" s="1"/>
  <c r="AF23" i="36" s="1"/>
  <c r="B8" i="34"/>
  <c r="AO19" i="34"/>
  <c r="AP9" i="34"/>
  <c r="AP16" i="34" s="1"/>
  <c r="AG14" i="36" l="1"/>
  <c r="AG22" i="36" s="1"/>
  <c r="AG23" i="36" s="1"/>
  <c r="F40" i="32"/>
  <c r="AP19" i="34"/>
  <c r="AQ9" i="34"/>
  <c r="AQ16" i="34" s="1"/>
  <c r="AH14" i="36" l="1"/>
  <c r="AH22" i="36" s="1"/>
  <c r="AH23" i="36" s="1"/>
  <c r="AQ19" i="34"/>
  <c r="AR9" i="34"/>
  <c r="AR16" i="34" s="1"/>
  <c r="AI14" i="36" l="1"/>
  <c r="AI22" i="36" s="1"/>
  <c r="AI23" i="36" s="1"/>
  <c r="AR19" i="34"/>
  <c r="AS9" i="34"/>
  <c r="AS16" i="34" s="1"/>
  <c r="AJ14" i="36" l="1"/>
  <c r="AJ22" i="36" s="1"/>
  <c r="AJ23" i="36" s="1"/>
  <c r="AS19" i="34"/>
  <c r="AT9" i="34"/>
  <c r="AT16" i="34" s="1"/>
  <c r="AK14" i="36" l="1"/>
  <c r="AK22" i="36" s="1"/>
  <c r="AK23" i="36" s="1"/>
  <c r="AT19" i="34"/>
  <c r="AU9" i="34"/>
  <c r="AU16" i="34" s="1"/>
  <c r="AL14" i="36" l="1"/>
  <c r="AL22" i="36" s="1"/>
  <c r="AL23" i="36" s="1"/>
  <c r="AU19" i="34"/>
  <c r="AV9" i="34"/>
  <c r="AV16" i="34" l="1"/>
  <c r="AM14" i="36" s="1"/>
  <c r="AM22" i="36" s="1"/>
  <c r="AM23" i="36" s="1"/>
  <c r="AV19" i="34"/>
  <c r="AW9" i="34"/>
  <c r="AW16" i="34" s="1"/>
  <c r="AN14" i="36" l="1"/>
  <c r="AN22" i="36" s="1"/>
  <c r="AN23" i="36" s="1"/>
  <c r="AW19" i="34"/>
  <c r="AX9" i="34"/>
  <c r="AX16" i="34" s="1"/>
  <c r="AO14" i="36" l="1"/>
  <c r="AO22" i="36" s="1"/>
  <c r="AO23" i="36" s="1"/>
  <c r="AX19" i="34"/>
  <c r="AY9" i="34"/>
  <c r="AY16" i="34" s="1"/>
  <c r="B9" i="34" l="1"/>
  <c r="AP14" i="36"/>
  <c r="AP22" i="36" s="1"/>
  <c r="AP23" i="36" s="1"/>
  <c r="AY19" i="34"/>
  <c r="AZ9" i="34"/>
  <c r="AZ16" i="34" l="1"/>
  <c r="AQ14" i="36" s="1"/>
  <c r="AQ22" i="36" s="1"/>
  <c r="AQ23" i="36" s="1"/>
  <c r="AZ19" i="34"/>
  <c r="BA9" i="34"/>
  <c r="BA16" i="34" l="1"/>
  <c r="AR14" i="36" s="1"/>
  <c r="AR22" i="36" s="1"/>
  <c r="AR23" i="36" s="1"/>
  <c r="BA19" i="34"/>
  <c r="BB9" i="34"/>
  <c r="BB16" i="34" l="1"/>
  <c r="AS14" i="36" s="1"/>
  <c r="AS22" i="36" s="1"/>
  <c r="AS23" i="36" s="1"/>
  <c r="BB19" i="34"/>
  <c r="BC9" i="34"/>
  <c r="BC16" i="34" l="1"/>
  <c r="AT14" i="36" s="1"/>
  <c r="AT22" i="36" s="1"/>
  <c r="AT23" i="36" s="1"/>
  <c r="BC19" i="34"/>
  <c r="BD9" i="34"/>
  <c r="BD16" i="34" l="1"/>
  <c r="AU14" i="36" s="1"/>
  <c r="AU22" i="36" s="1"/>
  <c r="AU23" i="36" s="1"/>
  <c r="BD19" i="34"/>
  <c r="BE9" i="34"/>
  <c r="BE16" i="34" l="1"/>
  <c r="AV14" i="36" s="1"/>
  <c r="AV22" i="36" s="1"/>
  <c r="AV23" i="36" s="1"/>
  <c r="BE19" i="34"/>
  <c r="BF9" i="34"/>
  <c r="BF16" i="34" l="1"/>
  <c r="AW14" i="36" s="1"/>
  <c r="AW22" i="36" s="1"/>
  <c r="AW23" i="36" s="1"/>
  <c r="BF19" i="34"/>
  <c r="BG9" i="34"/>
  <c r="BG16" i="34" l="1"/>
  <c r="AX14" i="36" s="1"/>
  <c r="AX22" i="36" s="1"/>
  <c r="AX23" i="36" s="1"/>
  <c r="BG19" i="34"/>
  <c r="BH9" i="34"/>
  <c r="BH16" i="34" l="1"/>
  <c r="AY14" i="36" s="1"/>
  <c r="AY22" i="36" s="1"/>
  <c r="AY23" i="36" s="1"/>
  <c r="BH19" i="34"/>
  <c r="B10" i="34" l="1"/>
  <c r="K39" i="34" l="1"/>
  <c r="B15" i="36"/>
  <c r="B24" i="36" l="1"/>
  <c r="B25" i="36" s="1"/>
  <c r="B26" i="36"/>
  <c r="B16" i="36" l="1"/>
  <c r="G8" i="36" s="1"/>
  <c r="B27" i="36"/>
  <c r="K24" i="34" s="1"/>
  <c r="B17" i="36" l="1"/>
  <c r="G9" i="36" s="1"/>
  <c r="O39" i="34" l="1"/>
  <c r="P39" i="34" l="1"/>
  <c r="L39" i="34"/>
  <c r="N39" i="34"/>
  <c r="D15" i="36"/>
  <c r="M39" i="34"/>
  <c r="E15" i="36"/>
  <c r="C15" i="36"/>
  <c r="F15" i="36"/>
  <c r="F24" i="36" s="1"/>
  <c r="G15" i="36"/>
  <c r="G24" i="36" s="1"/>
  <c r="E26" i="36" l="1"/>
  <c r="E27" i="36" s="1"/>
  <c r="E24" i="36"/>
  <c r="E25" i="36" s="1"/>
  <c r="D26" i="36"/>
  <c r="D27" i="36" s="1"/>
  <c r="D24" i="36"/>
  <c r="D25" i="36" s="1"/>
  <c r="C24" i="36"/>
  <c r="C25" i="36" s="1"/>
  <c r="C26" i="36"/>
  <c r="C27" i="36" s="1"/>
  <c r="F26" i="36"/>
  <c r="F25" i="36"/>
  <c r="G25" i="36"/>
  <c r="G26" i="36"/>
  <c r="M24" i="34" l="1"/>
  <c r="E17" i="36"/>
  <c r="L24" i="34"/>
  <c r="D16" i="36"/>
  <c r="E16" i="36"/>
  <c r="N24" i="34"/>
  <c r="C16" i="36"/>
  <c r="H8" i="36" s="1"/>
  <c r="Q2" i="34"/>
  <c r="F16" i="36"/>
  <c r="I8" i="36" s="1"/>
  <c r="F27" i="36"/>
  <c r="O24" i="34" s="1"/>
  <c r="D17" i="36"/>
  <c r="C17" i="36"/>
  <c r="H9" i="36" s="1"/>
  <c r="G27" i="36"/>
  <c r="P24" i="34" s="1"/>
  <c r="G16" i="36"/>
  <c r="G17" i="36" l="1"/>
  <c r="F17" i="36"/>
  <c r="I9" i="36" s="1"/>
  <c r="H14" i="36" l="1"/>
  <c r="H22" i="36" s="1"/>
  <c r="H23" i="36" s="1"/>
  <c r="Q11" i="34"/>
  <c r="R16" i="34"/>
  <c r="U12" i="34"/>
  <c r="L13" i="36" s="1"/>
  <c r="Q23" i="34"/>
  <c r="Q22" i="34"/>
  <c r="U14" i="34" l="1"/>
  <c r="S16" i="34"/>
  <c r="S11" i="34" s="1"/>
  <c r="R13" i="34"/>
  <c r="R15" i="34"/>
  <c r="Q20" i="34"/>
  <c r="Q21" i="34" s="1"/>
  <c r="U10" i="34"/>
  <c r="V12" i="34"/>
  <c r="M13" i="36" s="1"/>
  <c r="I14" i="36"/>
  <c r="I22" i="36" s="1"/>
  <c r="I23" i="36" s="1"/>
  <c r="R11" i="34"/>
  <c r="J14" i="36" l="1"/>
  <c r="J22" i="36" s="1"/>
  <c r="J23" i="36" s="1"/>
  <c r="T16" i="34"/>
  <c r="U16" i="34" s="1"/>
  <c r="U13" i="34" s="1"/>
  <c r="H15" i="36"/>
  <c r="H24" i="36" s="1"/>
  <c r="H25" i="36" s="1"/>
  <c r="Q39" i="34"/>
  <c r="S13" i="34"/>
  <c r="S15" i="34"/>
  <c r="V14" i="34"/>
  <c r="V10" i="34"/>
  <c r="W12" i="34"/>
  <c r="N13" i="36" s="1"/>
  <c r="B4" i="34"/>
  <c r="D4" i="34" s="1"/>
  <c r="T15" i="34" l="1"/>
  <c r="T13" i="34"/>
  <c r="K14" i="36"/>
  <c r="H26" i="36"/>
  <c r="H27" i="36" s="1"/>
  <c r="T11" i="34"/>
  <c r="U15" i="34"/>
  <c r="W14" i="34"/>
  <c r="R23" i="34"/>
  <c r="R22" i="34"/>
  <c r="L14" i="36"/>
  <c r="L22" i="36" s="1"/>
  <c r="L23" i="36" s="1"/>
  <c r="V16" i="34"/>
  <c r="W10" i="34"/>
  <c r="X12" i="34"/>
  <c r="O13" i="36" s="1"/>
  <c r="U11" i="34"/>
  <c r="H16" i="36" l="1"/>
  <c r="K22" i="36"/>
  <c r="K23" i="36" s="1"/>
  <c r="R20" i="34"/>
  <c r="V11" i="34"/>
  <c r="V13" i="34"/>
  <c r="X14" i="34"/>
  <c r="V15" i="34"/>
  <c r="X10" i="34"/>
  <c r="Y12" i="34"/>
  <c r="P13" i="36" s="1"/>
  <c r="H17" i="36"/>
  <c r="Q24" i="34"/>
  <c r="W16" i="34"/>
  <c r="W13" i="34" s="1"/>
  <c r="M14" i="36"/>
  <c r="M22" i="36" s="1"/>
  <c r="M23" i="36" s="1"/>
  <c r="S23" i="34"/>
  <c r="S22" i="34"/>
  <c r="W15" i="34" l="1"/>
  <c r="Y13" i="34"/>
  <c r="Y14" i="34"/>
  <c r="Y15" i="34" s="1"/>
  <c r="S20" i="34"/>
  <c r="S39" i="34" s="1"/>
  <c r="Y10" i="34"/>
  <c r="Y11" i="34" s="1"/>
  <c r="C5" i="34"/>
  <c r="D5" i="34" s="1"/>
  <c r="Z12" i="34"/>
  <c r="I15" i="36"/>
  <c r="R39" i="34"/>
  <c r="R21" i="34"/>
  <c r="T23" i="34"/>
  <c r="T22" i="34"/>
  <c r="N14" i="36"/>
  <c r="N22" i="36" s="1"/>
  <c r="N23" i="36" s="1"/>
  <c r="X16" i="34"/>
  <c r="X13" i="34" s="1"/>
  <c r="W11" i="34"/>
  <c r="Z10" i="34" l="1"/>
  <c r="Z11" i="34" s="1"/>
  <c r="Q13" i="36"/>
  <c r="X11" i="34"/>
  <c r="J15" i="36"/>
  <c r="J26" i="36" s="1"/>
  <c r="S21" i="34"/>
  <c r="X15" i="34"/>
  <c r="Z14" i="34"/>
  <c r="Z15" i="34" s="1"/>
  <c r="Z13" i="34"/>
  <c r="I24" i="36"/>
  <c r="I25" i="36" s="1"/>
  <c r="I26" i="36"/>
  <c r="AA12" i="34"/>
  <c r="G29" i="32"/>
  <c r="G37" i="32"/>
  <c r="G36" i="32"/>
  <c r="G23" i="32"/>
  <c r="O14" i="36"/>
  <c r="O22" i="36" s="1"/>
  <c r="O23" i="36" s="1"/>
  <c r="G9" i="32"/>
  <c r="G26" i="32"/>
  <c r="G31" i="32"/>
  <c r="G30" i="32"/>
  <c r="G40" i="32"/>
  <c r="G18" i="32"/>
  <c r="G24" i="32"/>
  <c r="G38" i="32"/>
  <c r="G25" i="32"/>
  <c r="G39" i="32"/>
  <c r="D5" i="32"/>
  <c r="F5" i="32" s="1"/>
  <c r="T20" i="34"/>
  <c r="K15" i="36" s="1"/>
  <c r="U23" i="34"/>
  <c r="U22" i="34"/>
  <c r="AA10" i="34" l="1"/>
  <c r="R13" i="36"/>
  <c r="J24" i="36"/>
  <c r="J25" i="36" s="1"/>
  <c r="AA14" i="34"/>
  <c r="AA15" i="34" s="1"/>
  <c r="AA13" i="34"/>
  <c r="AA11" i="34"/>
  <c r="AB12" i="34"/>
  <c r="V23" i="34"/>
  <c r="V22" i="34"/>
  <c r="T21" i="34"/>
  <c r="T39" i="34"/>
  <c r="F28" i="32"/>
  <c r="G28" i="32" s="1"/>
  <c r="G5" i="32"/>
  <c r="I27" i="36"/>
  <c r="I16" i="36"/>
  <c r="U20" i="34"/>
  <c r="J27" i="36"/>
  <c r="J16" i="36" l="1"/>
  <c r="AB10" i="34"/>
  <c r="S13" i="36"/>
  <c r="AB14" i="34"/>
  <c r="AB15" i="34" s="1"/>
  <c r="AB13" i="34"/>
  <c r="R24" i="34"/>
  <c r="I17" i="36"/>
  <c r="AB11" i="34"/>
  <c r="AC12" i="34"/>
  <c r="E4" i="34"/>
  <c r="V20" i="34"/>
  <c r="U39" i="34"/>
  <c r="U21" i="34"/>
  <c r="L15" i="36"/>
  <c r="W23" i="34"/>
  <c r="W22" i="34"/>
  <c r="J17" i="36"/>
  <c r="S24" i="34"/>
  <c r="K24" i="36"/>
  <c r="K25" i="36" s="1"/>
  <c r="K26" i="36"/>
  <c r="AC10" i="34" l="1"/>
  <c r="T13" i="36"/>
  <c r="AC13" i="34"/>
  <c r="AC14" i="34"/>
  <c r="AC15" i="34" s="1"/>
  <c r="X23" i="34"/>
  <c r="X22" i="34"/>
  <c r="D4" i="32"/>
  <c r="F4" i="32" s="1"/>
  <c r="AC11" i="34"/>
  <c r="AD12" i="34"/>
  <c r="K16" i="36"/>
  <c r="J8" i="36" s="1"/>
  <c r="K27" i="36"/>
  <c r="W20" i="34"/>
  <c r="L24" i="36"/>
  <c r="L25" i="36" s="1"/>
  <c r="L26" i="36"/>
  <c r="V21" i="34"/>
  <c r="M15" i="36"/>
  <c r="V39" i="34"/>
  <c r="AD10" i="34" l="1"/>
  <c r="AD11" i="34" s="1"/>
  <c r="U13" i="36"/>
  <c r="AD13" i="34"/>
  <c r="AD14" i="34"/>
  <c r="AD15" i="34" s="1"/>
  <c r="L27" i="36"/>
  <c r="L16" i="36"/>
  <c r="N15" i="36"/>
  <c r="W39" i="34"/>
  <c r="W21" i="34"/>
  <c r="M24" i="36"/>
  <c r="M25" i="36" s="1"/>
  <c r="M26" i="36"/>
  <c r="F27" i="32"/>
  <c r="G27" i="32" s="1"/>
  <c r="F6" i="32"/>
  <c r="G4" i="32"/>
  <c r="C6" i="34"/>
  <c r="D6" i="34" s="1"/>
  <c r="AE12" i="34"/>
  <c r="X20" i="34"/>
  <c r="K17" i="36"/>
  <c r="J9" i="36" s="1"/>
  <c r="T24" i="34"/>
  <c r="Y23" i="34"/>
  <c r="Y22" i="34"/>
  <c r="AE10" i="34" l="1"/>
  <c r="V13" i="36"/>
  <c r="AE13" i="34"/>
  <c r="AE14" i="34"/>
  <c r="AE15" i="34" s="1"/>
  <c r="M27" i="36"/>
  <c r="M16" i="36"/>
  <c r="D22" i="32" s="1"/>
  <c r="Y20" i="34"/>
  <c r="AE11" i="34"/>
  <c r="AF12" i="34"/>
  <c r="Z23" i="34"/>
  <c r="Z22" i="34"/>
  <c r="N24" i="36"/>
  <c r="N25" i="36" s="1"/>
  <c r="N26" i="36"/>
  <c r="X21" i="34"/>
  <c r="X39" i="34"/>
  <c r="O15" i="36"/>
  <c r="G6" i="32"/>
  <c r="U24" i="34"/>
  <c r="L17" i="36"/>
  <c r="AF10" i="34" l="1"/>
  <c r="AF11" i="34" s="1"/>
  <c r="W13" i="36"/>
  <c r="AF13" i="34"/>
  <c r="AF14" i="34"/>
  <c r="AF15" i="34" s="1"/>
  <c r="AA23" i="34"/>
  <c r="AA22" i="34"/>
  <c r="N16" i="36"/>
  <c r="N27" i="36"/>
  <c r="Z20" i="34"/>
  <c r="P15" i="36"/>
  <c r="Y39" i="34"/>
  <c r="Y21" i="34"/>
  <c r="O24" i="36"/>
  <c r="O25" i="36" s="1"/>
  <c r="O26" i="36"/>
  <c r="AG12" i="34"/>
  <c r="M17" i="36"/>
  <c r="V24" i="34"/>
  <c r="AG10" i="34" l="1"/>
  <c r="AG11" i="34" s="1"/>
  <c r="X13" i="36"/>
  <c r="AG13" i="34"/>
  <c r="AG14" i="34"/>
  <c r="AG15" i="34" s="1"/>
  <c r="Z39" i="34"/>
  <c r="Z21" i="34"/>
  <c r="Q15" i="36"/>
  <c r="N17" i="36"/>
  <c r="W24" i="34"/>
  <c r="AH12" i="34"/>
  <c r="E5" i="34"/>
  <c r="AB23" i="34"/>
  <c r="AB22" i="34"/>
  <c r="AA20" i="34"/>
  <c r="O27" i="36"/>
  <c r="O16" i="36"/>
  <c r="F22" i="32" s="1"/>
  <c r="P26" i="36"/>
  <c r="P24" i="36"/>
  <c r="P25" i="36" s="1"/>
  <c r="AH10" i="34" l="1"/>
  <c r="Y13" i="36"/>
  <c r="AH13" i="34"/>
  <c r="AH14" i="34"/>
  <c r="AH15" i="34" s="1"/>
  <c r="AA21" i="34"/>
  <c r="AA39" i="34"/>
  <c r="R15" i="36"/>
  <c r="AB20" i="34"/>
  <c r="AH11" i="34"/>
  <c r="AI12" i="34"/>
  <c r="Q24" i="36"/>
  <c r="Q25" i="36" s="1"/>
  <c r="Q26" i="36"/>
  <c r="P16" i="36"/>
  <c r="K8" i="36" s="1"/>
  <c r="P27" i="36"/>
  <c r="F32" i="32"/>
  <c r="G32" i="32" s="1"/>
  <c r="G22" i="32"/>
  <c r="AC23" i="34"/>
  <c r="AC22" i="34"/>
  <c r="O17" i="36"/>
  <c r="X24" i="34"/>
  <c r="AI10" i="34" l="1"/>
  <c r="Z13" i="36"/>
  <c r="AI14" i="34"/>
  <c r="AI15" i="34" s="1"/>
  <c r="AI13" i="34"/>
  <c r="AB21" i="34"/>
  <c r="S15" i="36"/>
  <c r="AB39" i="34"/>
  <c r="Q16" i="36"/>
  <c r="Q27" i="36"/>
  <c r="R26" i="36"/>
  <c r="R24" i="36"/>
  <c r="R25" i="36" s="1"/>
  <c r="AC20" i="34"/>
  <c r="P17" i="36"/>
  <c r="K9" i="36" s="1"/>
  <c r="Y24" i="34"/>
  <c r="C7" i="34"/>
  <c r="D7" i="34" s="1"/>
  <c r="AI11" i="34"/>
  <c r="AJ12" i="34"/>
  <c r="F33" i="32"/>
  <c r="AD23" i="34"/>
  <c r="AD22" i="34"/>
  <c r="AJ10" i="34" l="1"/>
  <c r="AJ11" i="34" s="1"/>
  <c r="AA13" i="36"/>
  <c r="AJ14" i="34"/>
  <c r="AJ15" i="34" s="1"/>
  <c r="AJ13" i="34"/>
  <c r="R16" i="36"/>
  <c r="R27" i="36"/>
  <c r="AD20" i="34"/>
  <c r="Q17" i="36"/>
  <c r="Z24" i="34"/>
  <c r="AK12" i="34"/>
  <c r="F41" i="32"/>
  <c r="G33" i="32"/>
  <c r="G44" i="32" s="1"/>
  <c r="M12" i="32"/>
  <c r="K6" i="32"/>
  <c r="O8" i="32"/>
  <c r="P12" i="32"/>
  <c r="N8" i="32"/>
  <c r="P7" i="32"/>
  <c r="L10" i="32"/>
  <c r="Q9" i="32"/>
  <c r="L12" i="32"/>
  <c r="M9" i="32"/>
  <c r="N9" i="32"/>
  <c r="K7" i="32"/>
  <c r="N7" i="32"/>
  <c r="P6" i="32"/>
  <c r="O6" i="32"/>
  <c r="P11" i="32"/>
  <c r="O11" i="32"/>
  <c r="Q12" i="32"/>
  <c r="O10" i="32"/>
  <c r="O12" i="32"/>
  <c r="K10" i="32"/>
  <c r="P8" i="32"/>
  <c r="Q6" i="32"/>
  <c r="N11" i="32"/>
  <c r="K9" i="32"/>
  <c r="N10" i="32"/>
  <c r="Q10" i="32"/>
  <c r="O7" i="32"/>
  <c r="L8" i="32"/>
  <c r="L7" i="32"/>
  <c r="N6" i="32"/>
  <c r="L9" i="32"/>
  <c r="P9" i="32"/>
  <c r="M8" i="32"/>
  <c r="L6" i="32"/>
  <c r="N12" i="32"/>
  <c r="M10" i="32"/>
  <c r="M11" i="32"/>
  <c r="Q7" i="32"/>
  <c r="O9" i="32"/>
  <c r="M6" i="32"/>
  <c r="Q8" i="32"/>
  <c r="P10" i="32"/>
  <c r="L11" i="32"/>
  <c r="K12" i="32"/>
  <c r="Q11" i="32"/>
  <c r="K8" i="32"/>
  <c r="M7" i="32"/>
  <c r="F44" i="32"/>
  <c r="K11" i="32"/>
  <c r="T15" i="36"/>
  <c r="AC39" i="34"/>
  <c r="AC21" i="34"/>
  <c r="AE23" i="34"/>
  <c r="AE22" i="34"/>
  <c r="S24" i="36"/>
  <c r="S25" i="36" s="1"/>
  <c r="S26" i="36"/>
  <c r="AK10" i="34" l="1"/>
  <c r="AB13" i="36"/>
  <c r="AK14" i="34"/>
  <c r="AK15" i="34" s="1"/>
  <c r="AK13" i="34"/>
  <c r="T26" i="36"/>
  <c r="T24" i="36"/>
  <c r="T25" i="36" s="1"/>
  <c r="S27" i="36"/>
  <c r="S16" i="36"/>
  <c r="AE20" i="34"/>
  <c r="F43" i="32"/>
  <c r="G41" i="32"/>
  <c r="G45" i="32" s="1"/>
  <c r="F42" i="32"/>
  <c r="G42" i="32" s="1"/>
  <c r="F45" i="32"/>
  <c r="AD21" i="34"/>
  <c r="AD39" i="34"/>
  <c r="U15" i="36"/>
  <c r="AK11" i="34"/>
  <c r="AL12" i="34"/>
  <c r="AA24" i="34"/>
  <c r="R17" i="36"/>
  <c r="AF23" i="34"/>
  <c r="AF22" i="34"/>
  <c r="AL10" i="34" l="1"/>
  <c r="AC13" i="36"/>
  <c r="AL13" i="34"/>
  <c r="AL14" i="34"/>
  <c r="AL15" i="34" s="1"/>
  <c r="AE21" i="34"/>
  <c r="AE39" i="34"/>
  <c r="V15" i="36"/>
  <c r="U24" i="36"/>
  <c r="U25" i="36" s="1"/>
  <c r="U26" i="36"/>
  <c r="E6" i="34"/>
  <c r="S17" i="36"/>
  <c r="AB24" i="34"/>
  <c r="AF20" i="34"/>
  <c r="AL11" i="34"/>
  <c r="AM12" i="34"/>
  <c r="AG23" i="34"/>
  <c r="AG22" i="34"/>
  <c r="T16" i="36"/>
  <c r="T27" i="36"/>
  <c r="AM10" i="34" l="1"/>
  <c r="AM11" i="34" s="1"/>
  <c r="AD13" i="36"/>
  <c r="AM13" i="34"/>
  <c r="AM14" i="34"/>
  <c r="AM15" i="34" s="1"/>
  <c r="AG20" i="34"/>
  <c r="AG39" i="34" s="1"/>
  <c r="U16" i="36"/>
  <c r="L8" i="36" s="1"/>
  <c r="U27" i="36"/>
  <c r="T17" i="36"/>
  <c r="AC24" i="34"/>
  <c r="AN12" i="34"/>
  <c r="AF21" i="34"/>
  <c r="AF39" i="34"/>
  <c r="W15" i="36"/>
  <c r="V24" i="36"/>
  <c r="V25" i="36" s="1"/>
  <c r="V26" i="36"/>
  <c r="AH23" i="34"/>
  <c r="AH22" i="34"/>
  <c r="AN10" i="34" l="1"/>
  <c r="AE13" i="36"/>
  <c r="AG21" i="34"/>
  <c r="X15" i="36"/>
  <c r="X24" i="36" s="1"/>
  <c r="X25" i="36" s="1"/>
  <c r="AN14" i="34"/>
  <c r="AN15" i="34" s="1"/>
  <c r="AN13" i="34"/>
  <c r="AI23" i="34"/>
  <c r="AI22" i="34"/>
  <c r="AD24" i="34"/>
  <c r="U17" i="36"/>
  <c r="L9" i="36" s="1"/>
  <c r="V27" i="36"/>
  <c r="V16" i="36"/>
  <c r="W24" i="36"/>
  <c r="W25" i="36" s="1"/>
  <c r="W26" i="36"/>
  <c r="AH20" i="34"/>
  <c r="C8" i="34"/>
  <c r="D8" i="34" s="1"/>
  <c r="AN11" i="34"/>
  <c r="AO12" i="34"/>
  <c r="AO10" i="34" l="1"/>
  <c r="AO11" i="34" s="1"/>
  <c r="AF13" i="36"/>
  <c r="X26" i="36"/>
  <c r="X16" i="36" s="1"/>
  <c r="AO13" i="34"/>
  <c r="AO14" i="34"/>
  <c r="AO15" i="34" s="1"/>
  <c r="W27" i="36"/>
  <c r="W16" i="36"/>
  <c r="AP12" i="34"/>
  <c r="AJ23" i="34"/>
  <c r="AJ22" i="34"/>
  <c r="AH39" i="34"/>
  <c r="AH21" i="34"/>
  <c r="Y15" i="36"/>
  <c r="V17" i="36"/>
  <c r="AE24" i="34"/>
  <c r="AI20" i="34"/>
  <c r="X27" i="36" l="1"/>
  <c r="AG24" i="34" s="1"/>
  <c r="AP10" i="34"/>
  <c r="AP11" i="34" s="1"/>
  <c r="AG13" i="36"/>
  <c r="AP14" i="34"/>
  <c r="AP15" i="34" s="1"/>
  <c r="AP13" i="34"/>
  <c r="AK23" i="34"/>
  <c r="AK22" i="34"/>
  <c r="Y24" i="36"/>
  <c r="Y25" i="36" s="1"/>
  <c r="Y26" i="36"/>
  <c r="AJ20" i="34"/>
  <c r="AQ12" i="34"/>
  <c r="AI21" i="34"/>
  <c r="Z15" i="36"/>
  <c r="AI39" i="34"/>
  <c r="X17" i="36"/>
  <c r="AF24" i="34"/>
  <c r="W17" i="36"/>
  <c r="AQ10" i="34" l="1"/>
  <c r="AQ11" i="34" s="1"/>
  <c r="AH13" i="36"/>
  <c r="AQ14" i="34"/>
  <c r="AQ15" i="34" s="1"/>
  <c r="AQ13" i="34"/>
  <c r="AJ21" i="34"/>
  <c r="AJ39" i="34"/>
  <c r="AA15" i="36"/>
  <c r="Z24" i="36"/>
  <c r="Z25" i="36" s="1"/>
  <c r="Z26" i="36"/>
  <c r="E7" i="34"/>
  <c r="Y27" i="36"/>
  <c r="Y16" i="36"/>
  <c r="AR12" i="34"/>
  <c r="AL23" i="34"/>
  <c r="AL22" i="34"/>
  <c r="AK20" i="34"/>
  <c r="AR10" i="34" l="1"/>
  <c r="AI13" i="36"/>
  <c r="AR14" i="34"/>
  <c r="AR15" i="34" s="1"/>
  <c r="AR13" i="34"/>
  <c r="AM23" i="34"/>
  <c r="AM22" i="34"/>
  <c r="AA24" i="36"/>
  <c r="AA25" i="36" s="1"/>
  <c r="AA26" i="36"/>
  <c r="AR11" i="34"/>
  <c r="AS12" i="34"/>
  <c r="AK21" i="34"/>
  <c r="AK39" i="34"/>
  <c r="AB15" i="36"/>
  <c r="Y17" i="36"/>
  <c r="AH24" i="34"/>
  <c r="Z27" i="36"/>
  <c r="Z16" i="36"/>
  <c r="M8" i="36" s="1"/>
  <c r="AL20" i="34"/>
  <c r="AS10" i="34" l="1"/>
  <c r="AJ13" i="36"/>
  <c r="AS13" i="34"/>
  <c r="AS14" i="34"/>
  <c r="AS15" i="34" s="1"/>
  <c r="AA27" i="36"/>
  <c r="AA16" i="36"/>
  <c r="AN23" i="34"/>
  <c r="AN22" i="34"/>
  <c r="AI24" i="34"/>
  <c r="Z17" i="36"/>
  <c r="M9" i="36" s="1"/>
  <c r="AB24" i="36"/>
  <c r="AB25" i="36" s="1"/>
  <c r="AB26" i="36"/>
  <c r="AM20" i="34"/>
  <c r="AL21" i="34"/>
  <c r="AL39" i="34"/>
  <c r="AC15" i="36"/>
  <c r="AS11" i="34"/>
  <c r="AT12" i="34"/>
  <c r="AT10" i="34" l="1"/>
  <c r="AT11" i="34" s="1"/>
  <c r="AK13" i="36"/>
  <c r="AT13" i="34"/>
  <c r="AT14" i="34"/>
  <c r="AT15" i="34" s="1"/>
  <c r="AC24" i="36"/>
  <c r="AC25" i="36" s="1"/>
  <c r="AC26" i="36"/>
  <c r="AD15" i="36"/>
  <c r="AM21" i="34"/>
  <c r="AM39" i="34"/>
  <c r="AO23" i="34"/>
  <c r="AO22" i="34"/>
  <c r="AU12" i="34"/>
  <c r="AJ24" i="34"/>
  <c r="AA17" i="36"/>
  <c r="AN20" i="34"/>
  <c r="AB16" i="36"/>
  <c r="AB27" i="36"/>
  <c r="AU10" i="34" l="1"/>
  <c r="AL13" i="36"/>
  <c r="AU13" i="34"/>
  <c r="AU14" i="34"/>
  <c r="AU15" i="34" s="1"/>
  <c r="AU11" i="34"/>
  <c r="AV12" i="34"/>
  <c r="AP23" i="34"/>
  <c r="AP22" i="34"/>
  <c r="AD24" i="36"/>
  <c r="AD25" i="36" s="1"/>
  <c r="AD26" i="36"/>
  <c r="AC27" i="36"/>
  <c r="AC16" i="36"/>
  <c r="AB17" i="36"/>
  <c r="AK24" i="34"/>
  <c r="AN39" i="34"/>
  <c r="AN21" i="34"/>
  <c r="AE15" i="36"/>
  <c r="AO20" i="34"/>
  <c r="AV10" i="34" l="1"/>
  <c r="AM13" i="36"/>
  <c r="AV14" i="34"/>
  <c r="AV15" i="34" s="1"/>
  <c r="AV13" i="34"/>
  <c r="AQ23" i="34"/>
  <c r="AQ22" i="34"/>
  <c r="AO39" i="34"/>
  <c r="AO21" i="34"/>
  <c r="AF15" i="36"/>
  <c r="AV11" i="34"/>
  <c r="AW12" i="34"/>
  <c r="AC17" i="36"/>
  <c r="AL24" i="34"/>
  <c r="AP20" i="34"/>
  <c r="AE26" i="36"/>
  <c r="AE24" i="36"/>
  <c r="AE25" i="36" s="1"/>
  <c r="E8" i="34"/>
  <c r="AD27" i="36"/>
  <c r="AD16" i="36"/>
  <c r="AW10" i="34" l="1"/>
  <c r="AW11" i="34" s="1"/>
  <c r="AN13" i="36"/>
  <c r="AW13" i="34"/>
  <c r="AW14" i="34"/>
  <c r="AW15" i="34" s="1"/>
  <c r="AE27" i="36"/>
  <c r="AE16" i="36"/>
  <c r="N8" i="36" s="1"/>
  <c r="AX12" i="34"/>
  <c r="AQ20" i="34"/>
  <c r="AP39" i="34"/>
  <c r="AG15" i="36"/>
  <c r="AP21" i="34"/>
  <c r="AF24" i="36"/>
  <c r="AF25" i="36" s="1"/>
  <c r="AF26" i="36"/>
  <c r="AD17" i="36"/>
  <c r="AM24" i="34"/>
  <c r="AR23" i="34"/>
  <c r="AR22" i="34"/>
  <c r="AX10" i="34" l="1"/>
  <c r="AX11" i="34" s="1"/>
  <c r="AO13" i="36"/>
  <c r="AX13" i="34"/>
  <c r="AX14" i="34"/>
  <c r="AX15" i="34" s="1"/>
  <c r="AR20" i="34"/>
  <c r="AI15" i="36" s="1"/>
  <c r="AS23" i="34"/>
  <c r="AS22" i="34"/>
  <c r="AG24" i="36"/>
  <c r="AG25" i="36" s="1"/>
  <c r="AG26" i="36"/>
  <c r="AF27" i="36"/>
  <c r="AF16" i="36"/>
  <c r="AH15" i="36"/>
  <c r="AQ39" i="34"/>
  <c r="AQ21" i="34"/>
  <c r="AN24" i="34"/>
  <c r="AE17" i="36"/>
  <c r="N9" i="36" s="1"/>
  <c r="C9" i="34"/>
  <c r="D9" i="34" s="1"/>
  <c r="AY12" i="34"/>
  <c r="AR21" i="34" l="1"/>
  <c r="AY10" i="34"/>
  <c r="AY11" i="34" s="1"/>
  <c r="AP13" i="36"/>
  <c r="AY14" i="34"/>
  <c r="AY15" i="34" s="1"/>
  <c r="AY13" i="34"/>
  <c r="AR39" i="34"/>
  <c r="AI24" i="36"/>
  <c r="AI25" i="36" s="1"/>
  <c r="AI26" i="36"/>
  <c r="AZ12" i="34"/>
  <c r="AG16" i="36"/>
  <c r="AG27" i="36"/>
  <c r="AH24" i="36"/>
  <c r="AH25" i="36" s="1"/>
  <c r="AH26" i="36"/>
  <c r="AS20" i="34"/>
  <c r="AT23" i="34"/>
  <c r="AT22" i="34"/>
  <c r="AF17" i="36"/>
  <c r="AO24" i="34"/>
  <c r="AZ10" i="34" l="1"/>
  <c r="AZ11" i="34" s="1"/>
  <c r="AQ13" i="36"/>
  <c r="AZ14" i="34"/>
  <c r="AZ15" i="34" s="1"/>
  <c r="AZ13" i="34"/>
  <c r="AT20" i="34"/>
  <c r="AS21" i="34"/>
  <c r="AS39" i="34"/>
  <c r="AJ15" i="36"/>
  <c r="AU23" i="34"/>
  <c r="AU22" i="34"/>
  <c r="AP24" i="34"/>
  <c r="AG17" i="36"/>
  <c r="BA12" i="34"/>
  <c r="AH27" i="36"/>
  <c r="AH16" i="36"/>
  <c r="AI16" i="36"/>
  <c r="AI27" i="36"/>
  <c r="BA10" i="34" l="1"/>
  <c r="AR13" i="36"/>
  <c r="BA14" i="34"/>
  <c r="BA15" i="34" s="1"/>
  <c r="BA13" i="34"/>
  <c r="AQ24" i="34"/>
  <c r="AH17" i="36"/>
  <c r="AJ26" i="36"/>
  <c r="AJ24" i="36"/>
  <c r="AJ25" i="36" s="1"/>
  <c r="BA11" i="34"/>
  <c r="BB12" i="34"/>
  <c r="AR24" i="34"/>
  <c r="AI17" i="36"/>
  <c r="AU20" i="34"/>
  <c r="AV23" i="34"/>
  <c r="AV22" i="34"/>
  <c r="AT21" i="34"/>
  <c r="AT39" i="34"/>
  <c r="AK15" i="36"/>
  <c r="BB10" i="34" l="1"/>
  <c r="AS13" i="36"/>
  <c r="BB13" i="34"/>
  <c r="BB14" i="34"/>
  <c r="BB15" i="34" s="1"/>
  <c r="AV20" i="34"/>
  <c r="AL15" i="36"/>
  <c r="AU21" i="34"/>
  <c r="AU39" i="34"/>
  <c r="AJ16" i="36"/>
  <c r="AJ27" i="36"/>
  <c r="AK24" i="36"/>
  <c r="AK25" i="36" s="1"/>
  <c r="AK26" i="36"/>
  <c r="AW23" i="34"/>
  <c r="AW22" i="34"/>
  <c r="BB11" i="34"/>
  <c r="BC12" i="34"/>
  <c r="BC10" i="34" l="1"/>
  <c r="AT13" i="36"/>
  <c r="BC14" i="34"/>
  <c r="BC15" i="34" s="1"/>
  <c r="BC13" i="34"/>
  <c r="BC11" i="34"/>
  <c r="BD12" i="34"/>
  <c r="AL24" i="36"/>
  <c r="AL25" i="36" s="1"/>
  <c r="AL26" i="36"/>
  <c r="AJ17" i="36"/>
  <c r="AS24" i="34"/>
  <c r="AW20" i="34"/>
  <c r="AX23" i="34"/>
  <c r="AX22" i="34"/>
  <c r="AK16" i="36"/>
  <c r="AK27" i="36"/>
  <c r="AV39" i="34"/>
  <c r="AM15" i="36"/>
  <c r="AV21" i="34"/>
  <c r="BD10" i="34" l="1"/>
  <c r="AU13" i="36"/>
  <c r="BD13" i="34"/>
  <c r="BD14" i="34"/>
  <c r="BD15" i="34" s="1"/>
  <c r="AL27" i="36"/>
  <c r="AL16" i="36"/>
  <c r="AX20" i="34"/>
  <c r="AY23" i="34"/>
  <c r="AY22" i="34"/>
  <c r="AW39" i="34"/>
  <c r="AW21" i="34"/>
  <c r="AN15" i="36"/>
  <c r="AK17" i="36"/>
  <c r="AT24" i="34"/>
  <c r="BD11" i="34"/>
  <c r="BE12" i="34"/>
  <c r="AM24" i="36"/>
  <c r="AM25" i="36" s="1"/>
  <c r="AM26" i="36"/>
  <c r="BE10" i="34" l="1"/>
  <c r="AV13" i="36"/>
  <c r="BE13" i="34"/>
  <c r="BE14" i="34"/>
  <c r="BE15" i="34" s="1"/>
  <c r="AO15" i="36"/>
  <c r="AX21" i="34"/>
  <c r="AX39" i="34"/>
  <c r="BE11" i="34"/>
  <c r="BF12" i="34"/>
  <c r="AN24" i="36"/>
  <c r="AN25" i="36" s="1"/>
  <c r="AN26" i="36"/>
  <c r="AZ23" i="34"/>
  <c r="AZ22" i="34"/>
  <c r="AY20" i="34"/>
  <c r="AM16" i="36"/>
  <c r="AM27" i="36"/>
  <c r="AU24" i="34"/>
  <c r="AL17" i="36"/>
  <c r="BF10" i="34" l="1"/>
  <c r="AW13" i="36"/>
  <c r="BF13" i="34"/>
  <c r="BF14" i="34"/>
  <c r="BF15" i="34" s="1"/>
  <c r="AZ20" i="34"/>
  <c r="AN16" i="36"/>
  <c r="AN27" i="36"/>
  <c r="AY21" i="34"/>
  <c r="AY39" i="34"/>
  <c r="AP15" i="36"/>
  <c r="E9" i="34"/>
  <c r="AO24" i="36"/>
  <c r="AO25" i="36" s="1"/>
  <c r="AO26" i="36"/>
  <c r="BG12" i="34"/>
  <c r="AV24" i="34"/>
  <c r="AM17" i="36"/>
  <c r="BA23" i="34"/>
  <c r="BA22" i="34"/>
  <c r="BG10" i="34" l="1"/>
  <c r="BG11" i="34" s="1"/>
  <c r="AX13" i="36"/>
  <c r="BG14" i="34"/>
  <c r="BG15" i="34" s="1"/>
  <c r="BG13" i="34"/>
  <c r="BB23" i="34"/>
  <c r="BB22" i="34"/>
  <c r="AO16" i="36"/>
  <c r="O8" i="36" s="1"/>
  <c r="AO27" i="36"/>
  <c r="AN17" i="36"/>
  <c r="AW24" i="34"/>
  <c r="BF11" i="34"/>
  <c r="BH12" i="34"/>
  <c r="AP26" i="36"/>
  <c r="AP24" i="36"/>
  <c r="AP25" i="36" s="1"/>
  <c r="BA20" i="34"/>
  <c r="AZ21" i="34"/>
  <c r="AZ39" i="34"/>
  <c r="AQ15" i="36"/>
  <c r="BH10" i="34" l="1"/>
  <c r="BH11" i="34" s="1"/>
  <c r="AY13" i="36"/>
  <c r="BH14" i="34"/>
  <c r="BH15" i="34" s="1"/>
  <c r="BH13" i="34"/>
  <c r="BB20" i="34"/>
  <c r="BB39" i="34" s="1"/>
  <c r="AQ24" i="36"/>
  <c r="AQ25" i="36" s="1"/>
  <c r="AQ26" i="36"/>
  <c r="AO17" i="36"/>
  <c r="O9" i="36" s="1"/>
  <c r="AX24" i="34"/>
  <c r="C10" i="34"/>
  <c r="D10" i="34" s="1"/>
  <c r="AP27" i="36"/>
  <c r="AP16" i="36"/>
  <c r="BC23" i="34"/>
  <c r="BC22" i="34"/>
  <c r="BA21" i="34"/>
  <c r="BA39" i="34"/>
  <c r="AR15" i="36"/>
  <c r="BB21" i="34" l="1"/>
  <c r="AS15" i="36"/>
  <c r="AS26" i="36" s="1"/>
  <c r="BH23" i="34"/>
  <c r="BH22" i="34"/>
  <c r="BC20" i="34"/>
  <c r="BC21" i="34" s="1"/>
  <c r="AR24" i="36"/>
  <c r="AR25" i="36" s="1"/>
  <c r="AR26" i="36"/>
  <c r="AY24" i="34"/>
  <c r="AP17" i="36"/>
  <c r="BD23" i="34"/>
  <c r="BD22" i="34"/>
  <c r="AQ16" i="36"/>
  <c r="AQ27" i="36"/>
  <c r="AS24" i="36" l="1"/>
  <c r="AS25" i="36" s="1"/>
  <c r="BC39" i="34"/>
  <c r="AT15" i="36"/>
  <c r="AT24" i="36" s="1"/>
  <c r="AT25" i="36" s="1"/>
  <c r="BH20" i="34"/>
  <c r="AQ17" i="36"/>
  <c r="AZ24" i="34"/>
  <c r="AR16" i="36"/>
  <c r="AR27" i="36"/>
  <c r="BD20" i="34"/>
  <c r="AS27" i="36"/>
  <c r="BE23" i="34"/>
  <c r="BE22" i="34"/>
  <c r="AS16" i="36" l="1"/>
  <c r="AT26" i="36"/>
  <c r="AT16" i="36" s="1"/>
  <c r="BH21" i="34"/>
  <c r="E10" i="34" s="1"/>
  <c r="BH39" i="34"/>
  <c r="AY15" i="36"/>
  <c r="BD39" i="34"/>
  <c r="AU15" i="36"/>
  <c r="BD21" i="34"/>
  <c r="AS17" i="36"/>
  <c r="BB24" i="34"/>
  <c r="BF23" i="34"/>
  <c r="BF22" i="34"/>
  <c r="BE20" i="34"/>
  <c r="BA24" i="34"/>
  <c r="AR17" i="36"/>
  <c r="AT27" i="36" l="1"/>
  <c r="AT17" i="36" s="1"/>
  <c r="AY24" i="36"/>
  <c r="AY25" i="36" s="1"/>
  <c r="AY26" i="36"/>
  <c r="BF20" i="34"/>
  <c r="BG23" i="34"/>
  <c r="BG22" i="34"/>
  <c r="BE21" i="34"/>
  <c r="BE39" i="34"/>
  <c r="AV15" i="36"/>
  <c r="AU24" i="36"/>
  <c r="AU25" i="36" s="1"/>
  <c r="AU26" i="36"/>
  <c r="BC24" i="34" l="1"/>
  <c r="AY16" i="36"/>
  <c r="P8" i="36" s="1"/>
  <c r="AY27" i="36"/>
  <c r="AU16" i="36"/>
  <c r="AU27" i="36"/>
  <c r="BG20" i="34"/>
  <c r="AV24" i="36"/>
  <c r="AV25" i="36" s="1"/>
  <c r="AV26" i="36"/>
  <c r="AW15" i="36"/>
  <c r="BF39" i="34"/>
  <c r="BF21" i="34"/>
  <c r="BH24" i="34" l="1"/>
  <c r="AY17" i="36"/>
  <c r="P9" i="36" s="1"/>
  <c r="BG39" i="34"/>
  <c r="AX15" i="36"/>
  <c r="BG21" i="34"/>
  <c r="L3" i="34"/>
  <c r="AV27" i="36"/>
  <c r="AV16" i="36"/>
  <c r="AU17" i="36"/>
  <c r="BD24" i="34"/>
  <c r="AW24" i="36"/>
  <c r="AW25" i="36" s="1"/>
  <c r="AW26" i="36"/>
  <c r="AW16" i="36" l="1"/>
  <c r="AW27" i="36"/>
  <c r="AV17" i="36"/>
  <c r="BE24" i="34"/>
  <c r="AX24" i="36"/>
  <c r="AX25" i="36" s="1"/>
  <c r="AX26" i="36"/>
  <c r="B1" i="30"/>
  <c r="H2" i="30"/>
  <c r="K25" i="34"/>
  <c r="K26" i="34" s="1"/>
  <c r="K27" i="34" s="1"/>
  <c r="K28" i="34" l="1"/>
  <c r="AX27" i="36"/>
  <c r="AX16" i="36"/>
  <c r="BF24" i="34"/>
  <c r="AW17" i="36"/>
  <c r="AX17" i="36" l="1"/>
  <c r="BG24" i="34"/>
  <c r="L25" i="34"/>
  <c r="L26" i="34" s="1"/>
  <c r="L27" i="34" s="1"/>
  <c r="L28" i="34" l="1"/>
  <c r="M25" i="34" l="1"/>
  <c r="M26" i="34" s="1"/>
  <c r="M27" i="34" s="1"/>
  <c r="M28" i="34" l="1"/>
  <c r="N25" i="34" l="1"/>
  <c r="N26" i="34" s="1"/>
  <c r="N27" i="34" s="1"/>
  <c r="N28" i="34" l="1"/>
  <c r="O25" i="34" l="1"/>
  <c r="O26" i="34" s="1"/>
  <c r="O27" i="34" l="1"/>
  <c r="F3" i="34"/>
  <c r="G3" i="34" l="1"/>
  <c r="O28" i="34"/>
  <c r="H3" i="34" l="1"/>
  <c r="P25" i="34"/>
  <c r="P26" i="34" s="1"/>
  <c r="P27" i="34" s="1"/>
  <c r="P28" i="34" s="1"/>
  <c r="Q25" i="34" s="1"/>
  <c r="Q26" i="34" s="1"/>
  <c r="Q27" i="34" s="1"/>
  <c r="Q28" i="34" s="1"/>
  <c r="R25" i="34" s="1"/>
  <c r="R26" i="34" s="1"/>
  <c r="R27" i="34" s="1"/>
  <c r="R28" i="34" s="1"/>
  <c r="S25" i="34" s="1"/>
  <c r="S26" i="34" s="1"/>
  <c r="S27" i="34" s="1"/>
  <c r="S28" i="34" s="1"/>
  <c r="T25" i="34" s="1"/>
  <c r="T26" i="34" s="1"/>
  <c r="F4" i="34" l="1"/>
  <c r="T27" i="34"/>
  <c r="G4" i="34" l="1"/>
  <c r="T28" i="34"/>
  <c r="H4" i="34" l="1"/>
  <c r="U25" i="34"/>
  <c r="U26" i="34" s="1"/>
  <c r="U27" i="34" s="1"/>
  <c r="U28" i="34" s="1"/>
  <c r="V25" i="34" s="1"/>
  <c r="V26" i="34" s="1"/>
  <c r="V27" i="34" s="1"/>
  <c r="V28" i="34" s="1"/>
  <c r="W25" i="34" s="1"/>
  <c r="W26" i="34" s="1"/>
  <c r="W27" i="34" s="1"/>
  <c r="W28" i="34" s="1"/>
  <c r="X25" i="34" s="1"/>
  <c r="X26" i="34" s="1"/>
  <c r="X27" i="34" s="1"/>
  <c r="X28" i="34" s="1"/>
  <c r="Y25" i="34" s="1"/>
  <c r="Y26" i="34" s="1"/>
  <c r="F5" i="34" l="1"/>
  <c r="Y27" i="34"/>
  <c r="G5" i="34" l="1"/>
  <c r="Y28" i="34"/>
  <c r="H5" i="34" l="1"/>
  <c r="Z25" i="34"/>
  <c r="Z26" i="34" l="1"/>
  <c r="Z27" i="34" s="1"/>
  <c r="Z28" i="34" s="1"/>
  <c r="AA25" i="34" s="1"/>
  <c r="AA26" i="34" s="1"/>
  <c r="AA27" i="34" s="1"/>
  <c r="AA28" i="34" s="1"/>
  <c r="AB25" i="34" s="1"/>
  <c r="AB26" i="34" s="1"/>
  <c r="AB27" i="34" s="1"/>
  <c r="AB28" i="34" s="1"/>
  <c r="AC25" i="34" s="1"/>
  <c r="AC26" i="34" s="1"/>
  <c r="AC27" i="34" s="1"/>
  <c r="AC28" i="34" s="1"/>
  <c r="AD25" i="34" s="1"/>
  <c r="AD26" i="34" s="1"/>
  <c r="F6" i="34" s="1"/>
  <c r="AD27" i="34" l="1"/>
  <c r="AD28" i="34" s="1"/>
  <c r="G6" i="34"/>
  <c r="H6" i="34" l="1"/>
  <c r="AE25" i="34"/>
  <c r="AE26" i="34" s="1"/>
  <c r="AE27" i="34" s="1"/>
  <c r="AE28" i="34" s="1"/>
  <c r="AF25" i="34" l="1"/>
  <c r="AF26" i="34" s="1"/>
  <c r="AF27" i="34" s="1"/>
  <c r="AF28" i="34" s="1"/>
  <c r="AG25" i="34" s="1"/>
  <c r="AG26" i="34" s="1"/>
  <c r="AG27" i="34" s="1"/>
  <c r="AG28" i="34" s="1"/>
  <c r="AH25" i="34" s="1"/>
  <c r="AH26" i="34" s="1"/>
  <c r="AH27" i="34" s="1"/>
  <c r="AH28" i="34" s="1"/>
  <c r="AI25" i="34" s="1"/>
  <c r="AI26" i="34" s="1"/>
  <c r="F7" i="34" s="1"/>
  <c r="AI27" i="34" l="1"/>
  <c r="G7" i="34" s="1"/>
  <c r="AI28" i="34" l="1"/>
  <c r="H7" i="34" s="1"/>
  <c r="AJ25" i="34"/>
  <c r="AJ26" i="34" s="1"/>
  <c r="AJ27" i="34" s="1"/>
  <c r="AJ28" i="34" s="1"/>
  <c r="AK25" i="34" l="1"/>
  <c r="AK26" i="34" s="1"/>
  <c r="AK27" i="34" s="1"/>
  <c r="AK28" i="34" s="1"/>
  <c r="AL25" i="34" s="1"/>
  <c r="AL26" i="34" s="1"/>
  <c r="AL27" i="34" s="1"/>
  <c r="AL28" i="34" s="1"/>
  <c r="AM25" i="34" s="1"/>
  <c r="AM26" i="34" s="1"/>
  <c r="AM27" i="34" s="1"/>
  <c r="AM28" i="34" s="1"/>
  <c r="AN25" i="34" s="1"/>
  <c r="AN26" i="34" s="1"/>
  <c r="F8" i="34" s="1"/>
  <c r="AN27" i="34" l="1"/>
  <c r="G8" i="34" s="1"/>
  <c r="AN28" i="34" l="1"/>
  <c r="H8" i="34" s="1"/>
  <c r="AO25" i="34" l="1"/>
  <c r="AO26" i="34" s="1"/>
  <c r="AO27" i="34" s="1"/>
  <c r="AO28" i="34" s="1"/>
  <c r="AP25" i="34" s="1"/>
  <c r="AP26" i="34" s="1"/>
  <c r="AP27" i="34" s="1"/>
  <c r="AP28" i="34" s="1"/>
  <c r="AQ25" i="34" s="1"/>
  <c r="AQ26" i="34" s="1"/>
  <c r="AQ27" i="34" s="1"/>
  <c r="AQ28" i="34" s="1"/>
  <c r="AR25" i="34" s="1"/>
  <c r="AR26" i="34" s="1"/>
  <c r="AR27" i="34" s="1"/>
  <c r="AR28" i="34" s="1"/>
  <c r="AS25" i="34" s="1"/>
  <c r="AS26" i="34" s="1"/>
  <c r="AS27" i="34" s="1"/>
  <c r="AS28" i="34" s="1"/>
  <c r="AT25" i="34" s="1"/>
  <c r="AT26" i="34" s="1"/>
  <c r="AT27" i="34" s="1"/>
  <c r="AT28" i="34" s="1"/>
  <c r="AU25" i="34" s="1"/>
  <c r="AU26" i="34" s="1"/>
  <c r="AU27" i="34" s="1"/>
  <c r="AU28" i="34" s="1"/>
  <c r="AV25" i="34" s="1"/>
  <c r="AV26" i="34" s="1"/>
  <c r="AV27" i="34" s="1"/>
  <c r="AV28" i="34" s="1"/>
  <c r="AW25" i="34" s="1"/>
  <c r="AW26" i="34" s="1"/>
  <c r="AW27" i="34" s="1"/>
  <c r="AW28" i="34" s="1"/>
  <c r="AX25" i="34" s="1"/>
  <c r="AX26" i="34" s="1"/>
  <c r="F9" i="34" s="1"/>
  <c r="AX27" i="34" l="1"/>
  <c r="AX28" i="34" s="1"/>
  <c r="G9" i="34" l="1"/>
  <c r="H9" i="34"/>
  <c r="AY25" i="34"/>
  <c r="AY26" i="34" s="1"/>
  <c r="AY27" i="34" s="1"/>
  <c r="AY28" i="34" s="1"/>
  <c r="AZ25" i="34" s="1"/>
  <c r="AZ26" i="34" s="1"/>
  <c r="AZ27" i="34" s="1"/>
  <c r="AZ28" i="34" s="1"/>
  <c r="BA25" i="34" s="1"/>
  <c r="BA26" i="34" s="1"/>
  <c r="BA27" i="34" s="1"/>
  <c r="BA28" i="34" s="1"/>
  <c r="BB25" i="34" s="1"/>
  <c r="BB26" i="34" s="1"/>
  <c r="BB27" i="34" s="1"/>
  <c r="BB28" i="34" s="1"/>
  <c r="BC25" i="34" s="1"/>
  <c r="BC26" i="34" s="1"/>
  <c r="BC27" i="34" s="1"/>
  <c r="BC28" i="34" s="1"/>
  <c r="BD25" i="34" s="1"/>
  <c r="BD26" i="34" s="1"/>
  <c r="BD27" i="34" s="1"/>
  <c r="BD28" i="34" s="1"/>
  <c r="BE25" i="34" s="1"/>
  <c r="BE26" i="34" s="1"/>
  <c r="BE27" i="34" s="1"/>
  <c r="BE28" i="34" s="1"/>
  <c r="BF25" i="34" s="1"/>
  <c r="BF26" i="34" s="1"/>
  <c r="BF27" i="34" s="1"/>
  <c r="BF28" i="34" s="1"/>
  <c r="BG25" i="34" s="1"/>
  <c r="BG26" i="34" s="1"/>
  <c r="BG27" i="34" s="1"/>
  <c r="BG28" i="34" s="1"/>
  <c r="BH25" i="34" s="1"/>
  <c r="BH26" i="34" s="1"/>
  <c r="BH27" i="34" l="1"/>
  <c r="F10" i="34"/>
  <c r="G10" i="34" l="1"/>
  <c r="BH28" i="34"/>
  <c r="O4" i="34" s="1"/>
  <c r="G46" i="32" s="1"/>
  <c r="H10" i="34" l="1"/>
</calcChain>
</file>

<file path=xl/sharedStrings.xml><?xml version="1.0" encoding="utf-8"?>
<sst xmlns="http://schemas.openxmlformats.org/spreadsheetml/2006/main" count="943" uniqueCount="536">
  <si>
    <t>Unit</t>
  </si>
  <si>
    <t>Quantity</t>
  </si>
  <si>
    <t>University of Missouri Extension</t>
  </si>
  <si>
    <t>This worksheet is for educational purposes only and the user assumes all risks associated with its use.</t>
  </si>
  <si>
    <t>Ownership costs</t>
  </si>
  <si>
    <t xml:space="preserve">Income </t>
  </si>
  <si>
    <t xml:space="preserve">Total income </t>
  </si>
  <si>
    <t>Number of bays</t>
  </si>
  <si>
    <t>Bay width</t>
  </si>
  <si>
    <t>Bay length</t>
  </si>
  <si>
    <t>number</t>
  </si>
  <si>
    <t>feet</t>
  </si>
  <si>
    <t>Total area</t>
  </si>
  <si>
    <t>Space utilized</t>
  </si>
  <si>
    <t>percent</t>
  </si>
  <si>
    <t>Total per year</t>
  </si>
  <si>
    <t>Natural gas</t>
  </si>
  <si>
    <t>Price per unit</t>
  </si>
  <si>
    <t>kilowatt-hr</t>
  </si>
  <si>
    <t xml:space="preserve">Operating costs </t>
  </si>
  <si>
    <t>Production supplies</t>
  </si>
  <si>
    <t>Utilities</t>
  </si>
  <si>
    <t>Phone and Internet</t>
  </si>
  <si>
    <t>Professional services</t>
  </si>
  <si>
    <t>Marketing and promotion</t>
  </si>
  <si>
    <t>Table 1. Greenhouse configuration (deep water culture)</t>
  </si>
  <si>
    <t>Growing production area</t>
  </si>
  <si>
    <t>pound</t>
  </si>
  <si>
    <t xml:space="preserve">Leafy greens </t>
  </si>
  <si>
    <t>head per sq. ft./year</t>
  </si>
  <si>
    <t>square foot</t>
  </si>
  <si>
    <t>month</t>
  </si>
  <si>
    <t>gallon</t>
  </si>
  <si>
    <t>Operation</t>
  </si>
  <si>
    <t>Total operating costs</t>
  </si>
  <si>
    <t>Total ownership costs</t>
  </si>
  <si>
    <t xml:space="preserve">Total costs </t>
  </si>
  <si>
    <t>Expense</t>
  </si>
  <si>
    <t>Miscellaneous</t>
  </si>
  <si>
    <t>package</t>
  </si>
  <si>
    <t>case</t>
  </si>
  <si>
    <r>
      <t xml:space="preserve">Seed </t>
    </r>
    <r>
      <rPr>
        <sz val="9"/>
        <color theme="1"/>
        <rFont val="Segoe UI"/>
        <family val="2"/>
        <scheme val="minor"/>
      </rPr>
      <t>(5,000 seeds)</t>
    </r>
  </si>
  <si>
    <r>
      <t xml:space="preserve">Horticubes </t>
    </r>
    <r>
      <rPr>
        <sz val="9"/>
        <color theme="1"/>
        <rFont val="Segoe UI"/>
        <family val="2"/>
        <scheme val="minor"/>
      </rPr>
      <t>(5,520/case)</t>
    </r>
  </si>
  <si>
    <t>Per sq. ft.</t>
  </si>
  <si>
    <t>Per year</t>
  </si>
  <si>
    <t>Income over operating costs</t>
  </si>
  <si>
    <t>Income over total costs</t>
  </si>
  <si>
    <t>Utility</t>
  </si>
  <si>
    <t>head per year</t>
  </si>
  <si>
    <t>roll</t>
  </si>
  <si>
    <t>box</t>
  </si>
  <si>
    <t>Total</t>
  </si>
  <si>
    <t>Summary</t>
  </si>
  <si>
    <t>Repairs</t>
  </si>
  <si>
    <t>Useful life</t>
  </si>
  <si>
    <t>Salvage Value</t>
  </si>
  <si>
    <t>Percent</t>
  </si>
  <si>
    <t>Propane</t>
  </si>
  <si>
    <t>gallons</t>
  </si>
  <si>
    <t>1,000 cu. ft.</t>
  </si>
  <si>
    <t>Packout rate</t>
  </si>
  <si>
    <t>Production yield</t>
  </si>
  <si>
    <t>Electricity</t>
  </si>
  <si>
    <t>Average sales price</t>
  </si>
  <si>
    <t>Category</t>
  </si>
  <si>
    <t>Dollars per head</t>
  </si>
  <si>
    <t>hours/week</t>
  </si>
  <si>
    <t>Other</t>
  </si>
  <si>
    <t>Leafy Greens Budget (Deep Water Culture)</t>
  </si>
  <si>
    <t xml:space="preserve">Labor </t>
  </si>
  <si>
    <t>Interest on operating capital</t>
  </si>
  <si>
    <t>Table 2. Greenhouse capital investment (deep water culture)</t>
  </si>
  <si>
    <t>Repair rate</t>
  </si>
  <si>
    <t>Interest rate</t>
  </si>
  <si>
    <t>Tax rate</t>
  </si>
  <si>
    <t>Insurance rate</t>
  </si>
  <si>
    <t>Depreciation on greenhouse and equipment</t>
  </si>
  <si>
    <t>Interest on greenhouse and equipment</t>
  </si>
  <si>
    <t>Operating weeks</t>
  </si>
  <si>
    <t>Water</t>
  </si>
  <si>
    <t>Insurance and tax on greenhouse and equipment</t>
  </si>
  <si>
    <t>Sticky traps</t>
  </si>
  <si>
    <t>crisper</t>
  </si>
  <si>
    <t>liner</t>
  </si>
  <si>
    <t xml:space="preserve">Bulk - Lettuce box liners </t>
  </si>
  <si>
    <t xml:space="preserve">Bulk - Lettuce pack box </t>
  </si>
  <si>
    <r>
      <t>Crisper labels</t>
    </r>
    <r>
      <rPr>
        <sz val="9"/>
        <color theme="1"/>
        <rFont val="Segoe UI"/>
        <family val="2"/>
        <scheme val="minor"/>
      </rPr>
      <t xml:space="preserve"> (2,000/roll)</t>
    </r>
  </si>
  <si>
    <t>Lettuce crisper box</t>
  </si>
  <si>
    <r>
      <t xml:space="preserve">Fertilizer </t>
    </r>
    <r>
      <rPr>
        <sz val="9"/>
        <color theme="1"/>
        <rFont val="Segoe UI"/>
        <family val="2"/>
        <scheme val="minor"/>
      </rPr>
      <t>(calcium nitrate)</t>
    </r>
  </si>
  <si>
    <r>
      <t xml:space="preserve">Fertilizer </t>
    </r>
    <r>
      <rPr>
        <sz val="9"/>
        <color theme="1"/>
        <rFont val="Segoe UI"/>
        <family val="2"/>
        <scheme val="minor"/>
      </rPr>
      <t>(manganese sulfate)</t>
    </r>
  </si>
  <si>
    <r>
      <t xml:space="preserve">Fertilizer </t>
    </r>
    <r>
      <rPr>
        <sz val="9"/>
        <color theme="1"/>
        <rFont val="Segoe UI"/>
        <family val="2"/>
        <scheme val="minor"/>
      </rPr>
      <t>(5-12-26)</t>
    </r>
  </si>
  <si>
    <t>Other growing materials</t>
  </si>
  <si>
    <t>Table 4. Greenhouse utilities</t>
  </si>
  <si>
    <t xml:space="preserve">Table 6. Production supplies </t>
  </si>
  <si>
    <t>Table 7. Packing supplies</t>
  </si>
  <si>
    <t>Packaging supplies</t>
  </si>
  <si>
    <t>percent sold</t>
  </si>
  <si>
    <t>Table 3. Greenhouse production, sales and marketing</t>
  </si>
  <si>
    <t>percent of sales</t>
  </si>
  <si>
    <t>Fungicide/Insecticide</t>
  </si>
  <si>
    <t>Production, harvest, pack</t>
  </si>
  <si>
    <t xml:space="preserve">FTE </t>
  </si>
  <si>
    <t>total</t>
  </si>
  <si>
    <t>Greenhouse structure/covering</t>
  </si>
  <si>
    <t>Greenhouse environmental controls</t>
  </si>
  <si>
    <t>Growing/storage/other equipment</t>
  </si>
  <si>
    <t>Land/site preparation/infrastructure</t>
  </si>
  <si>
    <t>Insects</t>
  </si>
  <si>
    <r>
      <t>Lettuce crispers</t>
    </r>
    <r>
      <rPr>
        <sz val="9"/>
        <color theme="1"/>
        <rFont val="Segoe UI"/>
        <family val="2"/>
        <scheme val="minor"/>
      </rPr>
      <t xml:space="preserve"> </t>
    </r>
  </si>
  <si>
    <t xml:space="preserve">Table 5. Hired labor </t>
  </si>
  <si>
    <t>Price/unit</t>
  </si>
  <si>
    <t>Units</t>
  </si>
  <si>
    <t xml:space="preserve">  Interest on capital investments</t>
  </si>
  <si>
    <t xml:space="preserve">  Overhead, taxes and insurance</t>
  </si>
  <si>
    <t>Operating costs</t>
  </si>
  <si>
    <t>% of sales</t>
  </si>
  <si>
    <t>Marketing channel - wholesale</t>
  </si>
  <si>
    <t>percent of production</t>
  </si>
  <si>
    <t>Depreciation</t>
  </si>
  <si>
    <t>Interest</t>
  </si>
  <si>
    <t xml:space="preserve">  Land charge</t>
  </si>
  <si>
    <t>application</t>
  </si>
  <si>
    <t>Developed by:</t>
  </si>
  <si>
    <t>Orchard size</t>
  </si>
  <si>
    <t>acres</t>
  </si>
  <si>
    <t>square feet per tree</t>
  </si>
  <si>
    <t>Site preparation</t>
  </si>
  <si>
    <t>Lime</t>
  </si>
  <si>
    <t>Per tree</t>
  </si>
  <si>
    <t>tons</t>
  </si>
  <si>
    <t>Nitrogen</t>
  </si>
  <si>
    <t>Phosphorous</t>
  </si>
  <si>
    <t>Potassium</t>
  </si>
  <si>
    <t>Soil tests</t>
  </si>
  <si>
    <t>Fertility</t>
  </si>
  <si>
    <t>tests</t>
  </si>
  <si>
    <t>pounds</t>
  </si>
  <si>
    <t>Zinc Sulfate</t>
  </si>
  <si>
    <t>Hand tools</t>
  </si>
  <si>
    <t xml:space="preserve">  Depreciation on equipment</t>
  </si>
  <si>
    <t>Item</t>
  </si>
  <si>
    <t>Cost</t>
  </si>
  <si>
    <t>Rakes</t>
  </si>
  <si>
    <t>Shovels</t>
  </si>
  <si>
    <t>Post hole digger</t>
  </si>
  <si>
    <t>Lopper</t>
  </si>
  <si>
    <t>Chainsaw</t>
  </si>
  <si>
    <t>Marketing and promotion - wholesale</t>
  </si>
  <si>
    <t>Marketing and promotion - retail</t>
  </si>
  <si>
    <t>Facility and equipment repair</t>
  </si>
  <si>
    <t>Fuel and utilities</t>
  </si>
  <si>
    <t>Mowing</t>
  </si>
  <si>
    <t>per cutting</t>
  </si>
  <si>
    <t>Irrigation water</t>
  </si>
  <si>
    <t>inches applied</t>
  </si>
  <si>
    <t>Capital interest rate</t>
  </si>
  <si>
    <t>Operating interest rate</t>
  </si>
  <si>
    <t>percent APR</t>
  </si>
  <si>
    <t>applications</t>
  </si>
  <si>
    <t>per acre</t>
  </si>
  <si>
    <t>Number of improved trees</t>
  </si>
  <si>
    <t>$ per ton, applied</t>
  </si>
  <si>
    <t>$ per lb N2O</t>
  </si>
  <si>
    <t>$ per lb P2O5</t>
  </si>
  <si>
    <t>$ per lb K2O</t>
  </si>
  <si>
    <t>$ per pound</t>
  </si>
  <si>
    <t>$ per pound applied</t>
  </si>
  <si>
    <t>$ per test</t>
  </si>
  <si>
    <t>$ per application/acre</t>
  </si>
  <si>
    <t>grading, drainage, tillage, and understory seeding</t>
  </si>
  <si>
    <t>Irrigation costs</t>
  </si>
  <si>
    <t>per acre-inch</t>
  </si>
  <si>
    <t>Fencing</t>
  </si>
  <si>
    <t>Labor</t>
  </si>
  <si>
    <t>$ per hour</t>
  </si>
  <si>
    <t>Understory mowing</t>
  </si>
  <si>
    <t>Pest management</t>
  </si>
  <si>
    <t>% annual return</t>
  </si>
  <si>
    <t>Require 1 inch/week from budbreak to nut maturity - 2 inches/week during summer heat (flood, sprinkler, trickle irrigation)</t>
  </si>
  <si>
    <t>100 pounds actual nitrogen/acre</t>
  </si>
  <si>
    <t>Irrigation window: April 1 - September 15</t>
  </si>
  <si>
    <t>Growing pecans in Missouri Guide</t>
  </si>
  <si>
    <t xml:space="preserve">(Orbit at 4 fluid ounces or Enable 2F at 8 fluid ounces) at three-fourths to one-inch growth after budbreak. </t>
  </si>
  <si>
    <t>Follow the first spray by two applications (of Super Tin 4L at 6 fluid ounces plus Benlate 50 WP or Topsin M 70W at 0.5 pound) at 14- to 21-day intervals.</t>
  </si>
  <si>
    <t>Grafting</t>
  </si>
  <si>
    <t>Tree planting year</t>
  </si>
  <si>
    <t>0 is a perfectly even yield, 1 is perfect alternation with NO fruiting in off year</t>
  </si>
  <si>
    <t>scions</t>
  </si>
  <si>
    <t>Improved variety starting density</t>
  </si>
  <si>
    <t>year of production</t>
  </si>
  <si>
    <t>First orchard thinning</t>
  </si>
  <si>
    <t>Second orchard thinning</t>
  </si>
  <si>
    <t>Low yield for operation</t>
  </si>
  <si>
    <t>Year</t>
  </si>
  <si>
    <t>Average yield for operation</t>
  </si>
  <si>
    <t>High yield for operation</t>
  </si>
  <si>
    <t>High yield per tree</t>
  </si>
  <si>
    <t>Average yield per tree</t>
  </si>
  <si>
    <t>Low yield per tree</t>
  </si>
  <si>
    <t>Trees in production</t>
  </si>
  <si>
    <t>Table 6. Labor use</t>
  </si>
  <si>
    <t>Labor type</t>
  </si>
  <si>
    <t>Tree planting</t>
  </si>
  <si>
    <t>Small tree pruning</t>
  </si>
  <si>
    <t>Large tree pruning</t>
  </si>
  <si>
    <t>Harvest</t>
  </si>
  <si>
    <t>Orchard maintenance</t>
  </si>
  <si>
    <t>Minutes per tree</t>
  </si>
  <si>
    <t>Minutes per pound</t>
  </si>
  <si>
    <t>Irrigation management and maintenance</t>
  </si>
  <si>
    <t>Cost per unit</t>
  </si>
  <si>
    <t>Yield bump per tree after thinning</t>
  </si>
  <si>
    <t>hours</t>
  </si>
  <si>
    <t>Planting labor</t>
  </si>
  <si>
    <t>Total ownership costs per year</t>
  </si>
  <si>
    <t>Trees removed</t>
  </si>
  <si>
    <t>End year of growth rate</t>
  </si>
  <si>
    <t>per cutting per acre</t>
  </si>
  <si>
    <t>trees per acre</t>
  </si>
  <si>
    <t>Orchard thinning</t>
  </si>
  <si>
    <t>$ per tree removed</t>
  </si>
  <si>
    <t>Production growth rate</t>
  </si>
  <si>
    <t>Percentage of pollinator trees</t>
  </si>
  <si>
    <t>% of trees</t>
  </si>
  <si>
    <t>Broadcast herbicide</t>
  </si>
  <si>
    <t>Spot-applied herbicide</t>
  </si>
  <si>
    <t>Spot applied herbicide</t>
  </si>
  <si>
    <t>Expected breakeven year</t>
  </si>
  <si>
    <t>Year 1</t>
  </si>
  <si>
    <t>Year 2</t>
  </si>
  <si>
    <t>Year 3</t>
  </si>
  <si>
    <t>Year 4</t>
  </si>
  <si>
    <t>Year 5</t>
  </si>
  <si>
    <t>Year 6</t>
  </si>
  <si>
    <t>Year 7</t>
  </si>
  <si>
    <t>Year 8</t>
  </si>
  <si>
    <t>Year 9</t>
  </si>
  <si>
    <t>Year 10</t>
  </si>
  <si>
    <t>Year 11</t>
  </si>
  <si>
    <t>Year 12</t>
  </si>
  <si>
    <t>Year 13</t>
  </si>
  <si>
    <t>Year 14</t>
  </si>
  <si>
    <t>Year 15</t>
  </si>
  <si>
    <t>Year 16</t>
  </si>
  <si>
    <t>Year 17</t>
  </si>
  <si>
    <t>Year 18</t>
  </si>
  <si>
    <t>Year 19</t>
  </si>
  <si>
    <t>Year 20</t>
  </si>
  <si>
    <t>Year 21</t>
  </si>
  <si>
    <t>Year 22</t>
  </si>
  <si>
    <t>Year 23</t>
  </si>
  <si>
    <t>Year 24</t>
  </si>
  <si>
    <t>Year 25</t>
  </si>
  <si>
    <t>Year 26</t>
  </si>
  <si>
    <t>Year 27</t>
  </si>
  <si>
    <t>Year 28</t>
  </si>
  <si>
    <t>Year 29</t>
  </si>
  <si>
    <t>Year 30</t>
  </si>
  <si>
    <t>Year 31</t>
  </si>
  <si>
    <t>Year 32</t>
  </si>
  <si>
    <t>Year 33</t>
  </si>
  <si>
    <t>Year 34</t>
  </si>
  <si>
    <t>Year 35</t>
  </si>
  <si>
    <t>Year 36</t>
  </si>
  <si>
    <t>Year 37</t>
  </si>
  <si>
    <t>Year 38</t>
  </si>
  <si>
    <t>Year 39</t>
  </si>
  <si>
    <t>Year 40</t>
  </si>
  <si>
    <t>Year 41</t>
  </si>
  <si>
    <t>Year 42</t>
  </si>
  <si>
    <t>Year 43</t>
  </si>
  <si>
    <t>Year 44</t>
  </si>
  <si>
    <t>Year 45</t>
  </si>
  <si>
    <t>Year 46</t>
  </si>
  <si>
    <t>Year 47</t>
  </si>
  <si>
    <t>Year 48</t>
  </si>
  <si>
    <t>Year 49</t>
  </si>
  <si>
    <t>Year 50</t>
  </si>
  <si>
    <t>Default yield</t>
  </si>
  <si>
    <t>year 1 average</t>
  </si>
  <si>
    <t>Drew Kientzy and Mallory Rahe</t>
  </si>
  <si>
    <t>three applications</t>
  </si>
  <si>
    <t>April, June, and August</t>
  </si>
  <si>
    <t>Acres</t>
  </si>
  <si>
    <t>Length</t>
  </si>
  <si>
    <t>Width</t>
  </si>
  <si>
    <t>Trees per acre</t>
  </si>
  <si>
    <t>Trees in row</t>
  </si>
  <si>
    <t>gallons per tree per hour</t>
  </si>
  <si>
    <t>Total flow</t>
  </si>
  <si>
    <t>gallons per hour</t>
  </si>
  <si>
    <t>Pipe sizing</t>
  </si>
  <si>
    <t>at 40 psi</t>
  </si>
  <si>
    <t>Pipe</t>
  </si>
  <si>
    <t>Flow (GPH)</t>
  </si>
  <si>
    <t>Mainline pipe</t>
  </si>
  <si>
    <t>acreage check</t>
  </si>
  <si>
    <t>tree check</t>
  </si>
  <si>
    <t>Cost per foot</t>
  </si>
  <si>
    <t>Simultaneous irrigation</t>
  </si>
  <si>
    <t>Line pipe</t>
  </si>
  <si>
    <t>Line valves</t>
  </si>
  <si>
    <t>Valves</t>
  </si>
  <si>
    <t>System valves</t>
  </si>
  <si>
    <t>Tees</t>
  </si>
  <si>
    <t>Pump - 3"</t>
  </si>
  <si>
    <t>Reservoir construction</t>
  </si>
  <si>
    <t>Well</t>
  </si>
  <si>
    <t>Fertigation system</t>
  </si>
  <si>
    <t>Irrigation system</t>
  </si>
  <si>
    <t>Air blast sprayer</t>
  </si>
  <si>
    <t>$ per mowing/acre</t>
  </si>
  <si>
    <t>Harvest and processing</t>
  </si>
  <si>
    <t>Pole saw</t>
  </si>
  <si>
    <t>years til first harvest</t>
  </si>
  <si>
    <t>Losses during processing</t>
  </si>
  <si>
    <t>Planting labor (hours)</t>
  </si>
  <si>
    <t>Labor rate</t>
  </si>
  <si>
    <t>Hours per acre per year</t>
  </si>
  <si>
    <t>Planting labor costs</t>
  </si>
  <si>
    <t>Pruning labor costs</t>
  </si>
  <si>
    <t>Harvest labor costs</t>
  </si>
  <si>
    <t>Total hours</t>
  </si>
  <si>
    <t>Total cost</t>
  </si>
  <si>
    <t>hours per acre</t>
  </si>
  <si>
    <t xml:space="preserve">tests </t>
  </si>
  <si>
    <t>Total per acre</t>
  </si>
  <si>
    <t>minutes per acre</t>
  </si>
  <si>
    <t>Processing</t>
  </si>
  <si>
    <t>pounds per hour</t>
  </si>
  <si>
    <t>personell</t>
  </si>
  <si>
    <t>Total harvest time per acre</t>
  </si>
  <si>
    <t>Total processing time per pound, minutes</t>
  </si>
  <si>
    <t>Processing labor costs</t>
  </si>
  <si>
    <t>Irrigation</t>
  </si>
  <si>
    <t>yes</t>
  </si>
  <si>
    <t>no</t>
  </si>
  <si>
    <t>Weed sprayer</t>
  </si>
  <si>
    <t>Wagon/trailer 1</t>
  </si>
  <si>
    <t>Truck</t>
  </si>
  <si>
    <t>Water trailer</t>
  </si>
  <si>
    <t>Cold storage</t>
  </si>
  <si>
    <t>UTV</t>
  </si>
  <si>
    <t>Rough 500 gal</t>
  </si>
  <si>
    <t>Walk in cooler 10x20</t>
  </si>
  <si>
    <t>A/C cool room</t>
  </si>
  <si>
    <t>New 1 ton 25%</t>
  </si>
  <si>
    <t>15 year old 1 ton 25%</t>
  </si>
  <si>
    <t>Dump trailer 16k</t>
  </si>
  <si>
    <t>New 500 gal</t>
  </si>
  <si>
    <t>Gently used 15' finish mower</t>
  </si>
  <si>
    <t>Well worn 10' brush hog</t>
  </si>
  <si>
    <t>4 wheel wagon</t>
  </si>
  <si>
    <t>10 year old 80 hp kubota</t>
  </si>
  <si>
    <t>30+ year old worn w/cab</t>
  </si>
  <si>
    <t>Used fair condition</t>
  </si>
  <si>
    <t>Old ag sprayer</t>
  </si>
  <si>
    <t>New boomless sprayer</t>
  </si>
  <si>
    <t>New Base model mid size</t>
  </si>
  <si>
    <t>Repair cost</t>
  </si>
  <si>
    <t>Budget equipment</t>
  </si>
  <si>
    <t>Quality equipment</t>
  </si>
  <si>
    <t>Price</t>
  </si>
  <si>
    <t>Home built water wagon</t>
  </si>
  <si>
    <t>Purpose built water wagon</t>
  </si>
  <si>
    <t>Equipment selection</t>
  </si>
  <si>
    <t>Salvage value</t>
  </si>
  <si>
    <t>In-house</t>
  </si>
  <si>
    <t>Custom</t>
  </si>
  <si>
    <t>N/A</t>
  </si>
  <si>
    <t>Machinery numbers from Pecan equipment facebook marketplace page and Tractor house.com</t>
  </si>
  <si>
    <t>Custom hire</t>
  </si>
  <si>
    <t>Man hours per ton</t>
  </si>
  <si>
    <t>Annual operating cost per acre</t>
  </si>
  <si>
    <t>Expected yield per tree</t>
  </si>
  <si>
    <t>Total yield</t>
  </si>
  <si>
    <t>Revenue</t>
  </si>
  <si>
    <t>Expenses</t>
  </si>
  <si>
    <t>Net income</t>
  </si>
  <si>
    <t>Cumulative returns</t>
  </si>
  <si>
    <t>Hours per acre</t>
  </si>
  <si>
    <t xml:space="preserve">Hours per acre </t>
  </si>
  <si>
    <t>Irrigation system parameters</t>
  </si>
  <si>
    <t>Values</t>
  </si>
  <si>
    <t>Row quantity</t>
  </si>
  <si>
    <t>Rows</t>
  </si>
  <si>
    <t>Trees</t>
  </si>
  <si>
    <t>Irrigation quantity</t>
  </si>
  <si>
    <t>% of orchard area</t>
  </si>
  <si>
    <t>Mainline pipe diameter</t>
  </si>
  <si>
    <t>Row line diameter</t>
  </si>
  <si>
    <t>inches</t>
  </si>
  <si>
    <t>Irrigation system cost</t>
  </si>
  <si>
    <t>Cost per acre</t>
  </si>
  <si>
    <t>Cost per tree</t>
  </si>
  <si>
    <t>Planting year (year 1)</t>
  </si>
  <si>
    <t>Payback year</t>
  </si>
  <si>
    <t>Total costs per acre</t>
  </si>
  <si>
    <t>Checked NM</t>
  </si>
  <si>
    <t>Checked OK</t>
  </si>
  <si>
    <t>Checked GA</t>
  </si>
  <si>
    <t>Opportunity cost of orchard investment</t>
  </si>
  <si>
    <t>Operating Costs</t>
  </si>
  <si>
    <t>Installation labor - professional</t>
  </si>
  <si>
    <t>Site prep includes:</t>
  </si>
  <si>
    <t>Subsoiling</t>
  </si>
  <si>
    <t>Disking</t>
  </si>
  <si>
    <t>Grass seeding</t>
  </si>
  <si>
    <t>1 hour per acre leveling</t>
  </si>
  <si>
    <t>ky 31</t>
  </si>
  <si>
    <t xml:space="preserve">15 lb/ac </t>
  </si>
  <si>
    <t>4 lb/ac</t>
  </si>
  <si>
    <t>Seed prices from Nixa Hdw 4/14/25</t>
  </si>
  <si>
    <t>dutch white clover</t>
  </si>
  <si>
    <t>Custom rates from MU survey</t>
  </si>
  <si>
    <t>Interest on establishment costs</t>
  </si>
  <si>
    <t>Production Assumptions</t>
  </si>
  <si>
    <t>Activity</t>
  </si>
  <si>
    <t>Productivity unit</t>
  </si>
  <si>
    <t>Productivity</t>
  </si>
  <si>
    <t>Hours</t>
  </si>
  <si>
    <t>per unit</t>
  </si>
  <si>
    <t>per ton</t>
  </si>
  <si>
    <t>Storage</t>
  </si>
  <si>
    <t>Breakeven yield</t>
  </si>
  <si>
    <t>Breakeven price</t>
  </si>
  <si>
    <t>Primary tractor</t>
  </si>
  <si>
    <t>Rotary mower</t>
  </si>
  <si>
    <t>Forklift</t>
  </si>
  <si>
    <t>6000 lb</t>
  </si>
  <si>
    <t>Processing line</t>
  </si>
  <si>
    <t>Bagger</t>
  </si>
  <si>
    <t>Automatic bagger</t>
  </si>
  <si>
    <t>Pallet jack</t>
  </si>
  <si>
    <t>Home-made</t>
  </si>
  <si>
    <t>Manual bag filler</t>
  </si>
  <si>
    <t>Drip emitter feet per tree</t>
  </si>
  <si>
    <t>1/2" Emitter pipe</t>
  </si>
  <si>
    <t>Drip line</t>
  </si>
  <si>
    <t>Allocation to chestnuts</t>
  </si>
  <si>
    <t>Grafted chestnut saplings</t>
  </si>
  <si>
    <t>Pre-harvest machinery</t>
  </si>
  <si>
    <t>Establishment total</t>
  </si>
  <si>
    <t>Production total</t>
  </si>
  <si>
    <t>Marketing channel - retail</t>
  </si>
  <si>
    <t>Retail chestnut price</t>
  </si>
  <si>
    <t xml:space="preserve">Wholesale chestnut price </t>
  </si>
  <si>
    <t>People needed</t>
  </si>
  <si>
    <t>Missouri Chinese Chestnut Budget - Production</t>
  </si>
  <si>
    <t>Chinese Chestnuts - wholesale</t>
  </si>
  <si>
    <t>Chinese Chestnuts - retail</t>
  </si>
  <si>
    <t>Revenue by year*</t>
  </si>
  <si>
    <t>Yield driven operating costs*</t>
  </si>
  <si>
    <t>Static costs*</t>
  </si>
  <si>
    <t>Net income, by year*</t>
  </si>
  <si>
    <t>* All displayed dollar amounts are modeled on current price assumptions and reflect the structure of the economy in 2025, and the parameters set in this model.</t>
  </si>
  <si>
    <t>Income Over Total Cost Sensitivity Testing for Changes in Revenue and Cost</t>
  </si>
  <si>
    <t>This table dynamically updates based on the year of production chosen in the table on the left.</t>
  </si>
  <si>
    <t>Cumulative return to enterprise**</t>
  </si>
  <si>
    <t>Orchard maintenance labor costs</t>
  </si>
  <si>
    <t>Irrigation management and maintenance labor costs</t>
  </si>
  <si>
    <t>** Cumulative return to enterprise is a total of all annual expenses and revenue accrued up through the listed year in 2025 dollars, it assumes costs are paid off annually and no additional interest is being charged.</t>
  </si>
  <si>
    <t>Yield by year (pounds)</t>
  </si>
  <si>
    <t>Summary of Modeled Chinese Chestnut Yield and Economic Outcomes Per Acre</t>
  </si>
  <si>
    <t>General</t>
  </si>
  <si>
    <t>All equipment total</t>
  </si>
  <si>
    <t>General use equipment total</t>
  </si>
  <si>
    <t>Harvest and processing equipment total</t>
  </si>
  <si>
    <t>harvest</t>
  </si>
  <si>
    <t>general</t>
  </si>
  <si>
    <t>First harvest year*</t>
  </si>
  <si>
    <t>Theoretical revenue (hide)</t>
  </si>
  <si>
    <t>Theoretical yield op cost (hide)</t>
  </si>
  <si>
    <t>Hand picking</t>
  </si>
  <si>
    <t>Unit cost</t>
  </si>
  <si>
    <t>Rotary screener (trommel)</t>
  </si>
  <si>
    <t>Diverter table</t>
  </si>
  <si>
    <t>Storage containers</t>
  </si>
  <si>
    <t>Skim net</t>
  </si>
  <si>
    <t>100 gal lp tank</t>
  </si>
  <si>
    <t>Hot water heater (100 gal comm.)</t>
  </si>
  <si>
    <t>Rolling hoist with winch</t>
  </si>
  <si>
    <t>Cleaning and sanitizing</t>
  </si>
  <si>
    <t>percent of original population</t>
  </si>
  <si>
    <t>Pounds per hour</t>
  </si>
  <si>
    <t>Harvest labor</t>
  </si>
  <si>
    <t>$ per pound collected</t>
  </si>
  <si>
    <t>% of harvested weight</t>
  </si>
  <si>
    <t>Cleaning and sorting</t>
  </si>
  <si>
    <t>Inspection table</t>
  </si>
  <si>
    <t>Stainless steel</t>
  </si>
  <si>
    <t>IBC totes</t>
  </si>
  <si>
    <t>Missouri Chinese Chestnut Planning Budget (extension.missouri.edu/publications/g739)</t>
  </si>
  <si>
    <t>Created: 7/2025</t>
  </si>
  <si>
    <t>Insecticide</t>
  </si>
  <si>
    <t>Fungicide</t>
  </si>
  <si>
    <t>Pruning (hours)</t>
  </si>
  <si>
    <t>Harvest (hours)</t>
  </si>
  <si>
    <t>Processing (hours)</t>
  </si>
  <si>
    <t>Orchard maintenance (hours)</t>
  </si>
  <si>
    <t>Irrigation management and maintenance (hours)</t>
  </si>
  <si>
    <t>Pollinator grafted saplings</t>
  </si>
  <si>
    <t>Harvest tubs</t>
  </si>
  <si>
    <t>Processing line equipment*</t>
  </si>
  <si>
    <t>*Processing Line Equipment Details</t>
  </si>
  <si>
    <t xml:space="preserve">Leaf analysis </t>
  </si>
  <si>
    <t>samples</t>
  </si>
  <si>
    <t>Quality description</t>
  </si>
  <si>
    <t>Budget description</t>
  </si>
  <si>
    <t>Need?</t>
  </si>
  <si>
    <t>Leaf analysis</t>
  </si>
  <si>
    <t>Boron</t>
  </si>
  <si>
    <t>Leaf tissue analysis</t>
  </si>
  <si>
    <t>$ per lb</t>
  </si>
  <si>
    <t>Missouri Chinese Chestnut Budget</t>
  </si>
  <si>
    <t>Chestnut labor use per acre</t>
  </si>
  <si>
    <t>Chestnut harvest, processing and transportation labor detail</t>
  </si>
  <si>
    <t>Chestnut labor quantity and cost per acre</t>
  </si>
  <si>
    <t>Chestnut labor detail</t>
  </si>
  <si>
    <t>Total costs*</t>
  </si>
  <si>
    <t>Chinese Chestnut orchard configuration</t>
  </si>
  <si>
    <t>Chinese Chestnut input costs</t>
  </si>
  <si>
    <t>Chinese Chestnut marketing</t>
  </si>
  <si>
    <t>Chinese Chestnut Hand tools</t>
  </si>
  <si>
    <t>Chinese Chestnut Equipment decisions</t>
  </si>
  <si>
    <t>Garden/utility carts, 4 wheels</t>
  </si>
  <si>
    <t>Handheld nut harvester</t>
  </si>
  <si>
    <t>Orchard planting year</t>
  </si>
  <si>
    <t>Digital scale</t>
  </si>
  <si>
    <t>Scale</t>
  </si>
  <si>
    <t>digital scale</t>
  </si>
  <si>
    <t>Establishment</t>
  </si>
  <si>
    <t>Maintenance</t>
  </si>
  <si>
    <t>Labor summary</t>
  </si>
  <si>
    <t>Estimated per acre return over total cost at modified revenue and operating costs.</t>
  </si>
  <si>
    <t>Develop a customized enterprise budget for a small-scale Chinese chestnut orchard to fit your farming situation. Use the shaded boxes in the worksheets to change inputs or prices. This budget models a 10-acre orchard and does not include the expenses or income of any crops grown in between rows of trees. Read more about the assumptions modeled in this budget in MU Extension publication G739: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</si>
</sst>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quot;#,##0.00_);[Red]\(&quot;$&quot;#,##0.00\)"/>
    <numFmt numFmtId="44" formatCode="_(&quot;$&quot;* #,##0.00_);_(&quot;$&quot;* \(#,##0.00\);_(&quot;$&quot;* &quot;-&quot;??_);_(@_)"/>
    <numFmt numFmtId="43" formatCode="_(* #,##0.00_);_(* \(#,##0.00\);_(* &quot;-&quot;??_);_(@_)"/>
    <numFmt numFmtId="164" formatCode="_(* #,##0_);_(* \(#,##0\);_(* &quot;-&quot;??_);_(@_)"/>
    <numFmt numFmtId="165" formatCode="&quot;$&quot;#,##0"/>
    <numFmt numFmtId="166" formatCode="&quot;$&quot;#,##0.00"/>
    <numFmt numFmtId="167" formatCode="#,##0.0"/>
    <numFmt numFmtId="168" formatCode="&quot;$&quot;#,##0.000"/>
    <numFmt numFmtId="169" formatCode="0.0%"/>
    <numFmt numFmtId="170" formatCode="0.0"/>
    <numFmt numFmtId="171" formatCode="#,##0.0_);[Red]\(#,##0.0\)"/>
    <numFmt numFmtId="172" formatCode="_(&quot;$&quot;* #,##0_);_(&quot;$&quot;* \(#,##0\);_(&quot;$&quot;* &quot;-&quot;??_);_(@_)"/>
  </numFmts>
  <fonts count="38" x14ac:knownFonts="1">
    <font>
      <sz val="11"/>
      <color theme="1"/>
      <name val="Segoe UI"/>
      <family val="2"/>
      <scheme val="minor"/>
    </font>
    <font>
      <sz val="11"/>
      <color theme="1"/>
      <name val="Segoe UI"/>
      <family val="2"/>
      <scheme val="minor"/>
    </font>
    <font>
      <b/>
      <sz val="11"/>
      <color theme="1"/>
      <name val="Segoe UI"/>
      <family val="2"/>
      <scheme val="minor"/>
    </font>
    <font>
      <sz val="10"/>
      <name val="Arial"/>
      <family val="2"/>
    </font>
    <font>
      <b/>
      <sz val="11"/>
      <color rgb="FF3F3F3F"/>
      <name val="Segoe UI"/>
      <family val="2"/>
      <scheme val="minor"/>
    </font>
    <font>
      <sz val="10"/>
      <color theme="1"/>
      <name val="Segoe UI"/>
      <family val="2"/>
      <scheme val="minor"/>
    </font>
    <font>
      <sz val="9"/>
      <color theme="1"/>
      <name val="Segoe UI"/>
      <family val="2"/>
      <scheme val="minor"/>
    </font>
    <font>
      <i/>
      <u/>
      <sz val="11"/>
      <color theme="1"/>
      <name val="Segoe UI"/>
      <family val="2"/>
      <scheme val="minor"/>
    </font>
    <font>
      <b/>
      <u/>
      <sz val="11"/>
      <color theme="1"/>
      <name val="Segoe UI"/>
      <family val="2"/>
      <scheme val="minor"/>
    </font>
    <font>
      <sz val="8"/>
      <color theme="1"/>
      <name val="Segoe UI"/>
      <family val="2"/>
      <scheme val="minor"/>
    </font>
    <font>
      <sz val="8"/>
      <name val="Segoe UI"/>
      <family val="2"/>
      <scheme val="minor"/>
    </font>
    <font>
      <u/>
      <sz val="8"/>
      <color theme="1"/>
      <name val="Segoe UI"/>
      <family val="2"/>
      <scheme val="minor"/>
    </font>
    <font>
      <b/>
      <sz val="14"/>
      <color rgb="FFF1B82D"/>
      <name val="Segoe UI Black"/>
      <family val="2"/>
      <scheme val="major"/>
    </font>
    <font>
      <u/>
      <sz val="11"/>
      <color theme="10"/>
      <name val="Segoe UI"/>
      <family val="2"/>
      <scheme val="minor"/>
    </font>
    <font>
      <sz val="11"/>
      <color theme="1"/>
      <name val="Aptos"/>
      <family val="2"/>
    </font>
    <font>
      <b/>
      <sz val="14"/>
      <color rgb="FFF1B82D"/>
      <name val="Aptos Black"/>
      <family val="2"/>
    </font>
    <font>
      <sz val="12"/>
      <color theme="1"/>
      <name val="Aptos"/>
      <family val="2"/>
    </font>
    <font>
      <sz val="12"/>
      <color theme="0"/>
      <name val="Aptos"/>
      <family val="2"/>
    </font>
    <font>
      <b/>
      <sz val="14"/>
      <color rgb="FFF1B82D"/>
      <name val="Aptos"/>
      <family val="2"/>
    </font>
    <font>
      <sz val="11"/>
      <name val="Aptos"/>
      <family val="2"/>
    </font>
    <font>
      <b/>
      <sz val="12"/>
      <color theme="1"/>
      <name val="Aptos"/>
      <family val="2"/>
    </font>
    <font>
      <sz val="12"/>
      <name val="Aptos"/>
      <family val="2"/>
    </font>
    <font>
      <u/>
      <sz val="12"/>
      <color theme="10"/>
      <name val="Aptos"/>
      <family val="2"/>
    </font>
    <font>
      <b/>
      <sz val="12"/>
      <color rgb="FF3F3F3F"/>
      <name val="Aptos"/>
      <family val="2"/>
    </font>
    <font>
      <b/>
      <sz val="12"/>
      <color rgb="FFF1B82D"/>
      <name val="Aptos"/>
      <family val="2"/>
    </font>
    <font>
      <i/>
      <u/>
      <sz val="12"/>
      <color theme="1"/>
      <name val="Aptos"/>
      <family val="2"/>
    </font>
    <font>
      <sz val="10"/>
      <color theme="1"/>
      <name val="Aptos"/>
      <family val="2"/>
    </font>
    <font>
      <i/>
      <u/>
      <sz val="12"/>
      <name val="Aptos"/>
      <family val="2"/>
    </font>
    <font>
      <sz val="11"/>
      <color theme="0"/>
      <name val="Aptos"/>
      <family val="2"/>
    </font>
    <font>
      <sz val="10"/>
      <name val="Aptos"/>
      <family val="2"/>
    </font>
    <font>
      <u/>
      <sz val="12"/>
      <name val="Aptos"/>
      <family val="2"/>
    </font>
    <font>
      <i/>
      <sz val="12"/>
      <color theme="1"/>
      <name val="Aptos"/>
      <family val="2"/>
    </font>
    <font>
      <i/>
      <u/>
      <sz val="12"/>
      <color theme="0"/>
      <name val="Aptos"/>
      <family val="2"/>
    </font>
    <font>
      <i/>
      <sz val="12"/>
      <name val="Aptos"/>
      <family val="2"/>
    </font>
    <font>
      <u/>
      <sz val="12"/>
      <color theme="1"/>
      <name val="Aptos"/>
      <family val="2"/>
    </font>
    <font>
      <sz val="12"/>
      <color rgb="FFF1B82D"/>
      <name val="Aptos"/>
      <family val="2"/>
    </font>
    <font>
      <b/>
      <sz val="14"/>
      <color rgb="FFFFC000"/>
      <name val="Aptos"/>
      <family val="2"/>
    </font>
    <font>
      <b/>
      <sz val="16"/>
      <color rgb="FFF1B82D"/>
      <name val="Aptos Black"/>
      <family val="2"/>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2F2F2"/>
      </patternFill>
    </fill>
    <fill>
      <patternFill patternType="solid">
        <fgColor theme="1"/>
        <bgColor indexed="64"/>
      </patternFill>
    </fill>
    <fill>
      <patternFill patternType="solid">
        <fgColor theme="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1"/>
        <bgColor theme="1"/>
      </patternFill>
    </fill>
    <fill>
      <patternFill patternType="solid">
        <fgColor theme="4" tint="0.79998168889431442"/>
        <bgColor indexed="64"/>
      </patternFill>
    </fill>
  </fills>
  <borders count="38">
    <border>
      <left/>
      <right/>
      <top/>
      <bottom/>
      <diagonal/>
    </border>
    <border>
      <left/>
      <right/>
      <top/>
      <bottom style="thin">
        <color indexed="64"/>
      </bottom>
      <diagonal/>
    </border>
    <border>
      <left style="thin">
        <color rgb="FF3F3F3F"/>
      </left>
      <right style="thin">
        <color rgb="FF3F3F3F"/>
      </right>
      <top style="thin">
        <color rgb="FF3F3F3F"/>
      </top>
      <bottom style="thin">
        <color rgb="FF3F3F3F"/>
      </bottom>
      <diagonal/>
    </border>
    <border>
      <left/>
      <right/>
      <top style="thin">
        <color theme="1"/>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thin">
        <color theme="1"/>
      </right>
      <top/>
      <bottom/>
      <diagonal/>
    </border>
    <border>
      <left/>
      <right style="thin">
        <color theme="1"/>
      </right>
      <top/>
      <bottom style="thin">
        <color indexed="64"/>
      </bottom>
      <diagonal/>
    </border>
    <border>
      <left/>
      <right style="thin">
        <color theme="1"/>
      </right>
      <top/>
      <bottom style="medium">
        <color indexed="64"/>
      </bottom>
      <diagonal/>
    </border>
    <border>
      <left/>
      <right style="medium">
        <color indexed="64"/>
      </right>
      <top style="thin">
        <color indexed="64"/>
      </top>
      <bottom/>
      <diagonal/>
    </border>
    <border>
      <left style="thin">
        <color theme="1"/>
      </left>
      <right style="thin">
        <color theme="1"/>
      </right>
      <top style="medium">
        <color theme="1"/>
      </top>
      <bottom/>
      <diagonal/>
    </border>
    <border>
      <left/>
      <right/>
      <top style="medium">
        <color indexed="64"/>
      </top>
      <bottom style="medium">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4" fillId="4" borderId="2" applyNumberFormat="0" applyAlignment="0" applyProtection="0"/>
    <xf numFmtId="44" fontId="1" fillId="0" borderId="0" applyFont="0" applyFill="0" applyBorder="0" applyAlignment="0" applyProtection="0"/>
    <xf numFmtId="0" fontId="13" fillId="0" borderId="0" applyNumberFormat="0" applyFill="0" applyBorder="0" applyAlignment="0" applyProtection="0"/>
  </cellStyleXfs>
  <cellXfs count="483">
    <xf numFmtId="0" fontId="0" fillId="0" borderId="0" xfId="0"/>
    <xf numFmtId="0" fontId="0" fillId="2" borderId="0" xfId="0" applyFill="1"/>
    <xf numFmtId="8" fontId="0" fillId="2" borderId="0" xfId="0" applyNumberFormat="1" applyFill="1"/>
    <xf numFmtId="43" fontId="0" fillId="2" borderId="0" xfId="1" applyFont="1" applyFill="1" applyBorder="1"/>
    <xf numFmtId="2" fontId="0" fillId="2" borderId="0" xfId="0" applyNumberFormat="1" applyFill="1"/>
    <xf numFmtId="0" fontId="2" fillId="2" borderId="0" xfId="0" applyFont="1" applyFill="1"/>
    <xf numFmtId="0" fontId="0" fillId="2" borderId="0" xfId="0" applyFill="1" applyAlignment="1">
      <alignment wrapText="1"/>
    </xf>
    <xf numFmtId="8" fontId="0" fillId="2" borderId="0" xfId="0" applyNumberFormat="1" applyFill="1" applyAlignment="1">
      <alignment wrapText="1"/>
    </xf>
    <xf numFmtId="8" fontId="2" fillId="2" borderId="0" xfId="0" applyNumberFormat="1" applyFont="1" applyFill="1" applyAlignment="1">
      <alignment wrapText="1"/>
    </xf>
    <xf numFmtId="43" fontId="0" fillId="2" borderId="0" xfId="0" applyNumberFormat="1" applyFill="1"/>
    <xf numFmtId="10" fontId="0" fillId="2" borderId="0" xfId="0" applyNumberFormat="1" applyFill="1"/>
    <xf numFmtId="164" fontId="0" fillId="2" borderId="0" xfId="1" applyNumberFormat="1" applyFont="1" applyFill="1" applyBorder="1"/>
    <xf numFmtId="9" fontId="0" fillId="2" borderId="0" xfId="0" applyNumberFormat="1" applyFill="1"/>
    <xf numFmtId="9" fontId="0" fillId="2" borderId="0" xfId="2" applyFont="1" applyFill="1" applyBorder="1"/>
    <xf numFmtId="0" fontId="0" fillId="2" borderId="0" xfId="0" applyFill="1" applyAlignment="1">
      <alignment horizontal="right"/>
    </xf>
    <xf numFmtId="0" fontId="0" fillId="6" borderId="0" xfId="0" applyFill="1"/>
    <xf numFmtId="0" fontId="2" fillId="2" borderId="0" xfId="0" applyFont="1" applyFill="1" applyAlignment="1">
      <alignment horizontal="center"/>
    </xf>
    <xf numFmtId="8" fontId="0" fillId="2" borderId="0" xfId="0" applyNumberFormat="1" applyFill="1" applyAlignment="1">
      <alignment horizontal="center"/>
    </xf>
    <xf numFmtId="0" fontId="5" fillId="2" borderId="0" xfId="0" applyFont="1" applyFill="1"/>
    <xf numFmtId="0" fontId="2" fillId="2" borderId="0" xfId="0" applyFont="1" applyFill="1" applyAlignment="1">
      <alignment textRotation="90"/>
    </xf>
    <xf numFmtId="3" fontId="0" fillId="6" borderId="0" xfId="0" applyNumberFormat="1" applyFill="1" applyProtection="1">
      <protection locked="0"/>
    </xf>
    <xf numFmtId="3" fontId="0" fillId="0" borderId="0" xfId="0" applyNumberFormat="1" applyProtection="1">
      <protection locked="0"/>
    </xf>
    <xf numFmtId="0" fontId="0" fillId="2" borderId="1" xfId="0" applyFill="1" applyBorder="1"/>
    <xf numFmtId="9" fontId="0" fillId="6" borderId="0" xfId="0" applyNumberFormat="1" applyFill="1"/>
    <xf numFmtId="2" fontId="0" fillId="0" borderId="0" xfId="0" applyNumberFormat="1"/>
    <xf numFmtId="8" fontId="0" fillId="0" borderId="0" xfId="0" applyNumberFormat="1"/>
    <xf numFmtId="0" fontId="0" fillId="0" borderId="0" xfId="0" applyAlignment="1">
      <alignment wrapText="1"/>
    </xf>
    <xf numFmtId="0" fontId="0" fillId="0" borderId="0" xfId="0" applyProtection="1">
      <protection locked="0"/>
    </xf>
    <xf numFmtId="0" fontId="0" fillId="2" borderId="0" xfId="0" applyFill="1" applyAlignment="1">
      <alignment vertical="center"/>
    </xf>
    <xf numFmtId="3" fontId="0" fillId="6" borderId="0" xfId="0" applyNumberFormat="1" applyFill="1"/>
    <xf numFmtId="3" fontId="0" fillId="2" borderId="0" xfId="0" applyNumberFormat="1" applyFill="1" applyProtection="1">
      <protection locked="0"/>
    </xf>
    <xf numFmtId="167" fontId="0" fillId="6" borderId="0" xfId="0" applyNumberFormat="1" applyFill="1" applyProtection="1">
      <protection locked="0"/>
    </xf>
    <xf numFmtId="0" fontId="2" fillId="2" borderId="1" xfId="0" applyFont="1" applyFill="1" applyBorder="1" applyAlignment="1">
      <alignment textRotation="90"/>
    </xf>
    <xf numFmtId="8" fontId="0" fillId="2" borderId="1" xfId="0" applyNumberFormat="1" applyFill="1" applyBorder="1" applyAlignment="1">
      <alignment horizontal="center"/>
    </xf>
    <xf numFmtId="0" fontId="7" fillId="2" borderId="0" xfId="0" applyFont="1" applyFill="1"/>
    <xf numFmtId="9" fontId="0" fillId="6" borderId="1" xfId="0" applyNumberFormat="1" applyFill="1" applyBorder="1"/>
    <xf numFmtId="3" fontId="0" fillId="0" borderId="1" xfId="0" applyNumberFormat="1" applyBorder="1" applyProtection="1">
      <protection locked="0"/>
    </xf>
    <xf numFmtId="0" fontId="0" fillId="2" borderId="1" xfId="0" applyFill="1" applyBorder="1" applyAlignment="1">
      <alignment vertical="center"/>
    </xf>
    <xf numFmtId="0" fontId="0" fillId="6" borderId="1" xfId="0" applyFill="1" applyBorder="1"/>
    <xf numFmtId="165" fontId="0" fillId="2" borderId="0" xfId="0" applyNumberFormat="1" applyFill="1"/>
    <xf numFmtId="0" fontId="7" fillId="2" borderId="0" xfId="0" applyFont="1" applyFill="1" applyAlignment="1">
      <alignment horizontal="right"/>
    </xf>
    <xf numFmtId="3" fontId="0" fillId="6" borderId="1" xfId="0" applyNumberFormat="1" applyFill="1" applyBorder="1"/>
    <xf numFmtId="8" fontId="2" fillId="2" borderId="4" xfId="0" applyNumberFormat="1" applyFont="1" applyFill="1" applyBorder="1" applyAlignment="1">
      <alignment horizontal="right"/>
    </xf>
    <xf numFmtId="8" fontId="2" fillId="2" borderId="3" xfId="0" applyNumberFormat="1" applyFont="1" applyFill="1" applyBorder="1" applyAlignment="1">
      <alignment horizontal="right"/>
    </xf>
    <xf numFmtId="3" fontId="0" fillId="2" borderId="0" xfId="0" applyNumberFormat="1" applyFill="1"/>
    <xf numFmtId="3" fontId="0" fillId="2" borderId="1" xfId="0" applyNumberFormat="1" applyFill="1" applyBorder="1"/>
    <xf numFmtId="0" fontId="0" fillId="2" borderId="0" xfId="0" applyFill="1" applyProtection="1">
      <protection locked="0"/>
    </xf>
    <xf numFmtId="0" fontId="2" fillId="2" borderId="0" xfId="0" applyFont="1" applyFill="1" applyAlignment="1">
      <alignment wrapText="1"/>
    </xf>
    <xf numFmtId="0" fontId="7" fillId="0" borderId="0" xfId="0" applyFont="1" applyAlignment="1">
      <alignment horizontal="right"/>
    </xf>
    <xf numFmtId="10" fontId="0" fillId="6" borderId="0" xfId="0" applyNumberFormat="1" applyFill="1"/>
    <xf numFmtId="0" fontId="6" fillId="2" borderId="0" xfId="0" applyFont="1" applyFill="1"/>
    <xf numFmtId="0" fontId="6" fillId="2" borderId="1" xfId="0" applyFont="1" applyFill="1" applyBorder="1"/>
    <xf numFmtId="9" fontId="6" fillId="2" borderId="0" xfId="0" applyNumberFormat="1" applyFont="1" applyFill="1" applyAlignment="1">
      <alignment horizontal="left"/>
    </xf>
    <xf numFmtId="0" fontId="5" fillId="2" borderId="1" xfId="0" applyFont="1" applyFill="1" applyBorder="1"/>
    <xf numFmtId="0" fontId="9" fillId="2" borderId="0" xfId="0" applyFont="1" applyFill="1"/>
    <xf numFmtId="0" fontId="0" fillId="0" borderId="1" xfId="0" applyBorder="1"/>
    <xf numFmtId="0" fontId="0" fillId="2" borderId="1" xfId="0" applyFill="1" applyBorder="1" applyAlignment="1">
      <alignment horizontal="right"/>
    </xf>
    <xf numFmtId="40" fontId="0" fillId="2" borderId="1" xfId="0" applyNumberFormat="1" applyFill="1" applyBorder="1"/>
    <xf numFmtId="38" fontId="0" fillId="2" borderId="1" xfId="0" applyNumberFormat="1" applyFill="1" applyBorder="1"/>
    <xf numFmtId="4" fontId="0" fillId="6" borderId="0" xfId="0" applyNumberFormat="1" applyFill="1"/>
    <xf numFmtId="10" fontId="0" fillId="6" borderId="1" xfId="0" applyNumberFormat="1" applyFill="1" applyBorder="1"/>
    <xf numFmtId="38" fontId="0" fillId="6" borderId="1" xfId="0" applyNumberFormat="1" applyFill="1" applyBorder="1"/>
    <xf numFmtId="8" fontId="2" fillId="2" borderId="0" xfId="0" applyNumberFormat="1" applyFont="1" applyFill="1" applyAlignment="1">
      <alignment horizontal="right"/>
    </xf>
    <xf numFmtId="38" fontId="2" fillId="2" borderId="0" xfId="0" applyNumberFormat="1" applyFont="1" applyFill="1" applyAlignment="1">
      <alignment horizontal="right"/>
    </xf>
    <xf numFmtId="40" fontId="2" fillId="2" borderId="0" xfId="0" applyNumberFormat="1" applyFont="1" applyFill="1" applyAlignment="1">
      <alignment horizontal="right"/>
    </xf>
    <xf numFmtId="40" fontId="0" fillId="2" borderId="0" xfId="0" applyNumberFormat="1" applyFill="1"/>
    <xf numFmtId="0" fontId="2" fillId="2" borderId="8" xfId="0" applyFont="1" applyFill="1" applyBorder="1"/>
    <xf numFmtId="8" fontId="0" fillId="2" borderId="9" xfId="0" applyNumberFormat="1" applyFill="1" applyBorder="1"/>
    <xf numFmtId="8" fontId="2" fillId="2" borderId="10" xfId="0" applyNumberFormat="1" applyFont="1" applyFill="1" applyBorder="1" applyAlignment="1">
      <alignment horizontal="right"/>
    </xf>
    <xf numFmtId="0" fontId="8" fillId="2" borderId="8" xfId="0" applyFont="1" applyFill="1" applyBorder="1"/>
    <xf numFmtId="8" fontId="2" fillId="2" borderId="9" xfId="0" applyNumberFormat="1" applyFont="1" applyFill="1" applyBorder="1" applyAlignment="1">
      <alignment horizontal="right"/>
    </xf>
    <xf numFmtId="0" fontId="0" fillId="2" borderId="8" xfId="0" applyFill="1" applyBorder="1" applyAlignment="1">
      <alignment horizontal="left"/>
    </xf>
    <xf numFmtId="38" fontId="0" fillId="2" borderId="0" xfId="0" applyNumberFormat="1" applyFill="1"/>
    <xf numFmtId="169" fontId="0" fillId="2" borderId="9" xfId="0" applyNumberFormat="1" applyFill="1" applyBorder="1"/>
    <xf numFmtId="169" fontId="0" fillId="2" borderId="11" xfId="0" applyNumberFormat="1" applyFill="1" applyBorder="1"/>
    <xf numFmtId="0" fontId="0" fillId="2" borderId="8" xfId="0" applyFill="1" applyBorder="1" applyAlignment="1">
      <alignment horizontal="right"/>
    </xf>
    <xf numFmtId="0" fontId="0" fillId="2" borderId="8" xfId="0" applyFill="1" applyBorder="1"/>
    <xf numFmtId="38" fontId="0" fillId="6" borderId="0" xfId="0" applyNumberFormat="1" applyFill="1"/>
    <xf numFmtId="0" fontId="0" fillId="2" borderId="12" xfId="0" applyFill="1" applyBorder="1" applyAlignment="1">
      <alignment horizontal="right"/>
    </xf>
    <xf numFmtId="38" fontId="2" fillId="2" borderId="0" xfId="0" applyNumberFormat="1" applyFont="1" applyFill="1"/>
    <xf numFmtId="40" fontId="2" fillId="2" borderId="0" xfId="0" applyNumberFormat="1" applyFont="1" applyFill="1"/>
    <xf numFmtId="168" fontId="2" fillId="2" borderId="9" xfId="0" applyNumberFormat="1" applyFont="1" applyFill="1" applyBorder="1"/>
    <xf numFmtId="0" fontId="2" fillId="2" borderId="13" xfId="0" applyFont="1" applyFill="1" applyBorder="1"/>
    <xf numFmtId="38" fontId="2" fillId="2" borderId="14" xfId="0" applyNumberFormat="1" applyFont="1" applyFill="1" applyBorder="1"/>
    <xf numFmtId="40" fontId="2" fillId="2" borderId="14" xfId="0" applyNumberFormat="1" applyFont="1" applyFill="1" applyBorder="1"/>
    <xf numFmtId="168" fontId="2" fillId="2" borderId="15" xfId="0" applyNumberFormat="1" applyFont="1" applyFill="1" applyBorder="1"/>
    <xf numFmtId="0" fontId="8" fillId="2" borderId="0" xfId="0" applyFont="1" applyFill="1"/>
    <xf numFmtId="166" fontId="0" fillId="2" borderId="0" xfId="0" applyNumberFormat="1" applyFill="1"/>
    <xf numFmtId="169" fontId="0" fillId="6" borderId="0" xfId="0" applyNumberFormat="1" applyFill="1"/>
    <xf numFmtId="4" fontId="0" fillId="6" borderId="1" xfId="0" applyNumberFormat="1" applyFill="1" applyBorder="1"/>
    <xf numFmtId="0" fontId="11" fillId="2" borderId="0" xfId="0" applyFont="1" applyFill="1"/>
    <xf numFmtId="169" fontId="0" fillId="2" borderId="0" xfId="0" applyNumberFormat="1" applyFill="1"/>
    <xf numFmtId="37" fontId="0" fillId="6" borderId="1" xfId="0" applyNumberFormat="1" applyFill="1" applyBorder="1"/>
    <xf numFmtId="38" fontId="0" fillId="0" borderId="1" xfId="0" applyNumberFormat="1" applyBorder="1"/>
    <xf numFmtId="40" fontId="0" fillId="6" borderId="0" xfId="0" applyNumberFormat="1" applyFill="1"/>
    <xf numFmtId="40" fontId="0" fillId="6" borderId="1" xfId="0" applyNumberFormat="1" applyFill="1" applyBorder="1"/>
    <xf numFmtId="0" fontId="0" fillId="2" borderId="0" xfId="0" applyFill="1" applyAlignment="1">
      <alignment horizontal="left"/>
    </xf>
    <xf numFmtId="38" fontId="0" fillId="0" borderId="0" xfId="0" applyNumberFormat="1"/>
    <xf numFmtId="0" fontId="5" fillId="2" borderId="0" xfId="0" applyFont="1" applyFill="1" applyAlignment="1">
      <alignment horizontal="left"/>
    </xf>
    <xf numFmtId="170" fontId="0" fillId="2" borderId="1" xfId="0" applyNumberFormat="1" applyFill="1" applyBorder="1" applyAlignment="1">
      <alignment horizontal="right"/>
    </xf>
    <xf numFmtId="38" fontId="0" fillId="3" borderId="0" xfId="0" applyNumberFormat="1" applyFill="1"/>
    <xf numFmtId="0" fontId="14" fillId="0" borderId="0" xfId="0" applyFont="1"/>
    <xf numFmtId="3" fontId="16" fillId="0" borderId="0" xfId="0" applyNumberFormat="1" applyFont="1"/>
    <xf numFmtId="9" fontId="16" fillId="0" borderId="28" xfId="2" applyFont="1" applyBorder="1" applyAlignment="1">
      <alignment horizontal="center"/>
    </xf>
    <xf numFmtId="9" fontId="16" fillId="0" borderId="29" xfId="2" applyFont="1" applyBorder="1" applyAlignment="1">
      <alignment horizontal="center"/>
    </xf>
    <xf numFmtId="0" fontId="17" fillId="5" borderId="5" xfId="0" applyFont="1" applyFill="1" applyBorder="1"/>
    <xf numFmtId="0" fontId="14" fillId="5" borderId="16" xfId="0" applyFont="1" applyFill="1" applyBorder="1"/>
    <xf numFmtId="0" fontId="14" fillId="5" borderId="18" xfId="0" applyFont="1" applyFill="1" applyBorder="1"/>
    <xf numFmtId="0" fontId="16" fillId="0" borderId="0" xfId="0" applyFont="1"/>
    <xf numFmtId="0" fontId="16" fillId="0" borderId="0" xfId="0" applyFont="1" applyAlignment="1">
      <alignment horizontal="right"/>
    </xf>
    <xf numFmtId="0" fontId="20" fillId="0" borderId="0" xfId="0" applyFont="1"/>
    <xf numFmtId="0" fontId="20" fillId="0" borderId="0" xfId="0" applyFont="1" applyAlignment="1">
      <alignment horizontal="left" indent="4"/>
    </xf>
    <xf numFmtId="0" fontId="21" fillId="0" borderId="0" xfId="0" applyFont="1" applyAlignment="1">
      <alignment horizontal="left" vertical="top" wrapText="1"/>
    </xf>
    <xf numFmtId="0" fontId="21" fillId="0" borderId="0" xfId="0" applyFont="1" applyAlignment="1">
      <alignment horizontal="right" vertical="center"/>
    </xf>
    <xf numFmtId="0" fontId="21" fillId="6" borderId="0" xfId="0" applyFont="1" applyFill="1" applyAlignment="1">
      <alignment horizontal="right" vertical="center" wrapText="1"/>
    </xf>
    <xf numFmtId="0" fontId="23" fillId="0" borderId="0" xfId="4" applyFont="1" applyFill="1" applyBorder="1" applyAlignment="1">
      <alignment horizontal="center"/>
    </xf>
    <xf numFmtId="0" fontId="16" fillId="5" borderId="16" xfId="0" applyFont="1" applyFill="1" applyBorder="1"/>
    <xf numFmtId="0" fontId="16" fillId="5" borderId="18" xfId="0" applyFont="1" applyFill="1" applyBorder="1"/>
    <xf numFmtId="0" fontId="24" fillId="5" borderId="1" xfId="0" applyFont="1" applyFill="1" applyBorder="1"/>
    <xf numFmtId="0" fontId="14" fillId="0" borderId="1" xfId="0" applyFont="1" applyBorder="1"/>
    <xf numFmtId="0" fontId="14" fillId="0" borderId="0" xfId="0" applyFont="1" applyAlignment="1">
      <alignment horizontal="left"/>
    </xf>
    <xf numFmtId="0" fontId="24" fillId="5" borderId="1" xfId="0" applyFont="1" applyFill="1" applyBorder="1" applyAlignment="1">
      <alignment textRotation="90"/>
    </xf>
    <xf numFmtId="0" fontId="18" fillId="5" borderId="1" xfId="0" applyFont="1" applyFill="1" applyBorder="1"/>
    <xf numFmtId="172" fontId="20" fillId="0" borderId="20" xfId="5" applyNumberFormat="1" applyFont="1" applyBorder="1"/>
    <xf numFmtId="0" fontId="24" fillId="5" borderId="26" xfId="0" applyFont="1" applyFill="1" applyBorder="1"/>
    <xf numFmtId="0" fontId="24" fillId="5" borderId="27" xfId="0" applyFont="1" applyFill="1" applyBorder="1"/>
    <xf numFmtId="0" fontId="17" fillId="0" borderId="0" xfId="0" applyFont="1"/>
    <xf numFmtId="0" fontId="24" fillId="5" borderId="0" xfId="0" applyFont="1" applyFill="1" applyAlignment="1">
      <alignment horizontal="left"/>
    </xf>
    <xf numFmtId="0" fontId="25" fillId="0" borderId="8" xfId="0" applyFont="1" applyBorder="1"/>
    <xf numFmtId="0" fontId="25" fillId="0" borderId="0" xfId="0" applyFont="1"/>
    <xf numFmtId="0" fontId="25" fillId="0" borderId="9" xfId="0" applyFont="1" applyBorder="1" applyAlignment="1">
      <alignment horizontal="right"/>
    </xf>
    <xf numFmtId="0" fontId="16" fillId="0" borderId="0" xfId="0" applyFont="1" applyAlignment="1">
      <alignment horizontal="left"/>
    </xf>
    <xf numFmtId="0" fontId="16" fillId="6" borderId="8" xfId="0" applyFont="1" applyFill="1" applyBorder="1" applyAlignment="1">
      <alignment horizontal="left"/>
    </xf>
    <xf numFmtId="0" fontId="16" fillId="6" borderId="0" xfId="0" applyFont="1" applyFill="1"/>
    <xf numFmtId="166" fontId="16" fillId="6" borderId="9" xfId="0" applyNumberFormat="1" applyFont="1" applyFill="1" applyBorder="1" applyAlignment="1">
      <alignment horizontal="right"/>
    </xf>
    <xf numFmtId="0" fontId="16" fillId="6" borderId="8" xfId="0" applyFont="1" applyFill="1" applyBorder="1" applyAlignment="1">
      <alignment horizontal="left" vertical="center"/>
    </xf>
    <xf numFmtId="0" fontId="16" fillId="6" borderId="0" xfId="0" applyFont="1" applyFill="1" applyAlignment="1">
      <alignment vertical="center"/>
    </xf>
    <xf numFmtId="166" fontId="16" fillId="6" borderId="9" xfId="0" applyNumberFormat="1" applyFont="1" applyFill="1" applyBorder="1" applyAlignment="1">
      <alignment horizontal="right" vertical="center"/>
    </xf>
    <xf numFmtId="0" fontId="21" fillId="0" borderId="0" xfId="0" applyFont="1"/>
    <xf numFmtId="0" fontId="16" fillId="0" borderId="13" xfId="0" applyFont="1" applyBorder="1"/>
    <xf numFmtId="0" fontId="16" fillId="0" borderId="24" xfId="0" applyFont="1" applyBorder="1" applyAlignment="1">
      <alignment wrapText="1"/>
    </xf>
    <xf numFmtId="0" fontId="16" fillId="0" borderId="14" xfId="0" applyFont="1" applyBorder="1" applyAlignment="1">
      <alignment wrapText="1"/>
    </xf>
    <xf numFmtId="0" fontId="16" fillId="0" borderId="14" xfId="0" applyFont="1" applyBorder="1" applyAlignment="1">
      <alignment horizontal="right" wrapText="1"/>
    </xf>
    <xf numFmtId="0" fontId="16" fillId="0" borderId="15" xfId="0" applyFont="1" applyBorder="1" applyAlignment="1">
      <alignment horizontal="right"/>
    </xf>
    <xf numFmtId="0" fontId="16" fillId="0" borderId="8" xfId="0" applyFont="1" applyBorder="1"/>
    <xf numFmtId="0" fontId="16" fillId="6" borderId="23" xfId="0" applyFont="1" applyFill="1" applyBorder="1"/>
    <xf numFmtId="172" fontId="16" fillId="6" borderId="0" xfId="5" applyNumberFormat="1" applyFont="1" applyFill="1"/>
    <xf numFmtId="9" fontId="16" fillId="6" borderId="0" xfId="2" applyFont="1" applyFill="1" applyBorder="1"/>
    <xf numFmtId="172" fontId="16" fillId="0" borderId="0" xfId="5" applyNumberFormat="1" applyFont="1"/>
    <xf numFmtId="172" fontId="16" fillId="0" borderId="9" xfId="5" applyNumberFormat="1" applyFont="1" applyBorder="1"/>
    <xf numFmtId="166" fontId="16" fillId="6" borderId="9" xfId="0" applyNumberFormat="1" applyFont="1" applyFill="1" applyBorder="1"/>
    <xf numFmtId="0" fontId="16" fillId="6" borderId="12" xfId="0" applyFont="1" applyFill="1" applyBorder="1" applyAlignment="1">
      <alignment horizontal="left"/>
    </xf>
    <xf numFmtId="0" fontId="16" fillId="6" borderId="1" xfId="0" applyFont="1" applyFill="1" applyBorder="1"/>
    <xf numFmtId="166" fontId="16" fillId="6" borderId="11" xfId="0" applyNumberFormat="1" applyFont="1" applyFill="1" applyBorder="1"/>
    <xf numFmtId="0" fontId="25" fillId="0" borderId="14" xfId="0" applyFont="1" applyBorder="1"/>
    <xf numFmtId="166" fontId="25" fillId="0" borderId="15" xfId="0" applyNumberFormat="1" applyFont="1" applyBorder="1"/>
    <xf numFmtId="172" fontId="16" fillId="0" borderId="0" xfId="5" applyNumberFormat="1" applyFont="1" applyFill="1"/>
    <xf numFmtId="0" fontId="16" fillId="0" borderId="8" xfId="0" applyFont="1" applyBorder="1" applyAlignment="1">
      <alignment horizontal="center"/>
    </xf>
    <xf numFmtId="0" fontId="16" fillId="0" borderId="0" xfId="0" applyFont="1" applyAlignment="1">
      <alignment horizontal="center"/>
    </xf>
    <xf numFmtId="0" fontId="16" fillId="0" borderId="9" xfId="0" applyFont="1" applyBorder="1" applyAlignment="1">
      <alignment horizontal="center"/>
    </xf>
    <xf numFmtId="0" fontId="26" fillId="0" borderId="0" xfId="0" applyFont="1"/>
    <xf numFmtId="0" fontId="16" fillId="6" borderId="9" xfId="0" applyFont="1" applyFill="1" applyBorder="1"/>
    <xf numFmtId="0" fontId="16" fillId="0" borderId="9" xfId="0" applyFont="1" applyBorder="1"/>
    <xf numFmtId="0" fontId="16" fillId="6" borderId="24" xfId="0" applyFont="1" applyFill="1" applyBorder="1"/>
    <xf numFmtId="0" fontId="16" fillId="6" borderId="14" xfId="0" applyFont="1" applyFill="1" applyBorder="1"/>
    <xf numFmtId="172" fontId="16" fillId="6" borderId="14" xfId="5" applyNumberFormat="1" applyFont="1" applyFill="1" applyBorder="1"/>
    <xf numFmtId="9" fontId="16" fillId="6" borderId="14" xfId="2" applyFont="1" applyFill="1" applyBorder="1"/>
    <xf numFmtId="172" fontId="16" fillId="0" borderId="14" xfId="5" applyNumberFormat="1" applyFont="1" applyBorder="1"/>
    <xf numFmtId="172" fontId="16" fillId="0" borderId="15" xfId="5" applyNumberFormat="1" applyFont="1" applyBorder="1"/>
    <xf numFmtId="0" fontId="16" fillId="0" borderId="6" xfId="0" applyFont="1" applyBorder="1"/>
    <xf numFmtId="172" fontId="16" fillId="0" borderId="6" xfId="5" applyNumberFormat="1" applyFont="1" applyBorder="1"/>
    <xf numFmtId="1" fontId="16" fillId="0" borderId="6" xfId="0" applyNumberFormat="1" applyFont="1" applyBorder="1"/>
    <xf numFmtId="172" fontId="16" fillId="0" borderId="7" xfId="5" applyNumberFormat="1" applyFont="1" applyBorder="1"/>
    <xf numFmtId="9" fontId="16" fillId="6" borderId="9" xfId="2" applyFont="1" applyFill="1" applyBorder="1"/>
    <xf numFmtId="0" fontId="16" fillId="0" borderId="12" xfId="0" applyFont="1" applyBorder="1" applyAlignment="1">
      <alignment horizontal="left"/>
    </xf>
    <xf numFmtId="0" fontId="16" fillId="0" borderId="1" xfId="0" applyFont="1" applyBorder="1" applyAlignment="1">
      <alignment horizontal="left"/>
    </xf>
    <xf numFmtId="0" fontId="16" fillId="0" borderId="1" xfId="0" applyFont="1" applyBorder="1"/>
    <xf numFmtId="172" fontId="16" fillId="0" borderId="1" xfId="5" applyNumberFormat="1" applyFont="1" applyBorder="1"/>
    <xf numFmtId="1" fontId="16" fillId="0" borderId="1" xfId="0" applyNumberFormat="1" applyFont="1" applyBorder="1"/>
    <xf numFmtId="172" fontId="16" fillId="0" borderId="11" xfId="5" applyNumberFormat="1" applyFont="1" applyBorder="1"/>
    <xf numFmtId="0" fontId="20" fillId="0" borderId="8" xfId="0" applyFont="1" applyBorder="1"/>
    <xf numFmtId="172" fontId="20" fillId="0" borderId="0" xfId="5" applyNumberFormat="1" applyFont="1" applyBorder="1"/>
    <xf numFmtId="0" fontId="16" fillId="0" borderId="8" xfId="0" applyFont="1" applyBorder="1" applyAlignment="1">
      <alignment vertical="center"/>
    </xf>
    <xf numFmtId="0" fontId="26" fillId="0" borderId="0" xfId="0" applyFont="1" applyAlignment="1">
      <alignment vertical="center"/>
    </xf>
    <xf numFmtId="0" fontId="16" fillId="0" borderId="9" xfId="0" applyFont="1" applyBorder="1" applyAlignment="1">
      <alignment vertical="center"/>
    </xf>
    <xf numFmtId="0" fontId="24" fillId="5" borderId="11" xfId="0" applyFont="1" applyFill="1" applyBorder="1"/>
    <xf numFmtId="170" fontId="16" fillId="0" borderId="9" xfId="0" applyNumberFormat="1" applyFont="1" applyBorder="1"/>
    <xf numFmtId="0" fontId="16" fillId="0" borderId="15" xfId="0" applyFont="1" applyBorder="1" applyAlignment="1">
      <alignment horizontal="right" wrapText="1"/>
    </xf>
    <xf numFmtId="1" fontId="16" fillId="0" borderId="0" xfId="0" applyNumberFormat="1" applyFont="1"/>
    <xf numFmtId="166" fontId="16" fillId="6" borderId="0" xfId="5" applyNumberFormat="1" applyFont="1" applyFill="1" applyBorder="1"/>
    <xf numFmtId="166" fontId="16" fillId="0" borderId="0" xfId="5" applyNumberFormat="1" applyFont="1" applyBorder="1"/>
    <xf numFmtId="0" fontId="16" fillId="0" borderId="12" xfId="0" applyFont="1" applyBorder="1"/>
    <xf numFmtId="166" fontId="16" fillId="6" borderId="1" xfId="5" applyNumberFormat="1" applyFont="1" applyFill="1" applyBorder="1"/>
    <xf numFmtId="9" fontId="16" fillId="6" borderId="11" xfId="2" applyFont="1" applyFill="1" applyBorder="1"/>
    <xf numFmtId="0" fontId="20" fillId="0" borderId="19" xfId="0" applyFont="1" applyBorder="1"/>
    <xf numFmtId="0" fontId="16" fillId="0" borderId="20" xfId="0" applyFont="1" applyBorder="1"/>
    <xf numFmtId="0" fontId="20" fillId="0" borderId="20" xfId="0" applyFont="1" applyBorder="1"/>
    <xf numFmtId="1" fontId="20" fillId="0" borderId="20" xfId="0" applyNumberFormat="1" applyFont="1" applyBorder="1"/>
    <xf numFmtId="172" fontId="20" fillId="0" borderId="21" xfId="5" applyNumberFormat="1" applyFont="1" applyBorder="1"/>
    <xf numFmtId="1" fontId="16" fillId="0" borderId="11" xfId="0" applyNumberFormat="1" applyFont="1" applyBorder="1"/>
    <xf numFmtId="43" fontId="17" fillId="0" borderId="0" xfId="1" applyFont="1" applyFill="1" applyBorder="1"/>
    <xf numFmtId="172" fontId="16" fillId="6" borderId="0" xfId="5" applyNumberFormat="1" applyFont="1" applyFill="1" applyBorder="1"/>
    <xf numFmtId="9" fontId="17" fillId="0" borderId="0" xfId="2" applyFont="1"/>
    <xf numFmtId="172" fontId="16" fillId="6" borderId="1" xfId="5" applyNumberFormat="1" applyFont="1" applyFill="1" applyBorder="1"/>
    <xf numFmtId="0" fontId="25" fillId="0" borderId="13" xfId="0" applyFont="1" applyBorder="1"/>
    <xf numFmtId="1" fontId="25" fillId="0" borderId="14" xfId="0" applyNumberFormat="1" applyFont="1" applyBorder="1"/>
    <xf numFmtId="172" fontId="25" fillId="0" borderId="15" xfId="5" applyNumberFormat="1" applyFont="1" applyBorder="1"/>
    <xf numFmtId="3" fontId="17" fillId="0" borderId="0" xfId="0" applyNumberFormat="1" applyFont="1"/>
    <xf numFmtId="0" fontId="24" fillId="5" borderId="0" xfId="0" applyFont="1" applyFill="1"/>
    <xf numFmtId="0" fontId="25" fillId="0" borderId="0" xfId="0" applyFont="1" applyAlignment="1">
      <alignment horizontal="right"/>
    </xf>
    <xf numFmtId="0" fontId="27" fillId="0" borderId="0" xfId="0" applyFont="1"/>
    <xf numFmtId="0" fontId="16" fillId="6" borderId="0" xfId="0" applyFont="1" applyFill="1" applyAlignment="1">
      <alignment horizontal="left"/>
    </xf>
    <xf numFmtId="166" fontId="16" fillId="6" borderId="0" xfId="0" applyNumberFormat="1" applyFont="1" applyFill="1" applyAlignment="1">
      <alignment horizontal="right"/>
    </xf>
    <xf numFmtId="0" fontId="28" fillId="0" borderId="0" xfId="0" applyFont="1"/>
    <xf numFmtId="0" fontId="21" fillId="6" borderId="0" xfId="0" applyFont="1" applyFill="1"/>
    <xf numFmtId="170" fontId="21" fillId="0" borderId="0" xfId="0" applyNumberFormat="1" applyFont="1"/>
    <xf numFmtId="43" fontId="28" fillId="0" borderId="0" xfId="0" applyNumberFormat="1" applyFont="1"/>
    <xf numFmtId="2" fontId="16" fillId="6" borderId="0" xfId="0" applyNumberFormat="1" applyFont="1" applyFill="1"/>
    <xf numFmtId="0" fontId="14" fillId="0" borderId="1" xfId="0" applyFont="1" applyBorder="1" applyAlignment="1">
      <alignment horizontal="left" wrapText="1" indent="1"/>
    </xf>
    <xf numFmtId="172" fontId="14" fillId="0" borderId="1" xfId="5" applyNumberFormat="1" applyFont="1" applyBorder="1"/>
    <xf numFmtId="172" fontId="14" fillId="0" borderId="33" xfId="5" applyNumberFormat="1" applyFont="1" applyBorder="1"/>
    <xf numFmtId="0" fontId="26" fillId="0" borderId="0" xfId="0" applyFont="1" applyAlignment="1">
      <alignment horizontal="left"/>
    </xf>
    <xf numFmtId="0" fontId="29" fillId="0" borderId="0" xfId="0" applyFont="1"/>
    <xf numFmtId="0" fontId="16" fillId="6" borderId="1" xfId="0" applyFont="1" applyFill="1" applyBorder="1" applyAlignment="1">
      <alignment horizontal="left" wrapText="1"/>
    </xf>
    <xf numFmtId="0" fontId="26" fillId="0" borderId="1" xfId="0" applyFont="1" applyBorder="1" applyAlignment="1">
      <alignment horizontal="left" vertical="center"/>
    </xf>
    <xf numFmtId="0" fontId="16" fillId="6" borderId="1" xfId="0" applyFont="1" applyFill="1" applyBorder="1" applyAlignment="1">
      <alignment vertical="center"/>
    </xf>
    <xf numFmtId="166" fontId="16" fillId="6" borderId="1" xfId="0" applyNumberFormat="1" applyFont="1" applyFill="1" applyBorder="1" applyAlignment="1">
      <alignment horizontal="right" vertical="center"/>
    </xf>
    <xf numFmtId="0" fontId="27" fillId="0" borderId="1" xfId="0" applyFont="1" applyBorder="1"/>
    <xf numFmtId="0" fontId="31" fillId="5" borderId="30" xfId="0" applyFont="1" applyFill="1" applyBorder="1"/>
    <xf numFmtId="9" fontId="16" fillId="0" borderId="4" xfId="2" applyFont="1" applyBorder="1" applyAlignment="1">
      <alignment horizontal="right"/>
    </xf>
    <xf numFmtId="9" fontId="16" fillId="0" borderId="10" xfId="2" applyFont="1" applyBorder="1" applyAlignment="1">
      <alignment horizontal="right"/>
    </xf>
    <xf numFmtId="0" fontId="20" fillId="0" borderId="1" xfId="0" applyFont="1" applyBorder="1"/>
    <xf numFmtId="8" fontId="16" fillId="0" borderId="1" xfId="0" applyNumberFormat="1" applyFont="1" applyBorder="1"/>
    <xf numFmtId="8" fontId="16" fillId="0" borderId="11" xfId="0" applyNumberFormat="1" applyFont="1" applyBorder="1"/>
    <xf numFmtId="0" fontId="20" fillId="0" borderId="12" xfId="0" applyFont="1" applyBorder="1"/>
    <xf numFmtId="0" fontId="20" fillId="0" borderId="1" xfId="0" applyFont="1" applyBorder="1" applyAlignment="1">
      <alignment horizontal="center"/>
    </xf>
    <xf numFmtId="8" fontId="20" fillId="0" borderId="1" xfId="0" applyNumberFormat="1" applyFont="1" applyBorder="1" applyAlignment="1">
      <alignment horizontal="center"/>
    </xf>
    <xf numFmtId="8" fontId="20" fillId="0" borderId="11" xfId="0" applyNumberFormat="1" applyFont="1" applyBorder="1" applyAlignment="1">
      <alignment horizontal="center"/>
    </xf>
    <xf numFmtId="8" fontId="16" fillId="0" borderId="0" xfId="0" applyNumberFormat="1" applyFont="1" applyAlignment="1">
      <alignment wrapText="1"/>
    </xf>
    <xf numFmtId="0" fontId="16" fillId="0" borderId="0" xfId="0" applyFont="1" applyAlignment="1">
      <alignment wrapText="1"/>
    </xf>
    <xf numFmtId="0" fontId="16" fillId="0" borderId="8" xfId="0" applyFont="1" applyBorder="1" applyAlignment="1">
      <alignment horizontal="left"/>
    </xf>
    <xf numFmtId="171" fontId="21" fillId="0" borderId="0" xfId="0" applyNumberFormat="1" applyFont="1"/>
    <xf numFmtId="40" fontId="21" fillId="0" borderId="0" xfId="0" applyNumberFormat="1" applyFont="1"/>
    <xf numFmtId="38" fontId="16" fillId="0" borderId="0" xfId="0" applyNumberFormat="1" applyFont="1"/>
    <xf numFmtId="10" fontId="16" fillId="0" borderId="0" xfId="0" applyNumberFormat="1" applyFont="1"/>
    <xf numFmtId="8" fontId="20" fillId="0" borderId="0" xfId="0" applyNumberFormat="1" applyFont="1" applyAlignment="1">
      <alignment wrapText="1"/>
    </xf>
    <xf numFmtId="38" fontId="16" fillId="0" borderId="1" xfId="0" applyNumberFormat="1" applyFont="1" applyBorder="1"/>
    <xf numFmtId="0" fontId="24" fillId="5" borderId="8" xfId="0" applyFont="1" applyFill="1" applyBorder="1" applyAlignment="1">
      <alignment horizontal="center" textRotation="90"/>
    </xf>
    <xf numFmtId="2" fontId="16" fillId="0" borderId="0" xfId="0" applyNumberFormat="1" applyFont="1"/>
    <xf numFmtId="40" fontId="16" fillId="0" borderId="9" xfId="0" applyNumberFormat="1" applyFont="1" applyBorder="1"/>
    <xf numFmtId="38" fontId="16" fillId="0" borderId="11" xfId="0" applyNumberFormat="1" applyFont="1" applyBorder="1"/>
    <xf numFmtId="38" fontId="21" fillId="0" borderId="0" xfId="0" applyNumberFormat="1" applyFont="1"/>
    <xf numFmtId="40" fontId="16" fillId="0" borderId="0" xfId="0" applyNumberFormat="1" applyFont="1"/>
    <xf numFmtId="0" fontId="16" fillId="0" borderId="8" xfId="0" applyFont="1" applyBorder="1" applyAlignment="1">
      <alignment horizontal="left" indent="1"/>
    </xf>
    <xf numFmtId="38" fontId="21" fillId="6" borderId="0" xfId="0" applyNumberFormat="1" applyFont="1" applyFill="1"/>
    <xf numFmtId="0" fontId="16" fillId="7" borderId="0" xfId="0" applyFont="1" applyFill="1"/>
    <xf numFmtId="171" fontId="21" fillId="6" borderId="0" xfId="0" applyNumberFormat="1" applyFont="1" applyFill="1"/>
    <xf numFmtId="0" fontId="17" fillId="0" borderId="0" xfId="0" applyFont="1" applyAlignment="1">
      <alignment horizontal="left"/>
    </xf>
    <xf numFmtId="169" fontId="16" fillId="0" borderId="0" xfId="0" applyNumberFormat="1" applyFont="1" applyAlignment="1">
      <alignment horizontal="right"/>
    </xf>
    <xf numFmtId="0" fontId="16" fillId="0" borderId="0" xfId="0" applyFont="1" applyAlignment="1">
      <alignment horizontal="left" indent="1"/>
    </xf>
    <xf numFmtId="169" fontId="16" fillId="6" borderId="0" xfId="0" applyNumberFormat="1" applyFont="1" applyFill="1" applyAlignment="1">
      <alignment horizontal="right"/>
    </xf>
    <xf numFmtId="169" fontId="16" fillId="0" borderId="0" xfId="0" applyNumberFormat="1" applyFont="1"/>
    <xf numFmtId="0" fontId="16" fillId="0" borderId="31" xfId="0" applyFont="1" applyBorder="1" applyAlignment="1">
      <alignment horizontal="right"/>
    </xf>
    <xf numFmtId="0" fontId="16" fillId="0" borderId="22" xfId="0" applyFont="1" applyBorder="1" applyAlignment="1">
      <alignment horizontal="right"/>
    </xf>
    <xf numFmtId="169" fontId="16" fillId="0" borderId="0" xfId="0" applyNumberFormat="1" applyFont="1" applyProtection="1">
      <protection locked="0"/>
    </xf>
    <xf numFmtId="43" fontId="16" fillId="0" borderId="0" xfId="0" applyNumberFormat="1" applyFont="1"/>
    <xf numFmtId="0" fontId="16" fillId="2" borderId="0" xfId="0" applyFont="1" applyFill="1"/>
    <xf numFmtId="0" fontId="16" fillId="0" borderId="12" xfId="0" applyFont="1" applyBorder="1" applyAlignment="1">
      <alignment horizontal="right"/>
    </xf>
    <xf numFmtId="0" fontId="16" fillId="0" borderId="1" xfId="0" applyFont="1" applyBorder="1" applyAlignment="1">
      <alignment horizontal="right"/>
    </xf>
    <xf numFmtId="0" fontId="20" fillId="0" borderId="0" xfId="0" applyFont="1" applyAlignment="1">
      <alignment horizontal="right"/>
    </xf>
    <xf numFmtId="38" fontId="20" fillId="0" borderId="0" xfId="0" applyNumberFormat="1" applyFont="1"/>
    <xf numFmtId="40" fontId="20" fillId="0" borderId="9" xfId="0" applyNumberFormat="1" applyFont="1" applyBorder="1"/>
    <xf numFmtId="0" fontId="20" fillId="0" borderId="1" xfId="0" applyFont="1" applyBorder="1" applyAlignment="1">
      <alignment horizontal="right"/>
    </xf>
    <xf numFmtId="38" fontId="20" fillId="0" borderId="11" xfId="0" applyNumberFormat="1" applyFont="1" applyBorder="1"/>
    <xf numFmtId="9" fontId="16" fillId="0" borderId="0" xfId="0" applyNumberFormat="1" applyFont="1"/>
    <xf numFmtId="43" fontId="16" fillId="0" borderId="0" xfId="1" applyFont="1" applyFill="1" applyBorder="1"/>
    <xf numFmtId="9" fontId="16" fillId="0" borderId="0" xfId="2" applyFont="1" applyFill="1" applyBorder="1"/>
    <xf numFmtId="0" fontId="20" fillId="0" borderId="13" xfId="0" applyFont="1" applyBorder="1"/>
    <xf numFmtId="38" fontId="20" fillId="0" borderId="14" xfId="0" applyNumberFormat="1" applyFont="1" applyBorder="1"/>
    <xf numFmtId="0" fontId="20" fillId="0" borderId="15" xfId="0" applyFont="1" applyBorder="1"/>
    <xf numFmtId="0" fontId="20" fillId="0" borderId="0" xfId="0" applyFont="1" applyAlignment="1">
      <alignment wrapText="1"/>
    </xf>
    <xf numFmtId="0" fontId="16" fillId="0" borderId="0" xfId="0" applyFont="1" applyProtection="1">
      <protection locked="0"/>
    </xf>
    <xf numFmtId="8" fontId="16" fillId="0" borderId="0" xfId="0" applyNumberFormat="1" applyFont="1"/>
    <xf numFmtId="0" fontId="20" fillId="0" borderId="1" xfId="0" applyFont="1" applyBorder="1" applyAlignment="1">
      <alignment horizontal="center" wrapText="1"/>
    </xf>
    <xf numFmtId="0" fontId="20" fillId="0" borderId="12" xfId="0" applyFont="1" applyBorder="1" applyAlignment="1">
      <alignment horizontal="center" wrapText="1"/>
    </xf>
    <xf numFmtId="0" fontId="20" fillId="0" borderId="10" xfId="0" applyFont="1" applyBorder="1" applyAlignment="1">
      <alignment horizontal="center" wrapText="1"/>
    </xf>
    <xf numFmtId="38" fontId="16" fillId="0" borderId="8" xfId="0" applyNumberFormat="1" applyFont="1" applyBorder="1"/>
    <xf numFmtId="38" fontId="21" fillId="6" borderId="8" xfId="0" applyNumberFormat="1" applyFont="1" applyFill="1" applyBorder="1"/>
    <xf numFmtId="0" fontId="16" fillId="3" borderId="0" xfId="0" applyFont="1" applyFill="1"/>
    <xf numFmtId="171" fontId="21" fillId="6" borderId="8" xfId="0" applyNumberFormat="1" applyFont="1" applyFill="1" applyBorder="1"/>
    <xf numFmtId="171" fontId="21" fillId="0" borderId="8" xfId="0" applyNumberFormat="1" applyFont="1" applyBorder="1"/>
    <xf numFmtId="38" fontId="21" fillId="0" borderId="8" xfId="0" applyNumberFormat="1" applyFont="1" applyBorder="1"/>
    <xf numFmtId="169" fontId="16" fillId="0" borderId="8" xfId="0" applyNumberFormat="1" applyFont="1" applyBorder="1" applyAlignment="1">
      <alignment horizontal="right"/>
    </xf>
    <xf numFmtId="0" fontId="16" fillId="0" borderId="17" xfId="0" applyFont="1" applyBorder="1" applyAlignment="1">
      <alignment horizontal="left"/>
    </xf>
    <xf numFmtId="0" fontId="16" fillId="0" borderId="4" xfId="0" applyFont="1" applyBorder="1" applyAlignment="1">
      <alignment horizontal="left"/>
    </xf>
    <xf numFmtId="38" fontId="16" fillId="0" borderId="4" xfId="0" applyNumberFormat="1" applyFont="1" applyBorder="1" applyAlignment="1">
      <alignment horizontal="left"/>
    </xf>
    <xf numFmtId="9" fontId="16" fillId="0" borderId="4" xfId="2" applyFont="1" applyBorder="1" applyAlignment="1">
      <alignment horizontal="left"/>
    </xf>
    <xf numFmtId="38" fontId="16" fillId="0" borderId="17" xfId="0" applyNumberFormat="1" applyFont="1" applyBorder="1" applyAlignment="1">
      <alignment horizontal="left"/>
    </xf>
    <xf numFmtId="0" fontId="20" fillId="0" borderId="11" xfId="0" applyFont="1" applyBorder="1" applyAlignment="1">
      <alignment horizontal="center"/>
    </xf>
    <xf numFmtId="40" fontId="16" fillId="0" borderId="1" xfId="0" applyNumberFormat="1" applyFont="1" applyBorder="1"/>
    <xf numFmtId="40" fontId="20" fillId="0" borderId="20" xfId="0" applyNumberFormat="1" applyFont="1" applyBorder="1"/>
    <xf numFmtId="0" fontId="24" fillId="9" borderId="36" xfId="0" applyFont="1" applyFill="1" applyBorder="1"/>
    <xf numFmtId="0" fontId="20" fillId="2" borderId="1" xfId="0" applyFont="1" applyFill="1" applyBorder="1"/>
    <xf numFmtId="1" fontId="20" fillId="2" borderId="1" xfId="0" applyNumberFormat="1" applyFont="1" applyFill="1" applyBorder="1"/>
    <xf numFmtId="1" fontId="16" fillId="0" borderId="32" xfId="0" applyNumberFormat="1" applyFont="1" applyBorder="1"/>
    <xf numFmtId="1" fontId="16" fillId="0" borderId="33" xfId="0" applyNumberFormat="1" applyFont="1" applyBorder="1"/>
    <xf numFmtId="170" fontId="20" fillId="0" borderId="0" xfId="0" applyNumberFormat="1" applyFont="1"/>
    <xf numFmtId="170" fontId="20" fillId="0" borderId="32" xfId="0" applyNumberFormat="1" applyFont="1" applyBorder="1"/>
    <xf numFmtId="0" fontId="20" fillId="0" borderId="14" xfId="0" applyFont="1" applyBorder="1"/>
    <xf numFmtId="166" fontId="20" fillId="0" borderId="14" xfId="0" applyNumberFormat="1" applyFont="1" applyBorder="1"/>
    <xf numFmtId="166" fontId="20" fillId="0" borderId="34" xfId="0" applyNumberFormat="1" applyFont="1" applyBorder="1"/>
    <xf numFmtId="166" fontId="20" fillId="0" borderId="0" xfId="0" applyNumberFormat="1" applyFont="1"/>
    <xf numFmtId="166" fontId="20" fillId="0" borderId="32" xfId="0" applyNumberFormat="1" applyFont="1" applyBorder="1"/>
    <xf numFmtId="0" fontId="16" fillId="0" borderId="0" xfId="0" applyFont="1" applyAlignment="1">
      <alignment horizontal="left" wrapText="1" indent="1"/>
    </xf>
    <xf numFmtId="172" fontId="16" fillId="0" borderId="32" xfId="5" applyNumberFormat="1" applyFont="1" applyBorder="1"/>
    <xf numFmtId="0" fontId="25" fillId="2" borderId="0" xfId="0" applyFont="1" applyFill="1" applyAlignment="1">
      <alignment horizontal="right"/>
    </xf>
    <xf numFmtId="3" fontId="16" fillId="6" borderId="0" xfId="0" applyNumberFormat="1" applyFont="1" applyFill="1" applyProtection="1">
      <protection locked="0"/>
    </xf>
    <xf numFmtId="0" fontId="27" fillId="0" borderId="0" xfId="0" applyFont="1" applyAlignment="1">
      <alignment horizontal="right"/>
    </xf>
    <xf numFmtId="164" fontId="16" fillId="6" borderId="0" xfId="1" applyNumberFormat="1" applyFont="1" applyFill="1"/>
    <xf numFmtId="0" fontId="22" fillId="0" borderId="0" xfId="6" applyFont="1"/>
    <xf numFmtId="0" fontId="21" fillId="0" borderId="0" xfId="0" applyFont="1" applyAlignment="1">
      <alignment horizontal="left"/>
    </xf>
    <xf numFmtId="166" fontId="21" fillId="0" borderId="0" xfId="0" applyNumberFormat="1" applyFont="1" applyAlignment="1">
      <alignment horizontal="right"/>
    </xf>
    <xf numFmtId="164" fontId="16" fillId="0" borderId="0" xfId="1" applyNumberFormat="1" applyFont="1" applyFill="1"/>
    <xf numFmtId="9" fontId="16" fillId="6" borderId="0" xfId="0" applyNumberFormat="1" applyFont="1" applyFill="1"/>
    <xf numFmtId="9" fontId="16" fillId="6" borderId="0" xfId="2" applyFont="1" applyFill="1"/>
    <xf numFmtId="43" fontId="16" fillId="6" borderId="0" xfId="1" applyFont="1" applyFill="1" applyBorder="1"/>
    <xf numFmtId="43" fontId="16" fillId="6" borderId="1" xfId="1" applyFont="1" applyFill="1" applyBorder="1"/>
    <xf numFmtId="166" fontId="27" fillId="0" borderId="0" xfId="0" applyNumberFormat="1" applyFont="1"/>
    <xf numFmtId="0" fontId="16" fillId="5" borderId="0" xfId="0" applyFont="1" applyFill="1"/>
    <xf numFmtId="0" fontId="16" fillId="5" borderId="1" xfId="0" applyFont="1" applyFill="1" applyBorder="1"/>
    <xf numFmtId="164" fontId="21" fillId="0" borderId="0" xfId="1" applyNumberFormat="1" applyFont="1" applyFill="1" applyBorder="1" applyAlignment="1">
      <alignment horizontal="right"/>
    </xf>
    <xf numFmtId="43" fontId="16" fillId="6" borderId="0" xfId="1" applyFont="1" applyFill="1"/>
    <xf numFmtId="4" fontId="16" fillId="6" borderId="0" xfId="0" applyNumberFormat="1" applyFont="1" applyFill="1" applyProtection="1">
      <protection locked="0"/>
    </xf>
    <xf numFmtId="169" fontId="21" fillId="0" borderId="0" xfId="0" applyNumberFormat="1" applyFont="1"/>
    <xf numFmtId="169" fontId="16" fillId="6" borderId="0" xfId="0" applyNumberFormat="1" applyFont="1" applyFill="1"/>
    <xf numFmtId="9" fontId="16" fillId="0" borderId="0" xfId="2" applyFont="1" applyBorder="1" applyAlignment="1">
      <alignment vertical="center"/>
    </xf>
    <xf numFmtId="169" fontId="16" fillId="6" borderId="0" xfId="0" applyNumberFormat="1" applyFont="1" applyFill="1" applyAlignment="1">
      <alignment vertical="center"/>
    </xf>
    <xf numFmtId="44" fontId="16" fillId="6" borderId="0" xfId="5" applyFont="1" applyFill="1"/>
    <xf numFmtId="44" fontId="16" fillId="6" borderId="1" xfId="5" applyFont="1" applyFill="1" applyBorder="1"/>
    <xf numFmtId="44" fontId="16" fillId="0" borderId="0" xfId="5" applyFont="1" applyFill="1" applyBorder="1"/>
    <xf numFmtId="44" fontId="16" fillId="0" borderId="0" xfId="5" applyFont="1"/>
    <xf numFmtId="9" fontId="21" fillId="0" borderId="0" xfId="2" applyFont="1" applyFill="1" applyBorder="1"/>
    <xf numFmtId="0" fontId="32" fillId="0" borderId="0" xfId="0" applyFont="1" applyAlignment="1">
      <alignment horizontal="left"/>
    </xf>
    <xf numFmtId="166" fontId="33" fillId="0" borderId="0" xfId="0" applyNumberFormat="1" applyFont="1"/>
    <xf numFmtId="166" fontId="21" fillId="0" borderId="0" xfId="0" applyNumberFormat="1" applyFont="1"/>
    <xf numFmtId="166" fontId="21" fillId="0" borderId="0" xfId="2" applyNumberFormat="1" applyFont="1" applyFill="1" applyBorder="1"/>
    <xf numFmtId="164" fontId="21" fillId="0" borderId="0" xfId="0" applyNumberFormat="1" applyFont="1"/>
    <xf numFmtId="0" fontId="34" fillId="0" borderId="0" xfId="0" applyFont="1"/>
    <xf numFmtId="0" fontId="26" fillId="0" borderId="0" xfId="0" applyFont="1" applyAlignment="1">
      <alignment wrapText="1"/>
    </xf>
    <xf numFmtId="0" fontId="26" fillId="0" borderId="1" xfId="0" applyFont="1" applyBorder="1" applyAlignment="1">
      <alignment horizontal="left"/>
    </xf>
    <xf numFmtId="43" fontId="16" fillId="0" borderId="1" xfId="1" applyFont="1" applyFill="1" applyBorder="1"/>
    <xf numFmtId="0" fontId="18" fillId="5" borderId="0" xfId="0" applyFont="1" applyFill="1"/>
    <xf numFmtId="0" fontId="20" fillId="0" borderId="1" xfId="0" applyFont="1" applyBorder="1" applyAlignment="1">
      <alignment horizontal="right" wrapText="1"/>
    </xf>
    <xf numFmtId="170" fontId="16" fillId="0" borderId="0" xfId="0" applyNumberFormat="1" applyFont="1"/>
    <xf numFmtId="164" fontId="16" fillId="0" borderId="0" xfId="1" applyNumberFormat="1" applyFont="1" applyBorder="1"/>
    <xf numFmtId="172" fontId="16" fillId="0" borderId="0" xfId="0" applyNumberFormat="1" applyFont="1"/>
    <xf numFmtId="0" fontId="35" fillId="0" borderId="0" xfId="0" applyFont="1"/>
    <xf numFmtId="0" fontId="20" fillId="2" borderId="0" xfId="0" applyFont="1" applyFill="1"/>
    <xf numFmtId="1" fontId="20" fillId="2" borderId="0" xfId="0" applyNumberFormat="1" applyFont="1" applyFill="1"/>
    <xf numFmtId="170" fontId="16" fillId="0" borderId="1" xfId="0" applyNumberFormat="1" applyFont="1" applyBorder="1"/>
    <xf numFmtId="164" fontId="16" fillId="0" borderId="1" xfId="1" applyNumberFormat="1" applyFont="1" applyBorder="1"/>
    <xf numFmtId="172" fontId="16" fillId="0" borderId="1" xfId="0" applyNumberFormat="1" applyFont="1" applyBorder="1"/>
    <xf numFmtId="44" fontId="16" fillId="0" borderId="0" xfId="0" applyNumberFormat="1" applyFont="1"/>
    <xf numFmtId="170" fontId="16" fillId="6" borderId="0" xfId="0" applyNumberFormat="1" applyFont="1" applyFill="1"/>
    <xf numFmtId="170" fontId="24" fillId="5" borderId="0" xfId="0" applyNumberFormat="1" applyFont="1" applyFill="1" applyAlignment="1">
      <alignment horizontal="right"/>
    </xf>
    <xf numFmtId="0" fontId="20" fillId="2" borderId="16" xfId="0" applyFont="1" applyFill="1" applyBorder="1"/>
    <xf numFmtId="0" fontId="20" fillId="2" borderId="4" xfId="0" applyFont="1" applyFill="1" applyBorder="1"/>
    <xf numFmtId="1" fontId="20" fillId="2" borderId="4" xfId="0" applyNumberFormat="1" applyFont="1" applyFill="1" applyBorder="1"/>
    <xf numFmtId="0" fontId="16" fillId="0" borderId="16" xfId="0" applyFont="1" applyBorder="1"/>
    <xf numFmtId="164" fontId="16" fillId="0" borderId="4" xfId="1" applyNumberFormat="1" applyFont="1" applyBorder="1"/>
    <xf numFmtId="172" fontId="16" fillId="0" borderId="4" xfId="5" applyNumberFormat="1" applyFont="1" applyBorder="1"/>
    <xf numFmtId="164" fontId="16" fillId="0" borderId="0" xfId="0" applyNumberFormat="1" applyFont="1"/>
    <xf numFmtId="0" fontId="16" fillId="8" borderId="0" xfId="0" applyFont="1" applyFill="1"/>
    <xf numFmtId="9" fontId="16" fillId="8" borderId="0" xfId="2" applyFont="1" applyFill="1"/>
    <xf numFmtId="0" fontId="15" fillId="5" borderId="0" xfId="0" applyFont="1" applyFill="1"/>
    <xf numFmtId="0" fontId="15" fillId="5" borderId="1" xfId="0" applyFont="1" applyFill="1" applyBorder="1"/>
    <xf numFmtId="0" fontId="18" fillId="9" borderId="36" xfId="0" applyFont="1" applyFill="1" applyBorder="1" applyAlignment="1">
      <alignment wrapText="1"/>
    </xf>
    <xf numFmtId="0" fontId="18" fillId="5" borderId="25" xfId="0" applyFont="1" applyFill="1" applyBorder="1"/>
    <xf numFmtId="0" fontId="18" fillId="5" borderId="0" xfId="0" applyFont="1" applyFill="1" applyAlignment="1">
      <alignment horizontal="left"/>
    </xf>
    <xf numFmtId="0" fontId="18" fillId="5" borderId="12" xfId="0" applyFont="1" applyFill="1" applyBorder="1"/>
    <xf numFmtId="0" fontId="20" fillId="0" borderId="6" xfId="0" applyFont="1" applyBorder="1"/>
    <xf numFmtId="172" fontId="20" fillId="0" borderId="6" xfId="5" applyNumberFormat="1" applyFont="1" applyBorder="1"/>
    <xf numFmtId="1" fontId="20" fillId="0" borderId="6" xfId="0" applyNumberFormat="1" applyFont="1" applyBorder="1"/>
    <xf numFmtId="0" fontId="20" fillId="0" borderId="37" xfId="0" applyFont="1" applyBorder="1"/>
    <xf numFmtId="9" fontId="16" fillId="0" borderId="35" xfId="2" applyFont="1" applyBorder="1" applyAlignment="1">
      <alignment wrapText="1"/>
    </xf>
    <xf numFmtId="0" fontId="25" fillId="0" borderId="19" xfId="0" applyFont="1" applyBorder="1"/>
    <xf numFmtId="166" fontId="25" fillId="0" borderId="20" xfId="5" applyNumberFormat="1" applyFont="1" applyBorder="1"/>
    <xf numFmtId="0" fontId="16" fillId="0" borderId="21" xfId="0" applyFont="1" applyBorder="1"/>
    <xf numFmtId="0" fontId="21" fillId="0" borderId="6" xfId="0" applyFont="1" applyBorder="1"/>
    <xf numFmtId="0" fontId="35" fillId="5" borderId="0" xfId="0" applyFont="1" applyFill="1"/>
    <xf numFmtId="0" fontId="25" fillId="0" borderId="4" xfId="0" applyFont="1" applyBorder="1"/>
    <xf numFmtId="0" fontId="25" fillId="2" borderId="4" xfId="0" applyFont="1" applyFill="1" applyBorder="1" applyAlignment="1">
      <alignment horizontal="right"/>
    </xf>
    <xf numFmtId="0" fontId="16" fillId="0" borderId="4" xfId="0" applyFont="1" applyBorder="1"/>
    <xf numFmtId="0" fontId="25" fillId="0" borderId="4" xfId="0" applyFont="1" applyBorder="1" applyAlignment="1">
      <alignment horizontal="right"/>
    </xf>
    <xf numFmtId="0" fontId="30" fillId="0" borderId="1" xfId="0" applyFont="1" applyBorder="1"/>
    <xf numFmtId="0" fontId="12" fillId="5" borderId="5" xfId="0" applyFont="1" applyFill="1" applyBorder="1" applyAlignment="1">
      <alignment horizontal="center"/>
    </xf>
    <xf numFmtId="0" fontId="12" fillId="5" borderId="6" xfId="0" applyFont="1" applyFill="1" applyBorder="1" applyAlignment="1">
      <alignment horizontal="center"/>
    </xf>
    <xf numFmtId="0" fontId="12" fillId="5" borderId="7" xfId="0" applyFont="1" applyFill="1" applyBorder="1" applyAlignment="1">
      <alignment horizontal="center"/>
    </xf>
    <xf numFmtId="0" fontId="6" fillId="2" borderId="0" xfId="0" applyFont="1" applyFill="1" applyAlignment="1">
      <alignment horizontal="left"/>
    </xf>
    <xf numFmtId="0" fontId="24" fillId="5" borderId="17" xfId="0" applyFont="1" applyFill="1" applyBorder="1"/>
    <xf numFmtId="0" fontId="24" fillId="5" borderId="4" xfId="0" applyFont="1" applyFill="1" applyBorder="1"/>
    <xf numFmtId="0" fontId="24" fillId="5" borderId="10" xfId="0" applyFont="1" applyFill="1" applyBorder="1"/>
    <xf numFmtId="0" fontId="16" fillId="0" borderId="0" xfId="0" applyFont="1" applyAlignment="1">
      <alignment horizontal="right"/>
    </xf>
    <xf numFmtId="0" fontId="16" fillId="0" borderId="0" xfId="0" applyFont="1"/>
    <xf numFmtId="0" fontId="21" fillId="0" borderId="0" xfId="0" applyFont="1" applyAlignment="1">
      <alignment horizontal="left" vertical="top" wrapText="1"/>
    </xf>
    <xf numFmtId="0" fontId="23" fillId="6" borderId="16" xfId="4" applyFont="1" applyFill="1" applyBorder="1" applyAlignment="1">
      <alignment horizontal="center"/>
    </xf>
    <xf numFmtId="0" fontId="23" fillId="6" borderId="4" xfId="4" applyFont="1" applyFill="1" applyBorder="1" applyAlignment="1">
      <alignment horizontal="center"/>
    </xf>
    <xf numFmtId="0" fontId="23" fillId="6" borderId="18" xfId="4" applyFont="1" applyFill="1" applyBorder="1" applyAlignment="1">
      <alignment horizontal="center"/>
    </xf>
    <xf numFmtId="0" fontId="22" fillId="0" borderId="0" xfId="6" applyFont="1" applyAlignment="1">
      <alignment horizontal="left" vertical="top" wrapText="1"/>
    </xf>
    <xf numFmtId="0" fontId="16" fillId="0" borderId="5" xfId="0" applyFont="1" applyBorder="1" applyAlignment="1">
      <alignment horizontal="left"/>
    </xf>
    <xf numFmtId="0" fontId="16" fillId="0" borderId="6" xfId="0" applyFont="1" applyBorder="1" applyAlignment="1">
      <alignment horizontal="left"/>
    </xf>
    <xf numFmtId="0" fontId="16" fillId="0" borderId="12" xfId="0" applyFont="1" applyBorder="1" applyAlignment="1">
      <alignment horizontal="left"/>
    </xf>
    <xf numFmtId="0" fontId="16" fillId="0" borderId="1" xfId="0" applyFont="1" applyBorder="1" applyAlignment="1">
      <alignment horizontal="left"/>
    </xf>
    <xf numFmtId="0" fontId="36" fillId="5" borderId="5" xfId="0" applyFont="1" applyFill="1" applyBorder="1" applyAlignment="1">
      <alignment horizontal="left"/>
    </xf>
    <xf numFmtId="0" fontId="36" fillId="5" borderId="6" xfId="0" applyFont="1" applyFill="1" applyBorder="1" applyAlignment="1">
      <alignment horizontal="left"/>
    </xf>
    <xf numFmtId="0" fontId="36" fillId="5" borderId="7" xfId="0" applyFont="1" applyFill="1" applyBorder="1" applyAlignment="1">
      <alignment horizontal="left"/>
    </xf>
    <xf numFmtId="0" fontId="26" fillId="0" borderId="0" xfId="0" applyFont="1" applyAlignment="1">
      <alignment horizontal="left" wrapText="1"/>
    </xf>
    <xf numFmtId="0" fontId="16" fillId="0" borderId="8" xfId="0" applyFont="1" applyBorder="1" applyAlignment="1">
      <alignment horizontal="left" vertical="center"/>
    </xf>
    <xf numFmtId="0" fontId="16" fillId="6" borderId="9" xfId="0" applyFont="1" applyFill="1" applyBorder="1" applyAlignment="1">
      <alignment horizontal="right" vertical="center"/>
    </xf>
    <xf numFmtId="169" fontId="16" fillId="6" borderId="14" xfId="0" applyNumberFormat="1" applyFont="1" applyFill="1" applyBorder="1" applyAlignment="1">
      <alignment horizontal="center"/>
    </xf>
    <xf numFmtId="0" fontId="19" fillId="0" borderId="22" xfId="0" applyFont="1" applyBorder="1" applyAlignment="1">
      <alignment horizontal="left" wrapText="1"/>
    </xf>
    <xf numFmtId="0" fontId="18" fillId="5" borderId="1" xfId="0" applyFont="1" applyFill="1" applyBorder="1" applyAlignment="1">
      <alignment horizontal="left"/>
    </xf>
    <xf numFmtId="0" fontId="16" fillId="0" borderId="12" xfId="0" applyFont="1" applyBorder="1" applyAlignment="1">
      <alignment horizontal="right" wrapText="1"/>
    </xf>
    <xf numFmtId="0" fontId="16" fillId="0" borderId="1" xfId="0" applyFont="1" applyBorder="1" applyAlignment="1">
      <alignment horizontal="right" wrapText="1"/>
    </xf>
    <xf numFmtId="0" fontId="20" fillId="0" borderId="19" xfId="0" applyFont="1" applyBorder="1" applyAlignment="1">
      <alignment horizontal="right"/>
    </xf>
    <xf numFmtId="0" fontId="20" fillId="0" borderId="20" xfId="0" applyFont="1" applyBorder="1" applyAlignment="1">
      <alignment horizontal="right"/>
    </xf>
    <xf numFmtId="0" fontId="31" fillId="0" borderId="1" xfId="0" applyFont="1" applyBorder="1" applyAlignment="1">
      <alignment horizontal="center"/>
    </xf>
    <xf numFmtId="8" fontId="31" fillId="0" borderId="12" xfId="0" applyNumberFormat="1" applyFont="1" applyBorder="1" applyAlignment="1">
      <alignment horizontal="center"/>
    </xf>
    <xf numFmtId="8" fontId="31" fillId="0" borderId="1" xfId="0" applyNumberFormat="1" applyFont="1" applyBorder="1" applyAlignment="1">
      <alignment horizontal="center"/>
    </xf>
    <xf numFmtId="8" fontId="31" fillId="0" borderId="11" xfId="0" applyNumberFormat="1" applyFont="1" applyBorder="1" applyAlignment="1">
      <alignment horizontal="center"/>
    </xf>
    <xf numFmtId="0" fontId="16" fillId="0" borderId="31" xfId="0" applyFont="1" applyBorder="1" applyAlignment="1">
      <alignment horizontal="right"/>
    </xf>
    <xf numFmtId="0" fontId="16" fillId="0" borderId="22" xfId="0" applyFont="1" applyBorder="1" applyAlignment="1">
      <alignment horizontal="right"/>
    </xf>
    <xf numFmtId="0" fontId="16" fillId="0" borderId="12" xfId="0" applyFont="1" applyBorder="1" applyAlignment="1">
      <alignment horizontal="right"/>
    </xf>
    <xf numFmtId="0" fontId="16" fillId="0" borderId="1" xfId="0" applyFont="1" applyBorder="1" applyAlignment="1">
      <alignment horizontal="right"/>
    </xf>
    <xf numFmtId="0" fontId="20" fillId="0" borderId="22" xfId="0" applyFont="1" applyBorder="1" applyAlignment="1">
      <alignment horizontal="right"/>
    </xf>
    <xf numFmtId="0" fontId="20" fillId="0" borderId="0" xfId="0" applyFont="1" applyAlignment="1">
      <alignment horizontal="right"/>
    </xf>
    <xf numFmtId="0" fontId="20" fillId="0" borderId="14" xfId="0" applyFont="1" applyBorder="1" applyAlignment="1">
      <alignment horizontal="right"/>
    </xf>
    <xf numFmtId="0" fontId="24" fillId="5" borderId="25" xfId="0" applyFont="1" applyFill="1" applyBorder="1" applyAlignment="1">
      <alignment horizontal="center"/>
    </xf>
    <xf numFmtId="0" fontId="24" fillId="5" borderId="26" xfId="0" applyFont="1" applyFill="1" applyBorder="1" applyAlignment="1">
      <alignment horizontal="center"/>
    </xf>
    <xf numFmtId="0" fontId="24" fillId="5" borderId="27" xfId="0" applyFont="1" applyFill="1" applyBorder="1" applyAlignment="1">
      <alignment horizontal="center"/>
    </xf>
    <xf numFmtId="0" fontId="24" fillId="5" borderId="8" xfId="0" applyFont="1" applyFill="1" applyBorder="1" applyAlignment="1">
      <alignment horizontal="center" vertical="center" textRotation="90"/>
    </xf>
    <xf numFmtId="0" fontId="24" fillId="5" borderId="13" xfId="0" applyFont="1" applyFill="1" applyBorder="1" applyAlignment="1">
      <alignment horizontal="center" vertical="center" textRotation="90"/>
    </xf>
    <xf numFmtId="0" fontId="20" fillId="0" borderId="0" xfId="0" applyFont="1" applyAlignment="1">
      <alignment horizontal="center"/>
    </xf>
    <xf numFmtId="0" fontId="16" fillId="0" borderId="0" xfId="0" applyFont="1" applyAlignment="1">
      <alignment horizontal="left"/>
    </xf>
    <xf numFmtId="172" fontId="20" fillId="0" borderId="0" xfId="5" applyNumberFormat="1" applyFont="1"/>
    <xf numFmtId="172" fontId="20" fillId="0" borderId="9" xfId="5" applyNumberFormat="1" applyFont="1" applyBorder="1"/>
    <xf numFmtId="44" fontId="20" fillId="0" borderId="1" xfId="5" applyFont="1" applyBorder="1"/>
    <xf numFmtId="44" fontId="16" fillId="0" borderId="9" xfId="5" applyFont="1" applyBorder="1"/>
    <xf numFmtId="44" fontId="16" fillId="0" borderId="1" xfId="5" applyFont="1" applyBorder="1"/>
    <xf numFmtId="44" fontId="16" fillId="0" borderId="11" xfId="5" applyFont="1" applyBorder="1"/>
    <xf numFmtId="44" fontId="21" fillId="0" borderId="0" xfId="5" applyFont="1"/>
    <xf numFmtId="172" fontId="16" fillId="10" borderId="0" xfId="5" applyNumberFormat="1" applyFont="1" applyFill="1"/>
    <xf numFmtId="44" fontId="21" fillId="0" borderId="1" xfId="5" applyFont="1" applyBorder="1"/>
    <xf numFmtId="44" fontId="16" fillId="0" borderId="9" xfId="5" applyFont="1" applyBorder="1" applyAlignment="1">
      <alignment horizontal="right"/>
    </xf>
    <xf numFmtId="44" fontId="16" fillId="0" borderId="11" xfId="5" applyFont="1" applyBorder="1" applyAlignment="1">
      <alignment horizontal="right"/>
    </xf>
    <xf numFmtId="44" fontId="21" fillId="6" borderId="0" xfId="5" applyFont="1" applyFill="1"/>
    <xf numFmtId="44" fontId="17" fillId="0" borderId="0" xfId="5" applyFont="1"/>
    <xf numFmtId="44" fontId="16" fillId="0" borderId="0" xfId="5" applyFont="1" applyAlignment="1">
      <alignment horizontal="left"/>
    </xf>
    <xf numFmtId="44" fontId="16" fillId="0" borderId="1" xfId="5" applyFont="1" applyBorder="1" applyAlignment="1">
      <alignment horizontal="left"/>
    </xf>
    <xf numFmtId="44" fontId="21" fillId="0" borderId="9" xfId="5" applyFont="1" applyBorder="1"/>
    <xf numFmtId="44" fontId="17" fillId="0" borderId="0" xfId="5" applyFont="1" applyAlignment="1">
      <alignment horizontal="left" indent="5"/>
    </xf>
    <xf numFmtId="44" fontId="17" fillId="0" borderId="9" xfId="5" applyFont="1" applyBorder="1" applyAlignment="1">
      <alignment horizontal="left" indent="5"/>
    </xf>
    <xf numFmtId="44" fontId="17" fillId="0" borderId="9" xfId="5" applyFont="1" applyBorder="1"/>
    <xf numFmtId="44" fontId="16" fillId="0" borderId="9" xfId="5" applyFont="1" applyBorder="1" applyAlignment="1">
      <alignment horizontal="left"/>
    </xf>
    <xf numFmtId="44" fontId="16" fillId="0" borderId="11" xfId="5" applyFont="1" applyBorder="1" applyAlignment="1">
      <alignment horizontal="left"/>
    </xf>
    <xf numFmtId="44" fontId="16" fillId="0" borderId="4" xfId="5" applyFont="1" applyBorder="1"/>
    <xf numFmtId="44" fontId="16" fillId="0" borderId="10" xfId="5" applyFont="1" applyBorder="1" applyAlignment="1">
      <alignment horizontal="left"/>
    </xf>
    <xf numFmtId="44" fontId="16" fillId="0" borderId="0" xfId="5" applyFont="1" applyAlignment="1">
      <alignment horizontal="right"/>
    </xf>
    <xf numFmtId="44" fontId="16" fillId="0" borderId="4" xfId="5" applyFont="1" applyBorder="1" applyAlignment="1">
      <alignment horizontal="left"/>
    </xf>
    <xf numFmtId="44" fontId="20" fillId="0" borderId="20" xfId="5" applyFont="1" applyBorder="1"/>
    <xf numFmtId="44" fontId="20" fillId="0" borderId="21" xfId="5" applyFont="1" applyBorder="1"/>
    <xf numFmtId="0" fontId="18" fillId="5" borderId="0" xfId="0" applyFont="1" applyFill="1" applyAlignment="1">
      <alignment horizontal="left"/>
    </xf>
    <xf numFmtId="0" fontId="25" fillId="0" borderId="1" xfId="0" applyFont="1" applyBorder="1"/>
    <xf numFmtId="0" fontId="25" fillId="0" borderId="1" xfId="0" applyFont="1" applyBorder="1" applyAlignment="1">
      <alignment horizontal="right"/>
    </xf>
    <xf numFmtId="166" fontId="16" fillId="0" borderId="1" xfId="0" applyNumberFormat="1" applyFont="1" applyBorder="1"/>
    <xf numFmtId="0" fontId="37" fillId="5" borderId="5" xfId="0" applyFont="1" applyFill="1" applyBorder="1" applyAlignment="1">
      <alignment horizontal="center"/>
    </xf>
    <xf numFmtId="0" fontId="37" fillId="5" borderId="6" xfId="0" applyFont="1" applyFill="1" applyBorder="1" applyAlignment="1">
      <alignment horizontal="center"/>
    </xf>
    <xf numFmtId="0" fontId="37" fillId="5" borderId="7" xfId="0" applyFont="1" applyFill="1" applyBorder="1" applyAlignment="1">
      <alignment horizontal="center"/>
    </xf>
    <xf numFmtId="0" fontId="37" fillId="5" borderId="17" xfId="0" applyFont="1" applyFill="1" applyBorder="1" applyAlignment="1">
      <alignment horizontal="center"/>
    </xf>
    <xf numFmtId="0" fontId="37" fillId="5" borderId="4" xfId="0" applyFont="1" applyFill="1" applyBorder="1" applyAlignment="1">
      <alignment horizontal="center"/>
    </xf>
    <xf numFmtId="0" fontId="37" fillId="5" borderId="10" xfId="0" applyFont="1" applyFill="1" applyBorder="1" applyAlignment="1">
      <alignment horizontal="center"/>
    </xf>
    <xf numFmtId="0" fontId="16" fillId="0" borderId="8" xfId="0" applyFont="1" applyBorder="1" applyAlignment="1">
      <alignment horizontal="left"/>
    </xf>
    <xf numFmtId="0" fontId="16" fillId="0" borderId="0" xfId="0" applyFont="1" applyBorder="1" applyAlignment="1">
      <alignment horizontal="left"/>
    </xf>
  </cellXfs>
  <cellStyles count="7">
    <cellStyle name="Comma" xfId="1" builtinId="3"/>
    <cellStyle name="Currency" xfId="5" builtinId="4"/>
    <cellStyle name="Hyperlink" xfId="6" builtinId="8"/>
    <cellStyle name="Normal" xfId="0" builtinId="0"/>
    <cellStyle name="Normal 2" xfId="3" xr:uid="{00000000-0005-0000-0000-000004000000}"/>
    <cellStyle name="Output" xfId="4" builtinId="21"/>
    <cellStyle name="Percent" xfId="2" builtinId="5"/>
  </cellStyles>
  <dxfs count="54">
    <dxf>
      <font>
        <color rgb="FF9C0006"/>
      </font>
      <fill>
        <patternFill>
          <bgColor rgb="FFFFC7CE"/>
        </patternFill>
      </fill>
    </dxf>
    <dxf>
      <font>
        <strike val="0"/>
        <outline val="0"/>
        <shadow val="0"/>
        <vertAlign val="baseline"/>
        <sz val="12"/>
        <name val="Aptos"/>
        <family val="2"/>
        <scheme val="none"/>
      </font>
      <numFmt numFmtId="170" formatCode="0.0"/>
    </dxf>
    <dxf>
      <font>
        <strike val="0"/>
        <outline val="0"/>
        <shadow val="0"/>
        <vertAlign val="baseline"/>
        <sz val="12"/>
        <name val="Aptos"/>
        <family val="2"/>
        <scheme val="none"/>
      </font>
      <numFmt numFmtId="170" formatCode="0.0"/>
    </dxf>
    <dxf>
      <font>
        <strike val="0"/>
        <outline val="0"/>
        <shadow val="0"/>
        <vertAlign val="baseline"/>
        <sz val="12"/>
        <name val="Aptos"/>
        <family val="2"/>
        <scheme val="none"/>
      </font>
      <numFmt numFmtId="170" formatCode="0.0"/>
    </dxf>
    <dxf>
      <font>
        <strike val="0"/>
        <outline val="0"/>
        <shadow val="0"/>
        <vertAlign val="baseline"/>
        <sz val="12"/>
        <name val="Aptos"/>
        <family val="2"/>
        <scheme val="none"/>
      </font>
      <numFmt numFmtId="170" formatCode="0.0"/>
    </dxf>
    <dxf>
      <font>
        <strike val="0"/>
        <outline val="0"/>
        <shadow val="0"/>
        <vertAlign val="baseline"/>
        <sz val="12"/>
        <name val="Aptos"/>
        <family val="2"/>
        <scheme val="none"/>
      </font>
      <numFmt numFmtId="170" formatCode="0.0"/>
    </dxf>
    <dxf>
      <font>
        <strike val="0"/>
        <outline val="0"/>
        <shadow val="0"/>
        <vertAlign val="baseline"/>
        <sz val="12"/>
        <name val="Aptos"/>
        <family val="2"/>
        <scheme val="none"/>
      </font>
      <numFmt numFmtId="170" formatCode="0.0"/>
    </dxf>
    <dxf>
      <font>
        <strike val="0"/>
        <outline val="0"/>
        <shadow val="0"/>
        <vertAlign val="baseline"/>
        <sz val="12"/>
        <name val="Aptos"/>
        <family val="2"/>
        <scheme val="none"/>
      </font>
      <numFmt numFmtId="170" formatCode="0.0"/>
    </dxf>
    <dxf>
      <font>
        <strike val="0"/>
        <outline val="0"/>
        <shadow val="0"/>
        <vertAlign val="baseline"/>
        <sz val="12"/>
        <name val="Aptos"/>
        <family val="2"/>
        <scheme val="none"/>
      </font>
      <numFmt numFmtId="170" formatCode="0.0"/>
    </dxf>
    <dxf>
      <font>
        <strike val="0"/>
        <outline val="0"/>
        <shadow val="0"/>
        <vertAlign val="baseline"/>
        <sz val="12"/>
        <name val="Aptos"/>
        <family val="2"/>
        <scheme val="none"/>
      </font>
      <numFmt numFmtId="170" formatCode="0.0"/>
    </dxf>
    <dxf>
      <font>
        <strike val="0"/>
        <outline val="0"/>
        <shadow val="0"/>
        <vertAlign val="baseline"/>
        <sz val="12"/>
        <name val="Aptos"/>
        <family val="2"/>
        <scheme val="none"/>
      </font>
      <numFmt numFmtId="170" formatCode="0.0"/>
    </dxf>
    <dxf>
      <font>
        <strike val="0"/>
        <outline val="0"/>
        <shadow val="0"/>
        <vertAlign val="baseline"/>
        <sz val="12"/>
        <name val="Aptos"/>
        <family val="2"/>
        <scheme val="none"/>
      </font>
      <numFmt numFmtId="170" formatCode="0.0"/>
    </dxf>
    <dxf>
      <font>
        <strike val="0"/>
        <outline val="0"/>
        <shadow val="0"/>
        <vertAlign val="baseline"/>
        <sz val="12"/>
        <name val="Aptos"/>
        <family val="2"/>
        <scheme val="none"/>
      </font>
      <numFmt numFmtId="170" formatCode="0.0"/>
    </dxf>
    <dxf>
      <font>
        <strike val="0"/>
        <outline val="0"/>
        <shadow val="0"/>
        <vertAlign val="baseline"/>
        <sz val="12"/>
        <name val="Aptos"/>
        <family val="2"/>
        <scheme val="none"/>
      </font>
      <numFmt numFmtId="170" formatCode="0.0"/>
    </dxf>
    <dxf>
      <font>
        <strike val="0"/>
        <outline val="0"/>
        <shadow val="0"/>
        <vertAlign val="baseline"/>
        <sz val="12"/>
        <name val="Aptos"/>
        <family val="2"/>
        <scheme val="none"/>
      </font>
      <numFmt numFmtId="170" formatCode="0.0"/>
    </dxf>
    <dxf>
      <font>
        <strike val="0"/>
        <outline val="0"/>
        <shadow val="0"/>
        <vertAlign val="baseline"/>
        <sz val="12"/>
        <name val="Aptos"/>
        <family val="2"/>
        <scheme val="none"/>
      </font>
      <numFmt numFmtId="170" formatCode="0.0"/>
    </dxf>
    <dxf>
      <font>
        <strike val="0"/>
        <outline val="0"/>
        <shadow val="0"/>
        <vertAlign val="baseline"/>
        <sz val="12"/>
        <name val="Aptos"/>
        <family val="2"/>
        <scheme val="none"/>
      </font>
      <numFmt numFmtId="170" formatCode="0.0"/>
    </dxf>
    <dxf>
      <font>
        <strike val="0"/>
        <outline val="0"/>
        <shadow val="0"/>
        <vertAlign val="baseline"/>
        <sz val="12"/>
        <name val="Aptos"/>
        <family val="2"/>
        <scheme val="none"/>
      </font>
      <numFmt numFmtId="170" formatCode="0.0"/>
    </dxf>
    <dxf>
      <font>
        <strike val="0"/>
        <outline val="0"/>
        <shadow val="0"/>
        <vertAlign val="baseline"/>
        <sz val="12"/>
        <name val="Aptos"/>
        <family val="2"/>
        <scheme val="none"/>
      </font>
      <numFmt numFmtId="170" formatCode="0.0"/>
    </dxf>
    <dxf>
      <font>
        <strike val="0"/>
        <outline val="0"/>
        <shadow val="0"/>
        <vertAlign val="baseline"/>
        <sz val="12"/>
        <name val="Aptos"/>
        <family val="2"/>
        <scheme val="none"/>
      </font>
      <numFmt numFmtId="170" formatCode="0.0"/>
    </dxf>
    <dxf>
      <font>
        <strike val="0"/>
        <outline val="0"/>
        <shadow val="0"/>
        <vertAlign val="baseline"/>
        <sz val="12"/>
        <name val="Aptos"/>
        <family val="2"/>
        <scheme val="none"/>
      </font>
      <numFmt numFmtId="170" formatCode="0.0"/>
    </dxf>
    <dxf>
      <font>
        <strike val="0"/>
        <outline val="0"/>
        <shadow val="0"/>
        <vertAlign val="baseline"/>
        <sz val="12"/>
        <name val="Aptos"/>
        <family val="2"/>
        <scheme val="none"/>
      </font>
      <numFmt numFmtId="170" formatCode="0.0"/>
    </dxf>
    <dxf>
      <font>
        <strike val="0"/>
        <outline val="0"/>
        <shadow val="0"/>
        <vertAlign val="baseline"/>
        <sz val="12"/>
        <name val="Aptos"/>
        <family val="2"/>
        <scheme val="none"/>
      </font>
      <numFmt numFmtId="170" formatCode="0.0"/>
    </dxf>
    <dxf>
      <font>
        <strike val="0"/>
        <outline val="0"/>
        <shadow val="0"/>
        <vertAlign val="baseline"/>
        <sz val="12"/>
        <name val="Aptos"/>
        <family val="2"/>
        <scheme val="none"/>
      </font>
      <numFmt numFmtId="170" formatCode="0.0"/>
    </dxf>
    <dxf>
      <font>
        <strike val="0"/>
        <outline val="0"/>
        <shadow val="0"/>
        <vertAlign val="baseline"/>
        <sz val="12"/>
        <name val="Aptos"/>
        <family val="2"/>
        <scheme val="none"/>
      </font>
      <numFmt numFmtId="170" formatCode="0.0"/>
    </dxf>
    <dxf>
      <font>
        <strike val="0"/>
        <outline val="0"/>
        <shadow val="0"/>
        <vertAlign val="baseline"/>
        <sz val="12"/>
        <name val="Aptos"/>
        <family val="2"/>
        <scheme val="none"/>
      </font>
      <numFmt numFmtId="170" formatCode="0.0"/>
    </dxf>
    <dxf>
      <font>
        <strike val="0"/>
        <outline val="0"/>
        <shadow val="0"/>
        <vertAlign val="baseline"/>
        <sz val="12"/>
        <name val="Aptos"/>
        <family val="2"/>
        <scheme val="none"/>
      </font>
      <numFmt numFmtId="170" formatCode="0.0"/>
    </dxf>
    <dxf>
      <font>
        <strike val="0"/>
        <outline val="0"/>
        <shadow val="0"/>
        <vertAlign val="baseline"/>
        <sz val="12"/>
        <name val="Aptos"/>
        <family val="2"/>
        <scheme val="none"/>
      </font>
      <numFmt numFmtId="170" formatCode="0.0"/>
    </dxf>
    <dxf>
      <font>
        <strike val="0"/>
        <outline val="0"/>
        <shadow val="0"/>
        <vertAlign val="baseline"/>
        <sz val="12"/>
        <name val="Aptos"/>
        <family val="2"/>
        <scheme val="none"/>
      </font>
      <numFmt numFmtId="170" formatCode="0.0"/>
    </dxf>
    <dxf>
      <font>
        <strike val="0"/>
        <outline val="0"/>
        <shadow val="0"/>
        <vertAlign val="baseline"/>
        <sz val="12"/>
        <name val="Aptos"/>
        <family val="2"/>
        <scheme val="none"/>
      </font>
      <numFmt numFmtId="170" formatCode="0.0"/>
    </dxf>
    <dxf>
      <font>
        <strike val="0"/>
        <outline val="0"/>
        <shadow val="0"/>
        <vertAlign val="baseline"/>
        <sz val="12"/>
        <name val="Aptos"/>
        <family val="2"/>
        <scheme val="none"/>
      </font>
      <numFmt numFmtId="170" formatCode="0.0"/>
    </dxf>
    <dxf>
      <font>
        <strike val="0"/>
        <outline val="0"/>
        <shadow val="0"/>
        <vertAlign val="baseline"/>
        <sz val="12"/>
        <name val="Aptos"/>
        <family val="2"/>
        <scheme val="none"/>
      </font>
      <numFmt numFmtId="170" formatCode="0.0"/>
    </dxf>
    <dxf>
      <font>
        <strike val="0"/>
        <outline val="0"/>
        <shadow val="0"/>
        <vertAlign val="baseline"/>
        <sz val="12"/>
        <name val="Aptos"/>
        <family val="2"/>
        <scheme val="none"/>
      </font>
      <numFmt numFmtId="170" formatCode="0.0"/>
    </dxf>
    <dxf>
      <font>
        <strike val="0"/>
        <outline val="0"/>
        <shadow val="0"/>
        <vertAlign val="baseline"/>
        <sz val="12"/>
        <name val="Aptos"/>
        <family val="2"/>
        <scheme val="none"/>
      </font>
      <numFmt numFmtId="170" formatCode="0.0"/>
    </dxf>
    <dxf>
      <font>
        <strike val="0"/>
        <outline val="0"/>
        <shadow val="0"/>
        <vertAlign val="baseline"/>
        <sz val="12"/>
        <name val="Aptos"/>
        <family val="2"/>
        <scheme val="none"/>
      </font>
      <numFmt numFmtId="170" formatCode="0.0"/>
    </dxf>
    <dxf>
      <font>
        <strike val="0"/>
        <outline val="0"/>
        <shadow val="0"/>
        <vertAlign val="baseline"/>
        <sz val="12"/>
        <name val="Aptos"/>
        <family val="2"/>
        <scheme val="none"/>
      </font>
      <numFmt numFmtId="170" formatCode="0.0"/>
    </dxf>
    <dxf>
      <font>
        <strike val="0"/>
        <outline val="0"/>
        <shadow val="0"/>
        <vertAlign val="baseline"/>
        <sz val="12"/>
        <name val="Aptos"/>
        <family val="2"/>
        <scheme val="none"/>
      </font>
      <numFmt numFmtId="170" formatCode="0.0"/>
    </dxf>
    <dxf>
      <font>
        <strike val="0"/>
        <outline val="0"/>
        <shadow val="0"/>
        <vertAlign val="baseline"/>
        <sz val="12"/>
        <name val="Aptos"/>
        <family val="2"/>
        <scheme val="none"/>
      </font>
      <numFmt numFmtId="170" formatCode="0.0"/>
    </dxf>
    <dxf>
      <font>
        <strike val="0"/>
        <outline val="0"/>
        <shadow val="0"/>
        <vertAlign val="baseline"/>
        <sz val="12"/>
        <name val="Aptos"/>
        <family val="2"/>
        <scheme val="none"/>
      </font>
      <numFmt numFmtId="170" formatCode="0.0"/>
    </dxf>
    <dxf>
      <font>
        <strike val="0"/>
        <outline val="0"/>
        <shadow val="0"/>
        <vertAlign val="baseline"/>
        <sz val="12"/>
        <name val="Aptos"/>
        <family val="2"/>
        <scheme val="none"/>
      </font>
      <numFmt numFmtId="170" formatCode="0.0"/>
    </dxf>
    <dxf>
      <font>
        <strike val="0"/>
        <outline val="0"/>
        <shadow val="0"/>
        <vertAlign val="baseline"/>
        <sz val="12"/>
        <name val="Aptos"/>
        <family val="2"/>
        <scheme val="none"/>
      </font>
      <numFmt numFmtId="170" formatCode="0.0"/>
    </dxf>
    <dxf>
      <font>
        <strike val="0"/>
        <outline val="0"/>
        <shadow val="0"/>
        <vertAlign val="baseline"/>
        <sz val="12"/>
        <name val="Aptos"/>
        <family val="2"/>
        <scheme val="none"/>
      </font>
      <numFmt numFmtId="170" formatCode="0.0"/>
    </dxf>
    <dxf>
      <font>
        <strike val="0"/>
        <outline val="0"/>
        <shadow val="0"/>
        <vertAlign val="baseline"/>
        <sz val="12"/>
        <name val="Aptos"/>
        <family val="2"/>
        <scheme val="none"/>
      </font>
      <numFmt numFmtId="170" formatCode="0.0"/>
    </dxf>
    <dxf>
      <font>
        <strike val="0"/>
        <outline val="0"/>
        <shadow val="0"/>
        <vertAlign val="baseline"/>
        <sz val="12"/>
        <name val="Aptos"/>
        <family val="2"/>
        <scheme val="none"/>
      </font>
      <numFmt numFmtId="170" formatCode="0.0"/>
    </dxf>
    <dxf>
      <font>
        <strike val="0"/>
        <outline val="0"/>
        <shadow val="0"/>
        <vertAlign val="baseline"/>
        <sz val="12"/>
        <name val="Aptos"/>
        <family val="2"/>
        <scheme val="none"/>
      </font>
      <numFmt numFmtId="170" formatCode="0.0"/>
    </dxf>
    <dxf>
      <font>
        <strike val="0"/>
        <outline val="0"/>
        <shadow val="0"/>
        <vertAlign val="baseline"/>
        <sz val="12"/>
        <name val="Aptos"/>
        <family val="2"/>
        <scheme val="none"/>
      </font>
      <numFmt numFmtId="170" formatCode="0.0"/>
    </dxf>
    <dxf>
      <font>
        <strike val="0"/>
        <outline val="0"/>
        <shadow val="0"/>
        <vertAlign val="baseline"/>
        <sz val="12"/>
        <name val="Aptos"/>
        <family val="2"/>
        <scheme val="none"/>
      </font>
      <numFmt numFmtId="170" formatCode="0.0"/>
    </dxf>
    <dxf>
      <font>
        <strike val="0"/>
        <outline val="0"/>
        <shadow val="0"/>
        <vertAlign val="baseline"/>
        <sz val="12"/>
        <name val="Aptos"/>
        <family val="2"/>
        <scheme val="none"/>
      </font>
      <numFmt numFmtId="170" formatCode="0.0"/>
    </dxf>
    <dxf>
      <font>
        <strike val="0"/>
        <outline val="0"/>
        <shadow val="0"/>
        <vertAlign val="baseline"/>
        <sz val="12"/>
        <name val="Aptos"/>
        <family val="2"/>
        <scheme val="none"/>
      </font>
      <numFmt numFmtId="170" formatCode="0.0"/>
    </dxf>
    <dxf>
      <font>
        <strike val="0"/>
        <outline val="0"/>
        <shadow val="0"/>
        <vertAlign val="baseline"/>
        <sz val="12"/>
        <name val="Aptos"/>
        <family val="2"/>
        <scheme val="none"/>
      </font>
      <numFmt numFmtId="170" formatCode="0.0"/>
    </dxf>
    <dxf>
      <font>
        <strike val="0"/>
        <outline val="0"/>
        <shadow val="0"/>
        <vertAlign val="baseline"/>
        <sz val="12"/>
        <name val="Aptos"/>
        <family val="2"/>
        <scheme val="none"/>
      </font>
      <numFmt numFmtId="170" formatCode="0.0"/>
    </dxf>
    <dxf>
      <font>
        <strike val="0"/>
        <outline val="0"/>
        <shadow val="0"/>
        <vertAlign val="baseline"/>
        <sz val="12"/>
        <name val="Aptos"/>
        <family val="2"/>
        <scheme val="none"/>
      </font>
    </dxf>
    <dxf>
      <font>
        <strike val="0"/>
        <outline val="0"/>
        <shadow val="0"/>
        <vertAlign val="baseline"/>
        <sz val="12"/>
        <name val="Aptos"/>
        <family val="2"/>
        <scheme val="none"/>
      </font>
    </dxf>
    <dxf>
      <font>
        <strike val="0"/>
        <outline val="0"/>
        <shadow val="0"/>
        <u val="none"/>
        <vertAlign val="baseline"/>
        <sz val="12"/>
        <color rgb="FFF1B82D"/>
        <name val="Aptos"/>
        <family val="2"/>
        <scheme val="none"/>
      </font>
    </dxf>
  </dxfs>
  <tableStyles count="0" defaultTableStyle="TableStyleMedium2" defaultPivotStyle="PivotStyleLight16"/>
  <colors>
    <mruColors>
      <color rgb="FFF1B82D"/>
      <color rgb="FFFFFF66"/>
      <color rgb="FFD7D7D7"/>
      <color rgb="FFAEDC52"/>
      <color rgb="FFCFEA9A"/>
      <color rgb="FF69901D"/>
      <color rgb="FFDBD5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mn-ea"/>
                <a:cs typeface="+mn-cs"/>
              </a:defRPr>
            </a:pPr>
            <a:r>
              <a:rPr lang="en-US" b="1"/>
              <a:t>Modeled Potential Returns to Chinese Chestnut Operation Years 1-50</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ptos" panose="020B0004020202020204" pitchFamily="34" charset="0"/>
              <a:ea typeface="+mn-ea"/>
              <a:cs typeface="+mn-cs"/>
            </a:defRPr>
          </a:pPr>
          <a:endParaRPr lang="en-US"/>
        </a:p>
      </c:txPr>
    </c:title>
    <c:autoTitleDeleted val="0"/>
    <c:plotArea>
      <c:layout>
        <c:manualLayout>
          <c:layoutTarget val="inner"/>
          <c:xMode val="edge"/>
          <c:yMode val="edge"/>
          <c:x val="0.1097009556797386"/>
          <c:y val="0.11379740852975931"/>
          <c:w val="0.75013918006464697"/>
          <c:h val="0.67967890099610506"/>
        </c:manualLayout>
      </c:layout>
      <c:lineChart>
        <c:grouping val="standard"/>
        <c:varyColors val="0"/>
        <c:ser>
          <c:idx val="3"/>
          <c:order val="1"/>
          <c:tx>
            <c:strRef>
              <c:f>'Long-term Model Summary'!$J$24</c:f>
              <c:strCache>
                <c:ptCount val="1"/>
                <c:pt idx="0">
                  <c:v>Yield driven operating costs*</c:v>
                </c:pt>
              </c:strCache>
              <c:extLst xmlns:c15="http://schemas.microsoft.com/office/drawing/2012/chart"/>
            </c:strRef>
          </c:tx>
          <c:spPr>
            <a:ln w="28575" cap="rnd">
              <a:solidFill>
                <a:schemeClr val="accent4"/>
              </a:solidFill>
              <a:round/>
            </a:ln>
            <a:effectLst/>
          </c:spPr>
          <c:marker>
            <c:symbol val="none"/>
          </c:marker>
          <c:cat>
            <c:strRef>
              <c:f>'Long-term Model Summary'!$K$18:$BH$18</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extLst xmlns:c15="http://schemas.microsoft.com/office/drawing/2012/chart"/>
            </c:strRef>
          </c:cat>
          <c:val>
            <c:numRef>
              <c:f>'Long-term Model Summary'!$K$24:$BH$24</c:f>
              <c:extLst xmlns:c15="http://schemas.microsoft.com/office/drawing/2012/chart"/>
            </c:numRef>
          </c:val>
          <c:smooth val="0"/>
          <c:extLst xmlns:c15="http://schemas.microsoft.com/office/drawing/2012/chart">
            <c:ext xmlns:c16="http://schemas.microsoft.com/office/drawing/2014/chart" uri="{C3380CC4-5D6E-409C-BE32-E72D297353CC}">
              <c16:uniqueId val="{00000003-9BC3-4C23-8166-D08DDB415D83}"/>
            </c:ext>
          </c:extLst>
        </c:ser>
        <c:ser>
          <c:idx val="4"/>
          <c:order val="2"/>
          <c:tx>
            <c:strRef>
              <c:f>'Long-term Model Summary'!$J$25</c:f>
              <c:strCache>
                <c:ptCount val="1"/>
                <c:pt idx="0">
                  <c:v>Static costs*</c:v>
                </c:pt>
              </c:strCache>
              <c:extLst xmlns:c15="http://schemas.microsoft.com/office/drawing/2012/chart"/>
            </c:strRef>
          </c:tx>
          <c:spPr>
            <a:ln w="28575" cap="rnd">
              <a:solidFill>
                <a:schemeClr val="accent5"/>
              </a:solidFill>
              <a:round/>
            </a:ln>
            <a:effectLst/>
          </c:spPr>
          <c:marker>
            <c:symbol val="none"/>
          </c:marker>
          <c:cat>
            <c:strRef>
              <c:f>'Long-term Model Summary'!$K$18:$BH$18</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extLst xmlns:c15="http://schemas.microsoft.com/office/drawing/2012/chart"/>
            </c:strRef>
          </c:cat>
          <c:val>
            <c:numRef>
              <c:f>'Long-term Model Summary'!$K$25:$BH$25</c:f>
              <c:extLst xmlns:c15="http://schemas.microsoft.com/office/drawing/2012/chart"/>
            </c:numRef>
          </c:val>
          <c:smooth val="0"/>
          <c:extLst xmlns:c15="http://schemas.microsoft.com/office/drawing/2012/chart">
            <c:ext xmlns:c16="http://schemas.microsoft.com/office/drawing/2014/chart" uri="{C3380CC4-5D6E-409C-BE32-E72D297353CC}">
              <c16:uniqueId val="{00000004-9BC3-4C23-8166-D08DDB415D83}"/>
            </c:ext>
          </c:extLst>
        </c:ser>
        <c:ser>
          <c:idx val="5"/>
          <c:order val="3"/>
          <c:tx>
            <c:strRef>
              <c:f>'Long-term Model Summary'!$J$26</c:f>
              <c:strCache>
                <c:ptCount val="1"/>
                <c:pt idx="0">
                  <c:v>Total costs*</c:v>
                </c:pt>
              </c:strCache>
            </c:strRef>
          </c:tx>
          <c:spPr>
            <a:ln w="28575" cap="rnd">
              <a:solidFill>
                <a:schemeClr val="accent6"/>
              </a:solidFill>
              <a:round/>
            </a:ln>
            <a:effectLst/>
          </c:spPr>
          <c:marker>
            <c:symbol val="none"/>
          </c:marker>
          <c:cat>
            <c:strRef>
              <c:f>'Long-term Model Summary'!$K$18:$BH$18</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'Long-term Model Summary'!$K$26:$BH$26</c:f>
              <c:numCache>
                <c:formatCode>_("$"* #,##0_);_("$"* \(#,##0\);_("$"* "-"??_);_(@_)</c:formatCode>
                <c:ptCount val="50"/>
                <c:pt idx="0">
                  <c:v>49811.092708333337</c:v>
                </c:pt>
                <c:pt idx="1">
                  <c:v>21918.932708333337</c:v>
                </c:pt>
                <c:pt idx="2">
                  <c:v>21918.932708333337</c:v>
                </c:pt>
                <c:pt idx="3">
                  <c:v>21918.932708333337</c:v>
                </c:pt>
                <c:pt idx="4">
                  <c:v>36778.217212284886</c:v>
                </c:pt>
                <c:pt idx="5">
                  <c:v>37407.760498284886</c:v>
                </c:pt>
                <c:pt idx="6">
                  <c:v>38163.21244148488</c:v>
                </c:pt>
                <c:pt idx="7">
                  <c:v>39069.754773324887</c:v>
                </c:pt>
                <c:pt idx="8">
                  <c:v>40157.605571532884</c:v>
                </c:pt>
                <c:pt idx="9">
                  <c:v>41463.026529382478</c:v>
                </c:pt>
                <c:pt idx="10">
                  <c:v>43969.434768453713</c:v>
                </c:pt>
                <c:pt idx="11">
                  <c:v>47277.893644027739</c:v>
                </c:pt>
                <c:pt idx="12">
                  <c:v>51645.059359785453</c:v>
                </c:pt>
                <c:pt idx="13">
                  <c:v>57409.718104585641</c:v>
                </c:pt>
                <c:pt idx="14">
                  <c:v>65019.067647721873</c:v>
                </c:pt>
                <c:pt idx="15">
                  <c:v>80481.154913473292</c:v>
                </c:pt>
                <c:pt idx="16">
                  <c:v>60110.420235453596</c:v>
                </c:pt>
                <c:pt idx="17">
                  <c:v>60930.791819048653</c:v>
                </c:pt>
                <c:pt idx="18">
                  <c:v>61775.77455015156</c:v>
                </c:pt>
                <c:pt idx="19">
                  <c:v>67825.220295984676</c:v>
                </c:pt>
                <c:pt idx="20">
                  <c:v>68877.03588139567</c:v>
                </c:pt>
                <c:pt idx="21">
                  <c:v>69960.405934369002</c:v>
                </c:pt>
                <c:pt idx="22">
                  <c:v>71076.277088931514</c:v>
                </c:pt>
                <c:pt idx="23">
                  <c:v>72225.624378130931</c:v>
                </c:pt>
                <c:pt idx="24">
                  <c:v>73409.45208600632</c:v>
                </c:pt>
                <c:pt idx="25">
                  <c:v>74628.794625117953</c:v>
                </c:pt>
                <c:pt idx="26">
                  <c:v>75884.717440402936</c:v>
                </c:pt>
                <c:pt idx="27">
                  <c:v>77178.317940146473</c:v>
                </c:pt>
                <c:pt idx="28">
                  <c:v>78510.72645488233</c:v>
                </c:pt>
                <c:pt idx="29">
                  <c:v>79883.107225060259</c:v>
                </c:pt>
                <c:pt idx="30">
                  <c:v>81296.659418343508</c:v>
                </c:pt>
                <c:pt idx="31">
                  <c:v>82752.618177425276</c:v>
                </c:pt>
                <c:pt idx="32">
                  <c:v>84252.255699279471</c:v>
                </c:pt>
                <c:pt idx="33">
                  <c:v>85796.882346789323</c:v>
                </c:pt>
                <c:pt idx="34">
                  <c:v>87387.847793724461</c:v>
                </c:pt>
                <c:pt idx="35">
                  <c:v>89026.542204067649</c:v>
                </c:pt>
                <c:pt idx="36">
                  <c:v>90714.397446721137</c:v>
                </c:pt>
                <c:pt idx="37">
                  <c:v>92452.888346654232</c:v>
                </c:pt>
                <c:pt idx="38">
                  <c:v>94243.533973585305</c:v>
                </c:pt>
                <c:pt idx="39">
                  <c:v>96087.89896932432</c:v>
                </c:pt>
                <c:pt idx="40">
                  <c:v>96087.89896932432</c:v>
                </c:pt>
                <c:pt idx="41">
                  <c:v>96087.89896932432</c:v>
                </c:pt>
                <c:pt idx="42">
                  <c:v>96087.89896932432</c:v>
                </c:pt>
                <c:pt idx="43">
                  <c:v>96087.89896932432</c:v>
                </c:pt>
                <c:pt idx="44">
                  <c:v>96087.89896932432</c:v>
                </c:pt>
                <c:pt idx="45">
                  <c:v>96087.89896932432</c:v>
                </c:pt>
                <c:pt idx="46">
                  <c:v>96087.89896932432</c:v>
                </c:pt>
                <c:pt idx="47">
                  <c:v>96087.89896932432</c:v>
                </c:pt>
                <c:pt idx="48">
                  <c:v>96087.89896932432</c:v>
                </c:pt>
                <c:pt idx="49">
                  <c:v>96087.89896932432</c:v>
                </c:pt>
              </c:numCache>
            </c:numRef>
          </c:val>
          <c:smooth val="0"/>
          <c:extLst>
            <c:ext xmlns:c16="http://schemas.microsoft.com/office/drawing/2014/chart" uri="{C3380CC4-5D6E-409C-BE32-E72D297353CC}">
              <c16:uniqueId val="{00000005-9BC3-4C23-8166-D08DDB415D83}"/>
            </c:ext>
          </c:extLst>
        </c:ser>
        <c:ser>
          <c:idx val="6"/>
          <c:order val="4"/>
          <c:tx>
            <c:strRef>
              <c:f>'Long-term Model Summary'!$J$27</c:f>
              <c:strCache>
                <c:ptCount val="1"/>
                <c:pt idx="0">
                  <c:v>Net income, by year*</c:v>
                </c:pt>
              </c:strCache>
            </c:strRef>
          </c:tx>
          <c:spPr>
            <a:ln w="28575" cap="rnd">
              <a:solidFill>
                <a:schemeClr val="accent1">
                  <a:lumMod val="60000"/>
                </a:schemeClr>
              </a:solidFill>
              <a:round/>
            </a:ln>
            <a:effectLst/>
          </c:spPr>
          <c:marker>
            <c:symbol val="none"/>
          </c:marker>
          <c:cat>
            <c:strRef>
              <c:f>'Long-term Model Summary'!$K$18:$BH$18</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'Long-term Model Summary'!$K$27:$BH$27</c:f>
              <c:numCache>
                <c:formatCode>_("$"* #,##0_);_("$"* \(#,##0\);_("$"* "-"??_);_(@_)</c:formatCode>
                <c:ptCount val="50"/>
                <c:pt idx="0">
                  <c:v>-49811.092708333337</c:v>
                </c:pt>
                <c:pt idx="1">
                  <c:v>-21918.932708333337</c:v>
                </c:pt>
                <c:pt idx="2">
                  <c:v>-21918.932708333337</c:v>
                </c:pt>
                <c:pt idx="3">
                  <c:v>-21918.932708333337</c:v>
                </c:pt>
                <c:pt idx="4">
                  <c:v>-22476.587212284885</c:v>
                </c:pt>
                <c:pt idx="5">
                  <c:v>-20245.804498284888</c:v>
                </c:pt>
                <c:pt idx="6">
                  <c:v>-17568.865241484884</c:v>
                </c:pt>
                <c:pt idx="7">
                  <c:v>-14356.538133324888</c:v>
                </c:pt>
                <c:pt idx="8">
                  <c:v>-10501.745603532887</c:v>
                </c:pt>
                <c:pt idx="9">
                  <c:v>-5875.9945677824871</c:v>
                </c:pt>
                <c:pt idx="10">
                  <c:v>3005.4474208582833</c:v>
                </c:pt>
                <c:pt idx="11">
                  <c:v>14728.950845864099</c:v>
                </c:pt>
                <c:pt idx="12">
                  <c:v>30203.975366871753</c:v>
                </c:pt>
                <c:pt idx="13">
                  <c:v>50631.007734601895</c:v>
                </c:pt>
                <c:pt idx="14">
                  <c:v>77594.690460005659</c:v>
                </c:pt>
                <c:pt idx="15">
                  <c:v>13643.92543762688</c:v>
                </c:pt>
                <c:pt idx="16">
                  <c:v>64134.685827998634</c:v>
                </c:pt>
                <c:pt idx="17">
                  <c:v>67041.667426307147</c:v>
                </c:pt>
                <c:pt idx="18">
                  <c:v>70035.858472564913</c:v>
                </c:pt>
                <c:pt idx="19">
                  <c:v>91472.031805188337</c:v>
                </c:pt>
                <c:pt idx="20">
                  <c:v>95199.133782812525</c:v>
                </c:pt>
                <c:pt idx="21">
                  <c:v>99038.048819765492</c:v>
                </c:pt>
                <c:pt idx="22">
                  <c:v>102992.131307827</c:v>
                </c:pt>
                <c:pt idx="23">
                  <c:v>107064.83627053032</c:v>
                </c:pt>
                <c:pt idx="24">
                  <c:v>111259.72238211482</c:v>
                </c:pt>
                <c:pt idx="25">
                  <c:v>115580.4550770468</c:v>
                </c:pt>
                <c:pt idx="26">
                  <c:v>120030.80975282674</c:v>
                </c:pt>
                <c:pt idx="27">
                  <c:v>124614.67506888013</c:v>
                </c:pt>
                <c:pt idx="28">
                  <c:v>129336.05634441506</c:v>
                </c:pt>
                <c:pt idx="29">
                  <c:v>134199.07905821607</c:v>
                </c:pt>
                <c:pt idx="30">
                  <c:v>139207.9924534311</c:v>
                </c:pt>
                <c:pt idx="31">
                  <c:v>144367.17325050256</c:v>
                </c:pt>
                <c:pt idx="32">
                  <c:v>149681.12947148614</c:v>
                </c:pt>
                <c:pt idx="33">
                  <c:v>155154.50437909929</c:v>
                </c:pt>
                <c:pt idx="34">
                  <c:v>160792.08053394087</c:v>
                </c:pt>
                <c:pt idx="35">
                  <c:v>166598.78397342766</c:v>
                </c:pt>
                <c:pt idx="36">
                  <c:v>172579.68851609901</c:v>
                </c:pt>
                <c:pt idx="37">
                  <c:v>178740.02019505051</c:v>
                </c:pt>
                <c:pt idx="38">
                  <c:v>185085.16182437062</c:v>
                </c:pt>
                <c:pt idx="39">
                  <c:v>191620.65770257026</c:v>
                </c:pt>
                <c:pt idx="40">
                  <c:v>191620.65770257026</c:v>
                </c:pt>
                <c:pt idx="41">
                  <c:v>191620.65770257026</c:v>
                </c:pt>
                <c:pt idx="42">
                  <c:v>191620.65770257026</c:v>
                </c:pt>
                <c:pt idx="43">
                  <c:v>191620.65770257026</c:v>
                </c:pt>
                <c:pt idx="44">
                  <c:v>191620.65770257026</c:v>
                </c:pt>
                <c:pt idx="45">
                  <c:v>191620.65770257026</c:v>
                </c:pt>
                <c:pt idx="46">
                  <c:v>191620.65770257026</c:v>
                </c:pt>
                <c:pt idx="47">
                  <c:v>191620.65770257026</c:v>
                </c:pt>
                <c:pt idx="48">
                  <c:v>191620.65770257026</c:v>
                </c:pt>
                <c:pt idx="49">
                  <c:v>191620.65770257026</c:v>
                </c:pt>
              </c:numCache>
            </c:numRef>
          </c:val>
          <c:smooth val="0"/>
          <c:extLst>
            <c:ext xmlns:c16="http://schemas.microsoft.com/office/drawing/2014/chart" uri="{C3380CC4-5D6E-409C-BE32-E72D297353CC}">
              <c16:uniqueId val="{00000007-9BC3-4C23-8166-D08DDB415D83}"/>
            </c:ext>
          </c:extLst>
        </c:ser>
        <c:dLbls>
          <c:showLegendKey val="0"/>
          <c:showVal val="0"/>
          <c:showCatName val="0"/>
          <c:showSerName val="0"/>
          <c:showPercent val="0"/>
          <c:showBubbleSize val="0"/>
        </c:dLbls>
        <c:marker val="1"/>
        <c:smooth val="0"/>
        <c:axId val="1967722879"/>
        <c:axId val="1967719999"/>
        <c:extLst>
          <c:ext xmlns:c15="http://schemas.microsoft.com/office/drawing/2012/chart" uri="{02D57815-91ED-43cb-92C2-25804820EDAC}">
            <c15:filteredLineSeries>
              <c15:ser>
                <c:idx val="2"/>
                <c:order val="0"/>
                <c:tx>
                  <c:strRef>
                    <c:extLst>
                      <c:ext uri="{02D57815-91ED-43cb-92C2-25804820EDAC}">
                        <c15:formulaRef>
                          <c15:sqref>'Long-term Model Summary'!$J$21</c15:sqref>
                        </c15:formulaRef>
                      </c:ext>
                    </c:extLst>
                    <c:strCache>
                      <c:ptCount val="1"/>
                      <c:pt idx="0">
                        <c:v>Revenue by year*</c:v>
                      </c:pt>
                    </c:strCache>
                  </c:strRef>
                </c:tx>
                <c:spPr>
                  <a:ln w="28575" cap="rnd">
                    <a:solidFill>
                      <a:schemeClr val="accent3"/>
                    </a:solidFill>
                    <a:round/>
                  </a:ln>
                  <a:effectLst/>
                </c:spPr>
                <c:marker>
                  <c:symbol val="none"/>
                </c:marker>
                <c:cat>
                  <c:strRef>
                    <c:extLst>
                      <c:ext uri="{02D57815-91ED-43cb-92C2-25804820EDAC}">
                        <c15:formulaRef>
                          <c15:sqref>'Long-term Model Summary'!$K$18:$BH$18</c15:sqref>
                        </c15:formulaRef>
                      </c:ext>
                    </c:extLst>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extLst>
                      <c:ext uri="{02D57815-91ED-43cb-92C2-25804820EDAC}">
                        <c15:formulaRef>
                          <c15:sqref>'Long-term Model Summary'!$K$21:$BH$21</c15:sqref>
                        </c15:formulaRef>
                      </c:ext>
                    </c:extLst>
                    <c:numCache>
                      <c:formatCode>_("$"* #,##0_);_("$"* \(#,##0\);_("$"* "-"??_);_(@_)</c:formatCode>
                      <c:ptCount val="50"/>
                      <c:pt idx="0">
                        <c:v>0</c:v>
                      </c:pt>
                      <c:pt idx="1">
                        <c:v>0</c:v>
                      </c:pt>
                      <c:pt idx="2">
                        <c:v>0</c:v>
                      </c:pt>
                      <c:pt idx="3">
                        <c:v>0</c:v>
                      </c:pt>
                      <c:pt idx="4">
                        <c:v>14301.630000000001</c:v>
                      </c:pt>
                      <c:pt idx="5">
                        <c:v>17161.955999999998</c:v>
                      </c:pt>
                      <c:pt idx="6">
                        <c:v>20594.347199999997</c:v>
                      </c:pt>
                      <c:pt idx="7">
                        <c:v>24713.216639999999</c:v>
                      </c:pt>
                      <c:pt idx="8">
                        <c:v>29655.859967999997</c:v>
                      </c:pt>
                      <c:pt idx="9">
                        <c:v>35587.031961599991</c:v>
                      </c:pt>
                      <c:pt idx="10">
                        <c:v>46974.882189311997</c:v>
                      </c:pt>
                      <c:pt idx="11">
                        <c:v>62006.844489891839</c:v>
                      </c:pt>
                      <c:pt idx="12">
                        <c:v>81849.034726657206</c:v>
                      </c:pt>
                      <c:pt idx="13">
                        <c:v>108040.72583918754</c:v>
                      </c:pt>
                      <c:pt idx="14">
                        <c:v>142613.75810772754</c:v>
                      </c:pt>
                      <c:pt idx="15">
                        <c:v>94125.080351100172</c:v>
                      </c:pt>
                      <c:pt idx="16">
                        <c:v>124245.10606345223</c:v>
                      </c:pt>
                      <c:pt idx="17">
                        <c:v>127972.4592453558</c:v>
                      </c:pt>
                      <c:pt idx="18">
                        <c:v>131811.63302271647</c:v>
                      </c:pt>
                      <c:pt idx="19">
                        <c:v>159297.25210117301</c:v>
                      </c:pt>
                      <c:pt idx="20">
                        <c:v>164076.1696642082</c:v>
                      </c:pt>
                      <c:pt idx="21">
                        <c:v>168998.45475413449</c:v>
                      </c:pt>
                      <c:pt idx="22">
                        <c:v>174068.40839675852</c:v>
                      </c:pt>
                      <c:pt idx="23">
                        <c:v>179290.46064866125</c:v>
                      </c:pt>
                      <c:pt idx="24">
                        <c:v>184669.17446812114</c:v>
                      </c:pt>
                      <c:pt idx="25">
                        <c:v>190209.24970216476</c:v>
                      </c:pt>
                      <c:pt idx="26">
                        <c:v>195915.52719322967</c:v>
                      </c:pt>
                      <c:pt idx="27">
                        <c:v>201792.9930090266</c:v>
                      </c:pt>
                      <c:pt idx="28">
                        <c:v>207846.78279929739</c:v>
                      </c:pt>
                      <c:pt idx="29">
                        <c:v>214082.18628327633</c:v>
                      </c:pt>
                      <c:pt idx="30">
                        <c:v>220504.65187177461</c:v>
                      </c:pt>
                      <c:pt idx="31">
                        <c:v>227119.79142792785</c:v>
                      </c:pt>
                      <c:pt idx="32">
                        <c:v>233933.38517076563</c:v>
                      </c:pt>
                      <c:pt idx="33">
                        <c:v>240951.38672588862</c:v>
                      </c:pt>
                      <c:pt idx="34">
                        <c:v>248179.92832766532</c:v>
                      </c:pt>
                      <c:pt idx="35">
                        <c:v>255625.3261774953</c:v>
                      </c:pt>
                      <c:pt idx="36">
                        <c:v>263294.08596282016</c:v>
                      </c:pt>
                      <c:pt idx="37">
                        <c:v>271192.90854170476</c:v>
                      </c:pt>
                      <c:pt idx="38">
                        <c:v>279328.69579795591</c:v>
                      </c:pt>
                      <c:pt idx="39">
                        <c:v>287708.55667189456</c:v>
                      </c:pt>
                      <c:pt idx="40">
                        <c:v>287708.55667189456</c:v>
                      </c:pt>
                      <c:pt idx="41">
                        <c:v>287708.55667189456</c:v>
                      </c:pt>
                      <c:pt idx="42">
                        <c:v>287708.55667189456</c:v>
                      </c:pt>
                      <c:pt idx="43">
                        <c:v>287708.55667189456</c:v>
                      </c:pt>
                      <c:pt idx="44">
                        <c:v>287708.55667189456</c:v>
                      </c:pt>
                      <c:pt idx="45">
                        <c:v>287708.55667189456</c:v>
                      </c:pt>
                      <c:pt idx="46">
                        <c:v>287708.55667189456</c:v>
                      </c:pt>
                      <c:pt idx="47">
                        <c:v>287708.55667189456</c:v>
                      </c:pt>
                      <c:pt idx="48">
                        <c:v>287708.55667189456</c:v>
                      </c:pt>
                      <c:pt idx="49">
                        <c:v>287708.55667189456</c:v>
                      </c:pt>
                    </c:numCache>
                  </c:numRef>
                </c:val>
                <c:smooth val="0"/>
                <c:extLst>
                  <c:ext xmlns:c16="http://schemas.microsoft.com/office/drawing/2014/chart" uri="{C3380CC4-5D6E-409C-BE32-E72D297353CC}">
                    <c16:uniqueId val="{00000002-9BC3-4C23-8166-D08DDB415D83}"/>
                  </c:ext>
                </c:extLst>
              </c15:ser>
            </c15:filteredLineSeries>
          </c:ext>
        </c:extLst>
      </c:lineChart>
      <c:lineChart>
        <c:grouping val="standard"/>
        <c:varyColors val="0"/>
        <c:ser>
          <c:idx val="7"/>
          <c:order val="5"/>
          <c:tx>
            <c:strRef>
              <c:f>'Long-term Model Summary'!$J$28</c:f>
              <c:strCache>
                <c:ptCount val="1"/>
                <c:pt idx="0">
                  <c:v>Cumulative return to enterprise**</c:v>
                </c:pt>
              </c:strCache>
            </c:strRef>
          </c:tx>
          <c:spPr>
            <a:ln w="50800" cap="rnd">
              <a:solidFill>
                <a:srgbClr val="FF0000"/>
              </a:solidFill>
              <a:prstDash val="dash"/>
              <a:round/>
            </a:ln>
            <a:effectLst/>
          </c:spPr>
          <c:marker>
            <c:symbol val="none"/>
          </c:marker>
          <c:val>
            <c:numRef>
              <c:f>'Long-term Model Summary'!$K$28:$BH$28</c:f>
              <c:numCache>
                <c:formatCode>_("$"* #,##0_);_("$"* \(#,##0\);_("$"* "-"??_);_(@_)</c:formatCode>
                <c:ptCount val="50"/>
                <c:pt idx="0">
                  <c:v>-49811.092708333337</c:v>
                </c:pt>
                <c:pt idx="1">
                  <c:v>-71730.025416666671</c:v>
                </c:pt>
                <c:pt idx="2">
                  <c:v>-93648.958125000005</c:v>
                </c:pt>
                <c:pt idx="3">
                  <c:v>-115567.89083333334</c:v>
                </c:pt>
                <c:pt idx="4">
                  <c:v>-138044.47804561822</c:v>
                </c:pt>
                <c:pt idx="5">
                  <c:v>-158290.2825439031</c:v>
                </c:pt>
                <c:pt idx="6">
                  <c:v>-175859.14778538799</c:v>
                </c:pt>
                <c:pt idx="7">
                  <c:v>-190215.68591871287</c:v>
                </c:pt>
                <c:pt idx="8">
                  <c:v>-200717.43152224575</c:v>
                </c:pt>
                <c:pt idx="9">
                  <c:v>-206593.42609002825</c:v>
                </c:pt>
                <c:pt idx="10">
                  <c:v>-203587.97866916997</c:v>
                </c:pt>
                <c:pt idx="11">
                  <c:v>-188859.02782330586</c:v>
                </c:pt>
                <c:pt idx="12">
                  <c:v>-158655.05245643412</c:v>
                </c:pt>
                <c:pt idx="13">
                  <c:v>-108024.04472183222</c:v>
                </c:pt>
                <c:pt idx="14">
                  <c:v>-30429.354261826564</c:v>
                </c:pt>
                <c:pt idx="15">
                  <c:v>-16785.428824199684</c:v>
                </c:pt>
                <c:pt idx="16">
                  <c:v>47349.25700379895</c:v>
                </c:pt>
                <c:pt idx="17">
                  <c:v>114390.9244301061</c:v>
                </c:pt>
                <c:pt idx="18">
                  <c:v>184426.78290267102</c:v>
                </c:pt>
                <c:pt idx="19">
                  <c:v>275898.81470785936</c:v>
                </c:pt>
                <c:pt idx="20">
                  <c:v>371097.94849067187</c:v>
                </c:pt>
                <c:pt idx="21">
                  <c:v>470135.99731043738</c:v>
                </c:pt>
                <c:pt idx="22">
                  <c:v>573128.12861826434</c:v>
                </c:pt>
                <c:pt idx="23">
                  <c:v>680192.9648887947</c:v>
                </c:pt>
                <c:pt idx="24">
                  <c:v>791452.68727090955</c:v>
                </c:pt>
                <c:pt idx="25">
                  <c:v>907033.14234795631</c:v>
                </c:pt>
                <c:pt idx="26">
                  <c:v>1027063.952100783</c:v>
                </c:pt>
                <c:pt idx="27">
                  <c:v>1151678.6271696631</c:v>
                </c:pt>
                <c:pt idx="28">
                  <c:v>1281014.6835140781</c:v>
                </c:pt>
                <c:pt idx="29">
                  <c:v>1415213.7625722941</c:v>
                </c:pt>
                <c:pt idx="30">
                  <c:v>1554421.7550257251</c:v>
                </c:pt>
                <c:pt idx="31">
                  <c:v>1698788.9282762278</c:v>
                </c:pt>
                <c:pt idx="32">
                  <c:v>1848470.057747714</c:v>
                </c:pt>
                <c:pt idx="33">
                  <c:v>2003624.5621268132</c:v>
                </c:pt>
                <c:pt idx="34">
                  <c:v>2164416.6426607543</c:v>
                </c:pt>
                <c:pt idx="35">
                  <c:v>2331015.4266341818</c:v>
                </c:pt>
                <c:pt idx="36">
                  <c:v>2503595.1151502808</c:v>
                </c:pt>
                <c:pt idx="37">
                  <c:v>2682335.1353453314</c:v>
                </c:pt>
                <c:pt idx="38">
                  <c:v>2867420.2971697021</c:v>
                </c:pt>
                <c:pt idx="39">
                  <c:v>3059040.9548722724</c:v>
                </c:pt>
                <c:pt idx="40">
                  <c:v>3250661.6125748428</c:v>
                </c:pt>
                <c:pt idx="41">
                  <c:v>3442282.2702774131</c:v>
                </c:pt>
                <c:pt idx="42">
                  <c:v>3633902.9279799834</c:v>
                </c:pt>
                <c:pt idx="43">
                  <c:v>3825523.5856825537</c:v>
                </c:pt>
                <c:pt idx="44">
                  <c:v>4017144.243385124</c:v>
                </c:pt>
                <c:pt idx="45">
                  <c:v>4208764.9010876939</c:v>
                </c:pt>
                <c:pt idx="46">
                  <c:v>4400385.5587902637</c:v>
                </c:pt>
                <c:pt idx="47">
                  <c:v>4592006.2164928336</c:v>
                </c:pt>
                <c:pt idx="48">
                  <c:v>4783626.8741954034</c:v>
                </c:pt>
                <c:pt idx="49">
                  <c:v>4975247.5318979733</c:v>
                </c:pt>
              </c:numCache>
            </c:numRef>
          </c:val>
          <c:smooth val="0"/>
          <c:extLst>
            <c:ext xmlns:c16="http://schemas.microsoft.com/office/drawing/2014/chart" uri="{C3380CC4-5D6E-409C-BE32-E72D297353CC}">
              <c16:uniqueId val="{00000009-9BC3-4C23-8166-D08DDB415D83}"/>
            </c:ext>
          </c:extLst>
        </c:ser>
        <c:dLbls>
          <c:showLegendKey val="0"/>
          <c:showVal val="0"/>
          <c:showCatName val="0"/>
          <c:showSerName val="0"/>
          <c:showPercent val="0"/>
          <c:showBubbleSize val="0"/>
        </c:dLbls>
        <c:marker val="1"/>
        <c:smooth val="0"/>
        <c:axId val="2040214975"/>
        <c:axId val="2040215935"/>
      </c:lineChart>
      <c:catAx>
        <c:axId val="1967722879"/>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Aptos" panose="020B0004020202020204" pitchFamily="34" charset="0"/>
                <a:ea typeface="+mn-ea"/>
                <a:cs typeface="+mn-cs"/>
              </a:defRPr>
            </a:pPr>
            <a:endParaRPr lang="en-US"/>
          </a:p>
        </c:txPr>
        <c:crossAx val="1967719999"/>
        <c:crosses val="autoZero"/>
        <c:auto val="1"/>
        <c:lblAlgn val="ctr"/>
        <c:lblOffset val="0"/>
        <c:noMultiLvlLbl val="0"/>
      </c:catAx>
      <c:valAx>
        <c:axId val="196771999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Aptos" panose="020B0004020202020204" pitchFamily="34" charset="0"/>
                    <a:ea typeface="+mn-ea"/>
                    <a:cs typeface="+mn-cs"/>
                  </a:defRPr>
                </a:pPr>
                <a:r>
                  <a:rPr lang="en-US"/>
                  <a:t>Annual Net Income (2025 $)</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ptos" panose="020B0004020202020204" pitchFamily="34" charset="0"/>
                  <a:ea typeface="+mn-ea"/>
                  <a:cs typeface="+mn-cs"/>
                </a:defRPr>
              </a:pPr>
              <a:endParaRPr lang="en-US"/>
            </a:p>
          </c:txPr>
        </c:title>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ptos" panose="020B0004020202020204" pitchFamily="34" charset="0"/>
                <a:ea typeface="+mn-ea"/>
                <a:cs typeface="+mn-cs"/>
              </a:defRPr>
            </a:pPr>
            <a:endParaRPr lang="en-US"/>
          </a:p>
        </c:txPr>
        <c:crossAx val="1967722879"/>
        <c:crossesAt val="0"/>
        <c:crossBetween val="between"/>
      </c:valAx>
      <c:valAx>
        <c:axId val="2040215935"/>
        <c:scaling>
          <c:orientation val="minMax"/>
          <c:max val="5000000"/>
          <c:min val="-250000"/>
        </c:scaling>
        <c:delete val="0"/>
        <c:axPos val="r"/>
        <c:title>
          <c:tx>
            <c:rich>
              <a:bodyPr rot="-5400000" spcFirstLastPara="1" vertOverflow="ellipsis" vert="horz" wrap="square" anchor="ctr" anchorCtr="1"/>
              <a:lstStyle/>
              <a:p>
                <a:pPr>
                  <a:defRPr sz="1000" b="0" i="0" u="none" strike="noStrike" kern="1200" baseline="0">
                    <a:solidFill>
                      <a:sysClr val="windowText" lastClr="000000"/>
                    </a:solidFill>
                    <a:latin typeface="Aptos" panose="020B0004020202020204" pitchFamily="34" charset="0"/>
                    <a:ea typeface="+mn-ea"/>
                    <a:cs typeface="+mn-cs"/>
                  </a:defRPr>
                </a:pPr>
                <a:r>
                  <a:rPr lang="en-US"/>
                  <a:t>Cumulative return to enterprise (2025 $)</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ptos" panose="020B0004020202020204" pitchFamily="34" charset="0"/>
                  <a:ea typeface="+mn-ea"/>
                  <a:cs typeface="+mn-cs"/>
                </a:defRPr>
              </a:pPr>
              <a:endParaRPr lang="en-US"/>
            </a:p>
          </c:txPr>
        </c:title>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ptos" panose="020B0004020202020204" pitchFamily="34" charset="0"/>
                <a:ea typeface="+mn-ea"/>
                <a:cs typeface="+mn-cs"/>
              </a:defRPr>
            </a:pPr>
            <a:endParaRPr lang="en-US"/>
          </a:p>
        </c:txPr>
        <c:crossAx val="2040214975"/>
        <c:crosses val="max"/>
        <c:crossBetween val="between"/>
      </c:valAx>
      <c:catAx>
        <c:axId val="2040214975"/>
        <c:scaling>
          <c:orientation val="minMax"/>
        </c:scaling>
        <c:delete val="1"/>
        <c:axPos val="t"/>
        <c:majorTickMark val="out"/>
        <c:minorTickMark val="none"/>
        <c:tickLblPos val="nextTo"/>
        <c:crossAx val="2040215935"/>
        <c:crosses val="max"/>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ptos" panose="020B0004020202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ptos" panose="020B00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t>50 Year Model</a:t>
            </a:r>
            <a:r>
              <a:rPr lang="en-US" b="1" baseline="0"/>
              <a:t> of Potential </a:t>
            </a:r>
            <a:r>
              <a:rPr lang="en-US" b="1"/>
              <a:t>Annual</a:t>
            </a:r>
            <a:r>
              <a:rPr lang="en-US" b="1" baseline="0"/>
              <a:t> Orchard Performance</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2128815811104141"/>
          <c:y val="0.11379740852975931"/>
          <c:w val="0.7782769761363979"/>
          <c:h val="0.67671911060232759"/>
        </c:manualLayout>
      </c:layout>
      <c:lineChart>
        <c:grouping val="standard"/>
        <c:varyColors val="0"/>
        <c:ser>
          <c:idx val="3"/>
          <c:order val="2"/>
          <c:tx>
            <c:strRef>
              <c:f>'Long-term Model Summary'!$J$24</c:f>
              <c:strCache>
                <c:ptCount val="1"/>
                <c:pt idx="0">
                  <c:v>Yield driven operating costs*</c:v>
                </c:pt>
              </c:strCache>
              <c:extLst xmlns:c15="http://schemas.microsoft.com/office/drawing/2012/chart"/>
            </c:strRef>
          </c:tx>
          <c:spPr>
            <a:ln w="28575" cap="rnd">
              <a:solidFill>
                <a:schemeClr val="accent4"/>
              </a:solidFill>
              <a:round/>
            </a:ln>
            <a:effectLst/>
          </c:spPr>
          <c:marker>
            <c:symbol val="none"/>
          </c:marker>
          <c:cat>
            <c:strRef>
              <c:extLst>
                <c:ext xmlns:c15="http://schemas.microsoft.com/office/drawing/2012/chart" uri="{02D57815-91ED-43cb-92C2-25804820EDAC}">
                  <c15:fullRef>
                    <c15:sqref>'Long-term Model Summary'!$K$18:$BH$18</c15:sqref>
                  </c15:fullRef>
                </c:ext>
              </c:extLst>
              <c:f>'Long-term Model Summary'!$O$18:$BH$18</c:f>
              <c:strCache>
                <c:ptCount val="46"/>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extLst>
                <c:ext xmlns:c15="http://schemas.microsoft.com/office/drawing/2012/chart" uri="{02D57815-91ED-43cb-92C2-25804820EDAC}">
                  <c15:fullRef>
                    <c15:sqref>'Long-term Model Summary'!$K$24:$BH$24</c15:sqref>
                  </c15:fullRef>
                </c:ext>
              </c:extLst>
              <c:f>'Long-term Model Summary'!$O$24:$BH$24</c:f>
            </c:numRef>
          </c:val>
          <c:smooth val="0"/>
          <c:extLst xmlns:c15="http://schemas.microsoft.com/office/drawing/2012/chart">
            <c:ext xmlns:c16="http://schemas.microsoft.com/office/drawing/2014/chart" uri="{C3380CC4-5D6E-409C-BE32-E72D297353CC}">
              <c16:uniqueId val="{00000005-A065-46CB-9C47-34F01C4DB87C}"/>
            </c:ext>
          </c:extLst>
        </c:ser>
        <c:ser>
          <c:idx val="4"/>
          <c:order val="3"/>
          <c:tx>
            <c:strRef>
              <c:f>'Long-term Model Summary'!$J$25</c:f>
              <c:strCache>
                <c:ptCount val="1"/>
                <c:pt idx="0">
                  <c:v>Static costs*</c:v>
                </c:pt>
              </c:strCache>
              <c:extLst xmlns:c15="http://schemas.microsoft.com/office/drawing/2012/chart"/>
            </c:strRef>
          </c:tx>
          <c:spPr>
            <a:ln w="28575" cap="rnd">
              <a:solidFill>
                <a:schemeClr val="accent5"/>
              </a:solidFill>
              <a:round/>
            </a:ln>
            <a:effectLst/>
          </c:spPr>
          <c:marker>
            <c:symbol val="none"/>
          </c:marker>
          <c:cat>
            <c:strRef>
              <c:extLst>
                <c:ext xmlns:c15="http://schemas.microsoft.com/office/drawing/2012/chart" uri="{02D57815-91ED-43cb-92C2-25804820EDAC}">
                  <c15:fullRef>
                    <c15:sqref>'Long-term Model Summary'!$K$18:$BH$18</c15:sqref>
                  </c15:fullRef>
                </c:ext>
              </c:extLst>
              <c:f>'Long-term Model Summary'!$O$18:$BH$18</c:f>
              <c:strCache>
                <c:ptCount val="46"/>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extLst>
                <c:ext xmlns:c15="http://schemas.microsoft.com/office/drawing/2012/chart" uri="{02D57815-91ED-43cb-92C2-25804820EDAC}">
                  <c15:fullRef>
                    <c15:sqref>'Long-term Model Summary'!$K$25:$BH$25</c15:sqref>
                  </c15:fullRef>
                </c:ext>
              </c:extLst>
              <c:f>'Long-term Model Summary'!$O$25:$BH$25</c:f>
            </c:numRef>
          </c:val>
          <c:smooth val="0"/>
          <c:extLst xmlns:c15="http://schemas.microsoft.com/office/drawing/2012/chart">
            <c:ext xmlns:c16="http://schemas.microsoft.com/office/drawing/2014/chart" uri="{C3380CC4-5D6E-409C-BE32-E72D297353CC}">
              <c16:uniqueId val="{00000006-A065-46CB-9C47-34F01C4DB87C}"/>
            </c:ext>
          </c:extLst>
        </c:ser>
        <c:ser>
          <c:idx val="5"/>
          <c:order val="4"/>
          <c:tx>
            <c:strRef>
              <c:f>'Long-term Model Summary'!$J$26</c:f>
              <c:strCache>
                <c:ptCount val="1"/>
                <c:pt idx="0">
                  <c:v>Total costs*</c:v>
                </c:pt>
              </c:strCache>
            </c:strRef>
          </c:tx>
          <c:spPr>
            <a:ln w="28575" cap="rnd">
              <a:solidFill>
                <a:schemeClr val="accent6"/>
              </a:solidFill>
              <a:round/>
            </a:ln>
            <a:effectLst/>
          </c:spPr>
          <c:marker>
            <c:symbol val="none"/>
          </c:marker>
          <c:cat>
            <c:strRef>
              <c:extLst>
                <c:ext xmlns:c15="http://schemas.microsoft.com/office/drawing/2012/chart" uri="{02D57815-91ED-43cb-92C2-25804820EDAC}">
                  <c15:fullRef>
                    <c15:sqref>'Long-term Model Summary'!$K$18:$BH$18</c15:sqref>
                  </c15:fullRef>
                </c:ext>
              </c:extLst>
              <c:f>'Long-term Model Summary'!$O$18:$BH$18</c:f>
              <c:strCache>
                <c:ptCount val="46"/>
                <c:pt idx="0">
                  <c:v>Year 5</c:v>
                </c:pt>
                <c:pt idx="1">
                  <c:v>Year 6</c:v>
                </c:pt>
                <c:pt idx="2">
                  <c:v>Year 7</c:v>
                </c:pt>
                <c:pt idx="3">
                  <c:v>Year 8</c:v>
                </c:pt>
                <c:pt idx="4">
                  <c:v>Year 9</c:v>
                </c:pt>
                <c:pt idx="5">
                  <c:v>Year 10</c:v>
                </c:pt>
                <c:pt idx="6">
                  <c:v>Year 11</c:v>
                </c:pt>
                <c:pt idx="7">
                  <c:v>Year 12</c:v>
                </c:pt>
                <c:pt idx="8">
                  <c:v>Year 13</c:v>
                </c:pt>
                <c:pt idx="9">
                  <c:v>Year 14</c:v>
                </c:pt>
                <c:pt idx="10">
                  <c:v>Year 15</c:v>
                </c:pt>
                <c:pt idx="11">
                  <c:v>Year 16</c:v>
                </c:pt>
                <c:pt idx="12">
                  <c:v>Year 17</c:v>
                </c:pt>
                <c:pt idx="13">
                  <c:v>Year 18</c:v>
                </c:pt>
                <c:pt idx="14">
                  <c:v>Year 19</c:v>
                </c:pt>
                <c:pt idx="15">
                  <c:v>Year 20</c:v>
                </c:pt>
                <c:pt idx="16">
                  <c:v>Year 21</c:v>
                </c:pt>
                <c:pt idx="17">
                  <c:v>Year 22</c:v>
                </c:pt>
                <c:pt idx="18">
                  <c:v>Year 23</c:v>
                </c:pt>
                <c:pt idx="19">
                  <c:v>Year 24</c:v>
                </c:pt>
                <c:pt idx="20">
                  <c:v>Year 25</c:v>
                </c:pt>
                <c:pt idx="21">
                  <c:v>Year 26</c:v>
                </c:pt>
                <c:pt idx="22">
                  <c:v>Year 27</c:v>
                </c:pt>
                <c:pt idx="23">
                  <c:v>Year 28</c:v>
                </c:pt>
                <c:pt idx="24">
                  <c:v>Year 29</c:v>
                </c:pt>
                <c:pt idx="25">
                  <c:v>Year 30</c:v>
                </c:pt>
                <c:pt idx="26">
                  <c:v>Year 31</c:v>
                </c:pt>
                <c:pt idx="27">
                  <c:v>Year 32</c:v>
                </c:pt>
                <c:pt idx="28">
                  <c:v>Year 33</c:v>
                </c:pt>
                <c:pt idx="29">
                  <c:v>Year 34</c:v>
                </c:pt>
                <c:pt idx="30">
                  <c:v>Year 35</c:v>
                </c:pt>
                <c:pt idx="31">
                  <c:v>Year 36</c:v>
                </c:pt>
                <c:pt idx="32">
                  <c:v>Year 37</c:v>
                </c:pt>
                <c:pt idx="33">
                  <c:v>Year 38</c:v>
                </c:pt>
                <c:pt idx="34">
                  <c:v>Year 39</c:v>
                </c:pt>
                <c:pt idx="35">
                  <c:v>Year 40</c:v>
                </c:pt>
                <c:pt idx="36">
                  <c:v>Year 41</c:v>
                </c:pt>
                <c:pt idx="37">
                  <c:v>Year 42</c:v>
                </c:pt>
                <c:pt idx="38">
                  <c:v>Year 43</c:v>
                </c:pt>
                <c:pt idx="39">
                  <c:v>Year 44</c:v>
                </c:pt>
                <c:pt idx="40">
                  <c:v>Year 45</c:v>
                </c:pt>
                <c:pt idx="41">
                  <c:v>Year 46</c:v>
                </c:pt>
                <c:pt idx="42">
                  <c:v>Year 47</c:v>
                </c:pt>
                <c:pt idx="43">
                  <c:v>Year 48</c:v>
                </c:pt>
                <c:pt idx="44">
                  <c:v>Year 49</c:v>
                </c:pt>
                <c:pt idx="45">
                  <c:v>Year 50</c:v>
                </c:pt>
              </c:strCache>
            </c:strRef>
          </c:cat>
          <c:val>
            <c:numRef>
              <c:extLst>
                <c:ext xmlns:c15="http://schemas.microsoft.com/office/drawing/2012/chart" uri="{02D57815-91ED-43cb-92C2-25804820EDAC}">
                  <c15:fullRef>
                    <c15:sqref>'Long-term Model Summary'!$K$26:$BH$26</c15:sqref>
                  </c15:fullRef>
                </c:ext>
              </c:extLst>
              <c:f>'Long-term Model Summary'!$O$26:$BH$26</c:f>
              <c:numCache>
                <c:formatCode>_("$"* #,##0_);_("$"* \(#,##0\);_("$"* "-"??_);_(@_)</c:formatCode>
                <c:ptCount val="46"/>
                <c:pt idx="0">
                  <c:v>36778.217212284886</c:v>
                </c:pt>
                <c:pt idx="1">
                  <c:v>37407.760498284886</c:v>
                </c:pt>
                <c:pt idx="2">
                  <c:v>38163.21244148488</c:v>
                </c:pt>
                <c:pt idx="3">
                  <c:v>39069.754773324887</c:v>
                </c:pt>
                <c:pt idx="4">
                  <c:v>40157.605571532884</c:v>
                </c:pt>
                <c:pt idx="5">
                  <c:v>41463.026529382478</c:v>
                </c:pt>
                <c:pt idx="6">
                  <c:v>43969.434768453713</c:v>
                </c:pt>
                <c:pt idx="7">
                  <c:v>47277.893644027739</c:v>
                </c:pt>
                <c:pt idx="8">
                  <c:v>51645.059359785453</c:v>
                </c:pt>
                <c:pt idx="9">
                  <c:v>57409.718104585641</c:v>
                </c:pt>
                <c:pt idx="10">
                  <c:v>65019.067647721873</c:v>
                </c:pt>
                <c:pt idx="11">
                  <c:v>80481.154913473292</c:v>
                </c:pt>
                <c:pt idx="12">
                  <c:v>60110.420235453596</c:v>
                </c:pt>
                <c:pt idx="13">
                  <c:v>60930.791819048653</c:v>
                </c:pt>
                <c:pt idx="14">
                  <c:v>61775.77455015156</c:v>
                </c:pt>
                <c:pt idx="15">
                  <c:v>67825.220295984676</c:v>
                </c:pt>
                <c:pt idx="16">
                  <c:v>68877.03588139567</c:v>
                </c:pt>
                <c:pt idx="17">
                  <c:v>69960.405934369002</c:v>
                </c:pt>
                <c:pt idx="18">
                  <c:v>71076.277088931514</c:v>
                </c:pt>
                <c:pt idx="19">
                  <c:v>72225.624378130931</c:v>
                </c:pt>
                <c:pt idx="20">
                  <c:v>73409.45208600632</c:v>
                </c:pt>
                <c:pt idx="21">
                  <c:v>74628.794625117953</c:v>
                </c:pt>
                <c:pt idx="22">
                  <c:v>75884.717440402936</c:v>
                </c:pt>
                <c:pt idx="23">
                  <c:v>77178.317940146473</c:v>
                </c:pt>
                <c:pt idx="24">
                  <c:v>78510.72645488233</c:v>
                </c:pt>
                <c:pt idx="25">
                  <c:v>79883.107225060259</c:v>
                </c:pt>
                <c:pt idx="26">
                  <c:v>81296.659418343508</c:v>
                </c:pt>
                <c:pt idx="27">
                  <c:v>82752.618177425276</c:v>
                </c:pt>
                <c:pt idx="28">
                  <c:v>84252.255699279471</c:v>
                </c:pt>
                <c:pt idx="29">
                  <c:v>85796.882346789323</c:v>
                </c:pt>
                <c:pt idx="30">
                  <c:v>87387.847793724461</c:v>
                </c:pt>
                <c:pt idx="31">
                  <c:v>89026.542204067649</c:v>
                </c:pt>
                <c:pt idx="32">
                  <c:v>90714.397446721137</c:v>
                </c:pt>
                <c:pt idx="33">
                  <c:v>92452.888346654232</c:v>
                </c:pt>
                <c:pt idx="34">
                  <c:v>94243.533973585305</c:v>
                </c:pt>
                <c:pt idx="35">
                  <c:v>96087.89896932432</c:v>
                </c:pt>
                <c:pt idx="36">
                  <c:v>96087.89896932432</c:v>
                </c:pt>
                <c:pt idx="37">
                  <c:v>96087.89896932432</c:v>
                </c:pt>
                <c:pt idx="38">
                  <c:v>96087.89896932432</c:v>
                </c:pt>
                <c:pt idx="39">
                  <c:v>96087.89896932432</c:v>
                </c:pt>
                <c:pt idx="40">
                  <c:v>96087.89896932432</c:v>
                </c:pt>
                <c:pt idx="41">
                  <c:v>96087.89896932432</c:v>
                </c:pt>
                <c:pt idx="42">
                  <c:v>96087.89896932432</c:v>
                </c:pt>
                <c:pt idx="43">
                  <c:v>96087.89896932432</c:v>
                </c:pt>
                <c:pt idx="44">
                  <c:v>96087.89896932432</c:v>
                </c:pt>
                <c:pt idx="45">
                  <c:v>96087.89896932432</c:v>
                </c:pt>
              </c:numCache>
            </c:numRef>
          </c:val>
          <c:smooth val="0"/>
          <c:extLst>
            <c:ext xmlns:c16="http://schemas.microsoft.com/office/drawing/2014/chart" uri="{C3380CC4-5D6E-409C-BE32-E72D297353CC}">
              <c16:uniqueId val="{00000001-A065-46CB-9C47-34F01C4DB87C}"/>
            </c:ext>
          </c:extLst>
        </c:ser>
        <c:ser>
          <c:idx val="6"/>
          <c:order val="5"/>
          <c:tx>
            <c:strRef>
              <c:f>'Long-term Model Summary'!$J$27</c:f>
              <c:strCache>
                <c:ptCount val="1"/>
                <c:pt idx="0">
                  <c:v>Net income, by year*</c:v>
                </c:pt>
              </c:strCache>
            </c:strRef>
          </c:tx>
          <c:spPr>
            <a:ln w="28575" cap="rnd">
              <a:solidFill>
                <a:schemeClr val="accent1">
                  <a:lumMod val="60000"/>
                </a:schemeClr>
              </a:solidFill>
              <a:round/>
            </a:ln>
            <a:effectLst/>
          </c:spPr>
          <c:marker>
            <c:symbol val="none"/>
          </c:marker>
          <c:cat>
            <c:strRef>
              <c:extLst>
                <c:ext xmlns:c15="http://schemas.microsoft.com/office/drawing/2012/chart" uri="{02D57815-91ED-43cb-92C2-25804820EDAC}">
                  <c15:fullRef>
                    <c15:sqref>'Long-term Model Summary'!$K$18:$BH$18</c15:sqref>
                  </c15:fullRef>
                </c:ext>
              </c:extLst>
              <c:f>'Long-term Model Summary'!$O$18:$BH$18</c:f>
              <c:strCache>
                <c:ptCount val="46"/>
                <c:pt idx="0">
                  <c:v>Year 5</c:v>
                </c:pt>
                <c:pt idx="1">
                  <c:v>Year 6</c:v>
                </c:pt>
                <c:pt idx="2">
                  <c:v>Year 7</c:v>
                </c:pt>
                <c:pt idx="3">
                  <c:v>Year 8</c:v>
                </c:pt>
                <c:pt idx="4">
                  <c:v>Year 9</c:v>
                </c:pt>
                <c:pt idx="5">
                  <c:v>Year 10</c:v>
                </c:pt>
                <c:pt idx="6">
                  <c:v>Year 11</c:v>
                </c:pt>
                <c:pt idx="7">
                  <c:v>Year 12</c:v>
                </c:pt>
                <c:pt idx="8">
                  <c:v>Year 13</c:v>
                </c:pt>
                <c:pt idx="9">
                  <c:v>Year 14</c:v>
                </c:pt>
                <c:pt idx="10">
                  <c:v>Year 15</c:v>
                </c:pt>
                <c:pt idx="11">
                  <c:v>Year 16</c:v>
                </c:pt>
                <c:pt idx="12">
                  <c:v>Year 17</c:v>
                </c:pt>
                <c:pt idx="13">
                  <c:v>Year 18</c:v>
                </c:pt>
                <c:pt idx="14">
                  <c:v>Year 19</c:v>
                </c:pt>
                <c:pt idx="15">
                  <c:v>Year 20</c:v>
                </c:pt>
                <c:pt idx="16">
                  <c:v>Year 21</c:v>
                </c:pt>
                <c:pt idx="17">
                  <c:v>Year 22</c:v>
                </c:pt>
                <c:pt idx="18">
                  <c:v>Year 23</c:v>
                </c:pt>
                <c:pt idx="19">
                  <c:v>Year 24</c:v>
                </c:pt>
                <c:pt idx="20">
                  <c:v>Year 25</c:v>
                </c:pt>
                <c:pt idx="21">
                  <c:v>Year 26</c:v>
                </c:pt>
                <c:pt idx="22">
                  <c:v>Year 27</c:v>
                </c:pt>
                <c:pt idx="23">
                  <c:v>Year 28</c:v>
                </c:pt>
                <c:pt idx="24">
                  <c:v>Year 29</c:v>
                </c:pt>
                <c:pt idx="25">
                  <c:v>Year 30</c:v>
                </c:pt>
                <c:pt idx="26">
                  <c:v>Year 31</c:v>
                </c:pt>
                <c:pt idx="27">
                  <c:v>Year 32</c:v>
                </c:pt>
                <c:pt idx="28">
                  <c:v>Year 33</c:v>
                </c:pt>
                <c:pt idx="29">
                  <c:v>Year 34</c:v>
                </c:pt>
                <c:pt idx="30">
                  <c:v>Year 35</c:v>
                </c:pt>
                <c:pt idx="31">
                  <c:v>Year 36</c:v>
                </c:pt>
                <c:pt idx="32">
                  <c:v>Year 37</c:v>
                </c:pt>
                <c:pt idx="33">
                  <c:v>Year 38</c:v>
                </c:pt>
                <c:pt idx="34">
                  <c:v>Year 39</c:v>
                </c:pt>
                <c:pt idx="35">
                  <c:v>Year 40</c:v>
                </c:pt>
                <c:pt idx="36">
                  <c:v>Year 41</c:v>
                </c:pt>
                <c:pt idx="37">
                  <c:v>Year 42</c:v>
                </c:pt>
                <c:pt idx="38">
                  <c:v>Year 43</c:v>
                </c:pt>
                <c:pt idx="39">
                  <c:v>Year 44</c:v>
                </c:pt>
                <c:pt idx="40">
                  <c:v>Year 45</c:v>
                </c:pt>
                <c:pt idx="41">
                  <c:v>Year 46</c:v>
                </c:pt>
                <c:pt idx="42">
                  <c:v>Year 47</c:v>
                </c:pt>
                <c:pt idx="43">
                  <c:v>Year 48</c:v>
                </c:pt>
                <c:pt idx="44">
                  <c:v>Year 49</c:v>
                </c:pt>
                <c:pt idx="45">
                  <c:v>Year 50</c:v>
                </c:pt>
              </c:strCache>
            </c:strRef>
          </c:cat>
          <c:val>
            <c:numRef>
              <c:extLst>
                <c:ext xmlns:c15="http://schemas.microsoft.com/office/drawing/2012/chart" uri="{02D57815-91ED-43cb-92C2-25804820EDAC}">
                  <c15:fullRef>
                    <c15:sqref>'Long-term Model Summary'!$K$27:$BH$27</c15:sqref>
                  </c15:fullRef>
                </c:ext>
              </c:extLst>
              <c:f>'Long-term Model Summary'!$O$27:$BH$27</c:f>
              <c:numCache>
                <c:formatCode>_("$"* #,##0_);_("$"* \(#,##0\);_("$"* "-"??_);_(@_)</c:formatCode>
                <c:ptCount val="46"/>
                <c:pt idx="0">
                  <c:v>-22476.587212284885</c:v>
                </c:pt>
                <c:pt idx="1">
                  <c:v>-20245.804498284888</c:v>
                </c:pt>
                <c:pt idx="2">
                  <c:v>-17568.865241484884</c:v>
                </c:pt>
                <c:pt idx="3">
                  <c:v>-14356.538133324888</c:v>
                </c:pt>
                <c:pt idx="4">
                  <c:v>-10501.745603532887</c:v>
                </c:pt>
                <c:pt idx="5">
                  <c:v>-5875.9945677824871</c:v>
                </c:pt>
                <c:pt idx="6">
                  <c:v>3005.4474208582833</c:v>
                </c:pt>
                <c:pt idx="7">
                  <c:v>14728.950845864099</c:v>
                </c:pt>
                <c:pt idx="8">
                  <c:v>30203.975366871753</c:v>
                </c:pt>
                <c:pt idx="9">
                  <c:v>50631.007734601895</c:v>
                </c:pt>
                <c:pt idx="10">
                  <c:v>77594.690460005659</c:v>
                </c:pt>
                <c:pt idx="11">
                  <c:v>13643.92543762688</c:v>
                </c:pt>
                <c:pt idx="12">
                  <c:v>64134.685827998634</c:v>
                </c:pt>
                <c:pt idx="13">
                  <c:v>67041.667426307147</c:v>
                </c:pt>
                <c:pt idx="14">
                  <c:v>70035.858472564913</c:v>
                </c:pt>
                <c:pt idx="15">
                  <c:v>91472.031805188337</c:v>
                </c:pt>
                <c:pt idx="16">
                  <c:v>95199.133782812525</c:v>
                </c:pt>
                <c:pt idx="17">
                  <c:v>99038.048819765492</c:v>
                </c:pt>
                <c:pt idx="18">
                  <c:v>102992.131307827</c:v>
                </c:pt>
                <c:pt idx="19">
                  <c:v>107064.83627053032</c:v>
                </c:pt>
                <c:pt idx="20">
                  <c:v>111259.72238211482</c:v>
                </c:pt>
                <c:pt idx="21">
                  <c:v>115580.4550770468</c:v>
                </c:pt>
                <c:pt idx="22">
                  <c:v>120030.80975282674</c:v>
                </c:pt>
                <c:pt idx="23">
                  <c:v>124614.67506888013</c:v>
                </c:pt>
                <c:pt idx="24">
                  <c:v>129336.05634441506</c:v>
                </c:pt>
                <c:pt idx="25">
                  <c:v>134199.07905821607</c:v>
                </c:pt>
                <c:pt idx="26">
                  <c:v>139207.9924534311</c:v>
                </c:pt>
                <c:pt idx="27">
                  <c:v>144367.17325050256</c:v>
                </c:pt>
                <c:pt idx="28">
                  <c:v>149681.12947148614</c:v>
                </c:pt>
                <c:pt idx="29">
                  <c:v>155154.50437909929</c:v>
                </c:pt>
                <c:pt idx="30">
                  <c:v>160792.08053394087</c:v>
                </c:pt>
                <c:pt idx="31">
                  <c:v>166598.78397342766</c:v>
                </c:pt>
                <c:pt idx="32">
                  <c:v>172579.68851609901</c:v>
                </c:pt>
                <c:pt idx="33">
                  <c:v>178740.02019505051</c:v>
                </c:pt>
                <c:pt idx="34">
                  <c:v>185085.16182437062</c:v>
                </c:pt>
                <c:pt idx="35">
                  <c:v>191620.65770257026</c:v>
                </c:pt>
                <c:pt idx="36">
                  <c:v>191620.65770257026</c:v>
                </c:pt>
                <c:pt idx="37">
                  <c:v>191620.65770257026</c:v>
                </c:pt>
                <c:pt idx="38">
                  <c:v>191620.65770257026</c:v>
                </c:pt>
                <c:pt idx="39">
                  <c:v>191620.65770257026</c:v>
                </c:pt>
                <c:pt idx="40">
                  <c:v>191620.65770257026</c:v>
                </c:pt>
                <c:pt idx="41">
                  <c:v>191620.65770257026</c:v>
                </c:pt>
                <c:pt idx="42">
                  <c:v>191620.65770257026</c:v>
                </c:pt>
                <c:pt idx="43">
                  <c:v>191620.65770257026</c:v>
                </c:pt>
                <c:pt idx="44">
                  <c:v>191620.65770257026</c:v>
                </c:pt>
                <c:pt idx="45">
                  <c:v>191620.65770257026</c:v>
                </c:pt>
              </c:numCache>
            </c:numRef>
          </c:val>
          <c:smooth val="0"/>
          <c:extLst>
            <c:ext xmlns:c16="http://schemas.microsoft.com/office/drawing/2014/chart" uri="{C3380CC4-5D6E-409C-BE32-E72D297353CC}">
              <c16:uniqueId val="{00000002-A065-46CB-9C47-34F01C4DB87C}"/>
            </c:ext>
          </c:extLst>
        </c:ser>
        <c:dLbls>
          <c:showLegendKey val="0"/>
          <c:showVal val="0"/>
          <c:showCatName val="0"/>
          <c:showSerName val="0"/>
          <c:showPercent val="0"/>
          <c:showBubbleSize val="0"/>
        </c:dLbls>
        <c:marker val="1"/>
        <c:smooth val="0"/>
        <c:axId val="1967722879"/>
        <c:axId val="1967719999"/>
        <c:extLst>
          <c:ext xmlns:c15="http://schemas.microsoft.com/office/drawing/2012/chart" uri="{02D57815-91ED-43cb-92C2-25804820EDAC}">
            <c15:filteredLineSeries>
              <c15:ser>
                <c:idx val="2"/>
                <c:order val="1"/>
                <c:tx>
                  <c:strRef>
                    <c:extLst>
                      <c:ext uri="{02D57815-91ED-43cb-92C2-25804820EDAC}">
                        <c15:formulaRef>
                          <c15:sqref>'Long-term Model Summary'!$J$21</c15:sqref>
                        </c15:formulaRef>
                      </c:ext>
                    </c:extLst>
                    <c:strCache>
                      <c:ptCount val="1"/>
                      <c:pt idx="0">
                        <c:v>Revenue by year*</c:v>
                      </c:pt>
                    </c:strCache>
                  </c:strRef>
                </c:tx>
                <c:spPr>
                  <a:ln w="28575" cap="rnd">
                    <a:solidFill>
                      <a:schemeClr val="accent3"/>
                    </a:solidFill>
                    <a:round/>
                  </a:ln>
                  <a:effectLst/>
                </c:spPr>
                <c:marker>
                  <c:symbol val="none"/>
                </c:marker>
                <c:cat>
                  <c:strRef>
                    <c:extLst>
                      <c:ext uri="{02D57815-91ED-43cb-92C2-25804820EDAC}">
                        <c15:fullRef>
                          <c15:sqref>'Long-term Model Summary'!$K$18:$BH$18</c15:sqref>
                        </c15:fullRef>
                        <c15:formulaRef>
                          <c15:sqref>'Long-term Model Summary'!$O$18:$BH$18</c15:sqref>
                        </c15:formulaRef>
                      </c:ext>
                    </c:extLst>
                    <c:strCache>
                      <c:ptCount val="46"/>
                      <c:pt idx="0">
                        <c:v>Year 5</c:v>
                      </c:pt>
                      <c:pt idx="1">
                        <c:v>Year 6</c:v>
                      </c:pt>
                      <c:pt idx="2">
                        <c:v>Year 7</c:v>
                      </c:pt>
                      <c:pt idx="3">
                        <c:v>Year 8</c:v>
                      </c:pt>
                      <c:pt idx="4">
                        <c:v>Year 9</c:v>
                      </c:pt>
                      <c:pt idx="5">
                        <c:v>Year 10</c:v>
                      </c:pt>
                      <c:pt idx="6">
                        <c:v>Year 11</c:v>
                      </c:pt>
                      <c:pt idx="7">
                        <c:v>Year 12</c:v>
                      </c:pt>
                      <c:pt idx="8">
                        <c:v>Year 13</c:v>
                      </c:pt>
                      <c:pt idx="9">
                        <c:v>Year 14</c:v>
                      </c:pt>
                      <c:pt idx="10">
                        <c:v>Year 15</c:v>
                      </c:pt>
                      <c:pt idx="11">
                        <c:v>Year 16</c:v>
                      </c:pt>
                      <c:pt idx="12">
                        <c:v>Year 17</c:v>
                      </c:pt>
                      <c:pt idx="13">
                        <c:v>Year 18</c:v>
                      </c:pt>
                      <c:pt idx="14">
                        <c:v>Year 19</c:v>
                      </c:pt>
                      <c:pt idx="15">
                        <c:v>Year 20</c:v>
                      </c:pt>
                      <c:pt idx="16">
                        <c:v>Year 21</c:v>
                      </c:pt>
                      <c:pt idx="17">
                        <c:v>Year 22</c:v>
                      </c:pt>
                      <c:pt idx="18">
                        <c:v>Year 23</c:v>
                      </c:pt>
                      <c:pt idx="19">
                        <c:v>Year 24</c:v>
                      </c:pt>
                      <c:pt idx="20">
                        <c:v>Year 25</c:v>
                      </c:pt>
                      <c:pt idx="21">
                        <c:v>Year 26</c:v>
                      </c:pt>
                      <c:pt idx="22">
                        <c:v>Year 27</c:v>
                      </c:pt>
                      <c:pt idx="23">
                        <c:v>Year 28</c:v>
                      </c:pt>
                      <c:pt idx="24">
                        <c:v>Year 29</c:v>
                      </c:pt>
                      <c:pt idx="25">
                        <c:v>Year 30</c:v>
                      </c:pt>
                      <c:pt idx="26">
                        <c:v>Year 31</c:v>
                      </c:pt>
                      <c:pt idx="27">
                        <c:v>Year 32</c:v>
                      </c:pt>
                      <c:pt idx="28">
                        <c:v>Year 33</c:v>
                      </c:pt>
                      <c:pt idx="29">
                        <c:v>Year 34</c:v>
                      </c:pt>
                      <c:pt idx="30">
                        <c:v>Year 35</c:v>
                      </c:pt>
                      <c:pt idx="31">
                        <c:v>Year 36</c:v>
                      </c:pt>
                      <c:pt idx="32">
                        <c:v>Year 37</c:v>
                      </c:pt>
                      <c:pt idx="33">
                        <c:v>Year 38</c:v>
                      </c:pt>
                      <c:pt idx="34">
                        <c:v>Year 39</c:v>
                      </c:pt>
                      <c:pt idx="35">
                        <c:v>Year 40</c:v>
                      </c:pt>
                      <c:pt idx="36">
                        <c:v>Year 41</c:v>
                      </c:pt>
                      <c:pt idx="37">
                        <c:v>Year 42</c:v>
                      </c:pt>
                      <c:pt idx="38">
                        <c:v>Year 43</c:v>
                      </c:pt>
                      <c:pt idx="39">
                        <c:v>Year 44</c:v>
                      </c:pt>
                      <c:pt idx="40">
                        <c:v>Year 45</c:v>
                      </c:pt>
                      <c:pt idx="41">
                        <c:v>Year 46</c:v>
                      </c:pt>
                      <c:pt idx="42">
                        <c:v>Year 47</c:v>
                      </c:pt>
                      <c:pt idx="43">
                        <c:v>Year 48</c:v>
                      </c:pt>
                      <c:pt idx="44">
                        <c:v>Year 49</c:v>
                      </c:pt>
                      <c:pt idx="45">
                        <c:v>Year 50</c:v>
                      </c:pt>
                    </c:strCache>
                  </c:strRef>
                </c:cat>
                <c:val>
                  <c:numRef>
                    <c:extLst>
                      <c:ext uri="{02D57815-91ED-43cb-92C2-25804820EDAC}">
                        <c15:fullRef>
                          <c15:sqref>'Long-term Model Summary'!$K$21:$BH$21</c15:sqref>
                        </c15:fullRef>
                        <c15:formulaRef>
                          <c15:sqref>'Long-term Model Summary'!$O$21:$BH$21</c15:sqref>
                        </c15:formulaRef>
                      </c:ext>
                    </c:extLst>
                    <c:numCache>
                      <c:formatCode>_("$"* #,##0_);_("$"* \(#,##0\);_("$"* "-"??_);_(@_)</c:formatCode>
                      <c:ptCount val="46"/>
                      <c:pt idx="0">
                        <c:v>14301.630000000001</c:v>
                      </c:pt>
                      <c:pt idx="1">
                        <c:v>17161.955999999998</c:v>
                      </c:pt>
                      <c:pt idx="2">
                        <c:v>20594.347199999997</c:v>
                      </c:pt>
                      <c:pt idx="3">
                        <c:v>24713.216639999999</c:v>
                      </c:pt>
                      <c:pt idx="4">
                        <c:v>29655.859967999997</c:v>
                      </c:pt>
                      <c:pt idx="5">
                        <c:v>35587.031961599991</c:v>
                      </c:pt>
                      <c:pt idx="6">
                        <c:v>46974.882189311997</c:v>
                      </c:pt>
                      <c:pt idx="7">
                        <c:v>62006.844489891839</c:v>
                      </c:pt>
                      <c:pt idx="8">
                        <c:v>81849.034726657206</c:v>
                      </c:pt>
                      <c:pt idx="9">
                        <c:v>108040.72583918754</c:v>
                      </c:pt>
                      <c:pt idx="10">
                        <c:v>142613.75810772754</c:v>
                      </c:pt>
                      <c:pt idx="11">
                        <c:v>94125.080351100172</c:v>
                      </c:pt>
                      <c:pt idx="12">
                        <c:v>124245.10606345223</c:v>
                      </c:pt>
                      <c:pt idx="13">
                        <c:v>127972.4592453558</c:v>
                      </c:pt>
                      <c:pt idx="14">
                        <c:v>131811.63302271647</c:v>
                      </c:pt>
                      <c:pt idx="15">
                        <c:v>159297.25210117301</c:v>
                      </c:pt>
                      <c:pt idx="16">
                        <c:v>164076.1696642082</c:v>
                      </c:pt>
                      <c:pt idx="17">
                        <c:v>168998.45475413449</c:v>
                      </c:pt>
                      <c:pt idx="18">
                        <c:v>174068.40839675852</c:v>
                      </c:pt>
                      <c:pt idx="19">
                        <c:v>179290.46064866125</c:v>
                      </c:pt>
                      <c:pt idx="20">
                        <c:v>184669.17446812114</c:v>
                      </c:pt>
                      <c:pt idx="21">
                        <c:v>190209.24970216476</c:v>
                      </c:pt>
                      <c:pt idx="22">
                        <c:v>195915.52719322967</c:v>
                      </c:pt>
                      <c:pt idx="23">
                        <c:v>201792.9930090266</c:v>
                      </c:pt>
                      <c:pt idx="24">
                        <c:v>207846.78279929739</c:v>
                      </c:pt>
                      <c:pt idx="25">
                        <c:v>214082.18628327633</c:v>
                      </c:pt>
                      <c:pt idx="26">
                        <c:v>220504.65187177461</c:v>
                      </c:pt>
                      <c:pt idx="27">
                        <c:v>227119.79142792785</c:v>
                      </c:pt>
                      <c:pt idx="28">
                        <c:v>233933.38517076563</c:v>
                      </c:pt>
                      <c:pt idx="29">
                        <c:v>240951.38672588862</c:v>
                      </c:pt>
                      <c:pt idx="30">
                        <c:v>248179.92832766532</c:v>
                      </c:pt>
                      <c:pt idx="31">
                        <c:v>255625.3261774953</c:v>
                      </c:pt>
                      <c:pt idx="32">
                        <c:v>263294.08596282016</c:v>
                      </c:pt>
                      <c:pt idx="33">
                        <c:v>271192.90854170476</c:v>
                      </c:pt>
                      <c:pt idx="34">
                        <c:v>279328.69579795591</c:v>
                      </c:pt>
                      <c:pt idx="35">
                        <c:v>287708.55667189456</c:v>
                      </c:pt>
                      <c:pt idx="36">
                        <c:v>287708.55667189456</c:v>
                      </c:pt>
                      <c:pt idx="37">
                        <c:v>287708.55667189456</c:v>
                      </c:pt>
                      <c:pt idx="38">
                        <c:v>287708.55667189456</c:v>
                      </c:pt>
                      <c:pt idx="39">
                        <c:v>287708.55667189456</c:v>
                      </c:pt>
                      <c:pt idx="40">
                        <c:v>287708.55667189456</c:v>
                      </c:pt>
                      <c:pt idx="41">
                        <c:v>287708.55667189456</c:v>
                      </c:pt>
                      <c:pt idx="42">
                        <c:v>287708.55667189456</c:v>
                      </c:pt>
                      <c:pt idx="43">
                        <c:v>287708.55667189456</c:v>
                      </c:pt>
                      <c:pt idx="44">
                        <c:v>287708.55667189456</c:v>
                      </c:pt>
                      <c:pt idx="45">
                        <c:v>287708.55667189456</c:v>
                      </c:pt>
                    </c:numCache>
                  </c:numRef>
                </c:val>
                <c:smooth val="0"/>
                <c:extLst>
                  <c:ext xmlns:c16="http://schemas.microsoft.com/office/drawing/2014/chart" uri="{C3380CC4-5D6E-409C-BE32-E72D297353CC}">
                    <c16:uniqueId val="{00000004-A065-46CB-9C47-34F01C4DB87C}"/>
                  </c:ext>
                </c:extLst>
              </c15:ser>
            </c15:filteredLineSeries>
          </c:ext>
        </c:extLst>
      </c:lineChart>
      <c:lineChart>
        <c:grouping val="standard"/>
        <c:varyColors val="0"/>
        <c:ser>
          <c:idx val="1"/>
          <c:order val="0"/>
          <c:tx>
            <c:strRef>
              <c:f>'Long-term Model Summary'!$J$20</c:f>
              <c:strCache>
                <c:ptCount val="1"/>
                <c:pt idx="0">
                  <c:v>Yield by year (pounds)</c:v>
                </c:pt>
              </c:strCache>
            </c:strRef>
          </c:tx>
          <c:spPr>
            <a:ln w="34925" cap="rnd">
              <a:solidFill>
                <a:schemeClr val="accent3"/>
              </a:solidFill>
              <a:prstDash val="sysDash"/>
              <a:round/>
            </a:ln>
            <a:effectLst/>
          </c:spPr>
          <c:marker>
            <c:symbol val="none"/>
          </c:marker>
          <c:cat>
            <c:strRef>
              <c:extLst>
                <c:ext xmlns:c15="http://schemas.microsoft.com/office/drawing/2012/chart" uri="{02D57815-91ED-43cb-92C2-25804820EDAC}">
                  <c15:fullRef>
                    <c15:sqref>'Long-term Model Summary'!$K$18:$BH$18</c15:sqref>
                  </c15:fullRef>
                </c:ext>
              </c:extLst>
              <c:f>'Long-term Model Summary'!$O$18:$BH$18</c:f>
              <c:strCache>
                <c:ptCount val="46"/>
                <c:pt idx="0">
                  <c:v>Year 5</c:v>
                </c:pt>
                <c:pt idx="1">
                  <c:v>Year 6</c:v>
                </c:pt>
                <c:pt idx="2">
                  <c:v>Year 7</c:v>
                </c:pt>
                <c:pt idx="3">
                  <c:v>Year 8</c:v>
                </c:pt>
                <c:pt idx="4">
                  <c:v>Year 9</c:v>
                </c:pt>
                <c:pt idx="5">
                  <c:v>Year 10</c:v>
                </c:pt>
                <c:pt idx="6">
                  <c:v>Year 11</c:v>
                </c:pt>
                <c:pt idx="7">
                  <c:v>Year 12</c:v>
                </c:pt>
                <c:pt idx="8">
                  <c:v>Year 13</c:v>
                </c:pt>
                <c:pt idx="9">
                  <c:v>Year 14</c:v>
                </c:pt>
                <c:pt idx="10">
                  <c:v>Year 15</c:v>
                </c:pt>
                <c:pt idx="11">
                  <c:v>Year 16</c:v>
                </c:pt>
                <c:pt idx="12">
                  <c:v>Year 17</c:v>
                </c:pt>
                <c:pt idx="13">
                  <c:v>Year 18</c:v>
                </c:pt>
                <c:pt idx="14">
                  <c:v>Year 19</c:v>
                </c:pt>
                <c:pt idx="15">
                  <c:v>Year 20</c:v>
                </c:pt>
                <c:pt idx="16">
                  <c:v>Year 21</c:v>
                </c:pt>
                <c:pt idx="17">
                  <c:v>Year 22</c:v>
                </c:pt>
                <c:pt idx="18">
                  <c:v>Year 23</c:v>
                </c:pt>
                <c:pt idx="19">
                  <c:v>Year 24</c:v>
                </c:pt>
                <c:pt idx="20">
                  <c:v>Year 25</c:v>
                </c:pt>
                <c:pt idx="21">
                  <c:v>Year 26</c:v>
                </c:pt>
                <c:pt idx="22">
                  <c:v>Year 27</c:v>
                </c:pt>
                <c:pt idx="23">
                  <c:v>Year 28</c:v>
                </c:pt>
                <c:pt idx="24">
                  <c:v>Year 29</c:v>
                </c:pt>
                <c:pt idx="25">
                  <c:v>Year 30</c:v>
                </c:pt>
                <c:pt idx="26">
                  <c:v>Year 31</c:v>
                </c:pt>
                <c:pt idx="27">
                  <c:v>Year 32</c:v>
                </c:pt>
                <c:pt idx="28">
                  <c:v>Year 33</c:v>
                </c:pt>
                <c:pt idx="29">
                  <c:v>Year 34</c:v>
                </c:pt>
                <c:pt idx="30">
                  <c:v>Year 35</c:v>
                </c:pt>
                <c:pt idx="31">
                  <c:v>Year 36</c:v>
                </c:pt>
                <c:pt idx="32">
                  <c:v>Year 37</c:v>
                </c:pt>
                <c:pt idx="33">
                  <c:v>Year 38</c:v>
                </c:pt>
                <c:pt idx="34">
                  <c:v>Year 39</c:v>
                </c:pt>
                <c:pt idx="35">
                  <c:v>Year 40</c:v>
                </c:pt>
                <c:pt idx="36">
                  <c:v>Year 41</c:v>
                </c:pt>
                <c:pt idx="37">
                  <c:v>Year 42</c:v>
                </c:pt>
                <c:pt idx="38">
                  <c:v>Year 43</c:v>
                </c:pt>
                <c:pt idx="39">
                  <c:v>Year 44</c:v>
                </c:pt>
                <c:pt idx="40">
                  <c:v>Year 45</c:v>
                </c:pt>
                <c:pt idx="41">
                  <c:v>Year 46</c:v>
                </c:pt>
                <c:pt idx="42">
                  <c:v>Year 47</c:v>
                </c:pt>
                <c:pt idx="43">
                  <c:v>Year 48</c:v>
                </c:pt>
                <c:pt idx="44">
                  <c:v>Year 49</c:v>
                </c:pt>
                <c:pt idx="45">
                  <c:v>Year 50</c:v>
                </c:pt>
              </c:strCache>
            </c:strRef>
          </c:cat>
          <c:val>
            <c:numRef>
              <c:extLst>
                <c:ext xmlns:c15="http://schemas.microsoft.com/office/drawing/2012/chart" uri="{02D57815-91ED-43cb-92C2-25804820EDAC}">
                  <c15:fullRef>
                    <c15:sqref>'Long-term Model Summary'!$K$20:$BH$20</c15:sqref>
                  </c15:fullRef>
                </c:ext>
              </c:extLst>
              <c:f>'Long-term Model Summary'!$O$20:$BH$20</c:f>
              <c:numCache>
                <c:formatCode>_(* #,##0_);_(* \(#,##0\);_(* "-"??_);_(@_)</c:formatCode>
                <c:ptCount val="46"/>
                <c:pt idx="0">
                  <c:v>2538</c:v>
                </c:pt>
                <c:pt idx="1">
                  <c:v>3045.6</c:v>
                </c:pt>
                <c:pt idx="2">
                  <c:v>3654.72</c:v>
                </c:pt>
                <c:pt idx="3">
                  <c:v>4385.6639999999998</c:v>
                </c:pt>
                <c:pt idx="4">
                  <c:v>5262.7967999999992</c:v>
                </c:pt>
                <c:pt idx="5">
                  <c:v>6315.3561599999985</c:v>
                </c:pt>
                <c:pt idx="6">
                  <c:v>8336.270131199999</c:v>
                </c:pt>
                <c:pt idx="7">
                  <c:v>11003.876573183999</c:v>
                </c:pt>
                <c:pt idx="8">
                  <c:v>14525.117076602879</c:v>
                </c:pt>
                <c:pt idx="9">
                  <c:v>19173.1545411158</c:v>
                </c:pt>
                <c:pt idx="10">
                  <c:v>25308.563994272856</c:v>
                </c:pt>
                <c:pt idx="11">
                  <c:v>16703.652236220085</c:v>
                </c:pt>
                <c:pt idx="12">
                  <c:v>22048.820951810514</c:v>
                </c:pt>
                <c:pt idx="13">
                  <c:v>22710.285580364827</c:v>
                </c:pt>
                <c:pt idx="14">
                  <c:v>23391.594147775773</c:v>
                </c:pt>
                <c:pt idx="15">
                  <c:v>28269.255031264067</c:v>
                </c:pt>
                <c:pt idx="16">
                  <c:v>29117.332682201992</c:v>
                </c:pt>
                <c:pt idx="17">
                  <c:v>29990.852662668054</c:v>
                </c:pt>
                <c:pt idx="18">
                  <c:v>30890.578242548094</c:v>
                </c:pt>
                <c:pt idx="19">
                  <c:v>31817.295589824538</c:v>
                </c:pt>
                <c:pt idx="20">
                  <c:v>32771.814457519278</c:v>
                </c:pt>
                <c:pt idx="21">
                  <c:v>33754.968891244855</c:v>
                </c:pt>
                <c:pt idx="22">
                  <c:v>34767.617957982198</c:v>
                </c:pt>
                <c:pt idx="23">
                  <c:v>35810.646496721667</c:v>
                </c:pt>
                <c:pt idx="24">
                  <c:v>36884.965891623317</c:v>
                </c:pt>
                <c:pt idx="25">
                  <c:v>37991.514868372018</c:v>
                </c:pt>
                <c:pt idx="26">
                  <c:v>39131.260314423176</c:v>
                </c:pt>
                <c:pt idx="27">
                  <c:v>40305.198123855873</c:v>
                </c:pt>
                <c:pt idx="28">
                  <c:v>41514.354067571541</c:v>
                </c:pt>
                <c:pt idx="29">
                  <c:v>42759.784689598695</c:v>
                </c:pt>
                <c:pt idx="30">
                  <c:v>44042.578230286657</c:v>
                </c:pt>
                <c:pt idx="31">
                  <c:v>45363.85557719526</c:v>
                </c:pt>
                <c:pt idx="32">
                  <c:v>46724.771244511117</c:v>
                </c:pt>
                <c:pt idx="33">
                  <c:v>48126.514381846457</c:v>
                </c:pt>
                <c:pt idx="34">
                  <c:v>49570.30981330185</c:v>
                </c:pt>
                <c:pt idx="35">
                  <c:v>51057.419107700902</c:v>
                </c:pt>
                <c:pt idx="36">
                  <c:v>51057.419107700902</c:v>
                </c:pt>
                <c:pt idx="37">
                  <c:v>51057.419107700902</c:v>
                </c:pt>
                <c:pt idx="38">
                  <c:v>51057.419107700902</c:v>
                </c:pt>
                <c:pt idx="39">
                  <c:v>51057.419107700902</c:v>
                </c:pt>
                <c:pt idx="40">
                  <c:v>51057.419107700902</c:v>
                </c:pt>
                <c:pt idx="41">
                  <c:v>51057.419107700902</c:v>
                </c:pt>
                <c:pt idx="42">
                  <c:v>51057.419107700902</c:v>
                </c:pt>
                <c:pt idx="43">
                  <c:v>51057.419107700902</c:v>
                </c:pt>
                <c:pt idx="44">
                  <c:v>51057.419107700902</c:v>
                </c:pt>
                <c:pt idx="45">
                  <c:v>51057.419107700902</c:v>
                </c:pt>
              </c:numCache>
            </c:numRef>
          </c:val>
          <c:smooth val="0"/>
          <c:extLst>
            <c:ext xmlns:c16="http://schemas.microsoft.com/office/drawing/2014/chart" uri="{C3380CC4-5D6E-409C-BE32-E72D297353CC}">
              <c16:uniqueId val="{00000000-A065-46CB-9C47-34F01C4DB87C}"/>
            </c:ext>
          </c:extLst>
        </c:ser>
        <c:dLbls>
          <c:showLegendKey val="0"/>
          <c:showVal val="0"/>
          <c:showCatName val="0"/>
          <c:showSerName val="0"/>
          <c:showPercent val="0"/>
          <c:showBubbleSize val="0"/>
        </c:dLbls>
        <c:marker val="1"/>
        <c:smooth val="0"/>
        <c:axId val="1076313104"/>
        <c:axId val="1076298224"/>
      </c:lineChart>
      <c:catAx>
        <c:axId val="1967722879"/>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67719999"/>
        <c:crosses val="autoZero"/>
        <c:auto val="1"/>
        <c:lblAlgn val="ctr"/>
        <c:lblOffset val="0"/>
        <c:noMultiLvlLbl val="0"/>
      </c:catAx>
      <c:valAx>
        <c:axId val="196771999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Annual</a:t>
                </a:r>
                <a:r>
                  <a:rPr lang="en-US" baseline="0"/>
                  <a:t> Net Income (2025 $)</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67722879"/>
        <c:crossesAt val="0"/>
        <c:crossBetween val="between"/>
      </c:valAx>
      <c:valAx>
        <c:axId val="1076298224"/>
        <c:scaling>
          <c:orientation val="minMax"/>
        </c:scaling>
        <c:delete val="0"/>
        <c:axPos val="r"/>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baseline="0"/>
                  <a:t>Total Chinese chestnut yield, pounds</a:t>
                </a:r>
                <a:endParaRPr lang="en-US"/>
              </a:p>
            </c:rich>
          </c:tx>
          <c:layout>
            <c:manualLayout>
              <c:xMode val="edge"/>
              <c:yMode val="edge"/>
              <c:x val="0.96545696443117024"/>
              <c:y val="0.2055737020530704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076313104"/>
        <c:crosses val="max"/>
        <c:crossBetween val="between"/>
      </c:valAx>
      <c:catAx>
        <c:axId val="1076313104"/>
        <c:scaling>
          <c:orientation val="minMax"/>
        </c:scaling>
        <c:delete val="1"/>
        <c:axPos val="b"/>
        <c:numFmt formatCode="General" sourceLinked="1"/>
        <c:majorTickMark val="out"/>
        <c:minorTickMark val="none"/>
        <c:tickLblPos val="nextTo"/>
        <c:crossAx val="107629822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t>Annual</a:t>
            </a:r>
            <a:r>
              <a:rPr lang="en-US" b="1" baseline="0"/>
              <a:t> yield</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8541696756045226E-2"/>
          <c:y val="0.11379740852975931"/>
          <c:w val="0.84239508763481752"/>
          <c:h val="0.67671911060232759"/>
        </c:manualLayout>
      </c:layout>
      <c:areaChart>
        <c:grouping val="stacked"/>
        <c:varyColors val="0"/>
        <c:ser>
          <c:idx val="3"/>
          <c:order val="2"/>
          <c:tx>
            <c:strRef>
              <c:f>'Long-term Model Summary'!$J$11</c:f>
              <c:strCache>
                <c:ptCount val="1"/>
                <c:pt idx="0">
                  <c:v>Low yield for operation</c:v>
                </c:pt>
              </c:strCache>
            </c:strRef>
          </c:tx>
          <c:spPr>
            <a:solidFill>
              <a:schemeClr val="accent4"/>
            </a:solidFill>
            <a:ln>
              <a:noFill/>
            </a:ln>
            <a:effectLst/>
          </c:spPr>
          <c:cat>
            <c:strRef>
              <c:f>'Long-term Model Summary'!$K$8:$BH$8</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'Long-term Model Summary'!$K$11:$BH$11</c:f>
              <c:numCache>
                <c:formatCode>0</c:formatCode>
                <c:ptCount val="50"/>
                <c:pt idx="0">
                  <c:v>0</c:v>
                </c:pt>
                <c:pt idx="1">
                  <c:v>0</c:v>
                </c:pt>
                <c:pt idx="2">
                  <c:v>0</c:v>
                </c:pt>
                <c:pt idx="3">
                  <c:v>203.04000000000002</c:v>
                </c:pt>
                <c:pt idx="4">
                  <c:v>2030.4</c:v>
                </c:pt>
                <c:pt idx="5">
                  <c:v>2436.4799999999996</c:v>
                </c:pt>
                <c:pt idx="6">
                  <c:v>2923.7760000000003</c:v>
                </c:pt>
                <c:pt idx="7">
                  <c:v>3508.5311999999999</c:v>
                </c:pt>
                <c:pt idx="8">
                  <c:v>4210.2374399999999</c:v>
                </c:pt>
                <c:pt idx="9">
                  <c:v>5052.2849279999991</c:v>
                </c:pt>
                <c:pt idx="10">
                  <c:v>6669.0161049599992</c:v>
                </c:pt>
                <c:pt idx="11">
                  <c:v>8803.1012585471999</c:v>
                </c:pt>
                <c:pt idx="12">
                  <c:v>11620.093661282302</c:v>
                </c:pt>
                <c:pt idx="13">
                  <c:v>15338.52363289264</c:v>
                </c:pt>
                <c:pt idx="14">
                  <c:v>20246.851195418283</c:v>
                </c:pt>
                <c:pt idx="15">
                  <c:v>13362.921788976069</c:v>
                </c:pt>
                <c:pt idx="16">
                  <c:v>17639.056761448413</c:v>
                </c:pt>
                <c:pt idx="17">
                  <c:v>18168.228464291864</c:v>
                </c:pt>
                <c:pt idx="18">
                  <c:v>18713.275318220622</c:v>
                </c:pt>
                <c:pt idx="19">
                  <c:v>22615.404025011259</c:v>
                </c:pt>
                <c:pt idx="20">
                  <c:v>23293.866145761596</c:v>
                </c:pt>
                <c:pt idx="21">
                  <c:v>23992.682130134446</c:v>
                </c:pt>
                <c:pt idx="22">
                  <c:v>24712.462594038476</c:v>
                </c:pt>
                <c:pt idx="23">
                  <c:v>25453.836471859635</c:v>
                </c:pt>
                <c:pt idx="24">
                  <c:v>26217.451566015421</c:v>
                </c:pt>
                <c:pt idx="25">
                  <c:v>27003.975112995882</c:v>
                </c:pt>
                <c:pt idx="26">
                  <c:v>27814.094366385762</c:v>
                </c:pt>
                <c:pt idx="27">
                  <c:v>28648.517197377336</c:v>
                </c:pt>
                <c:pt idx="28">
                  <c:v>29507.972713298655</c:v>
                </c:pt>
                <c:pt idx="29">
                  <c:v>30393.211894697612</c:v>
                </c:pt>
                <c:pt idx="30">
                  <c:v>31305.00825153854</c:v>
                </c:pt>
                <c:pt idx="31">
                  <c:v>32244.158499084697</c:v>
                </c:pt>
                <c:pt idx="32">
                  <c:v>33211.483254057239</c:v>
                </c:pt>
                <c:pt idx="33">
                  <c:v>34207.82775167896</c:v>
                </c:pt>
                <c:pt idx="34">
                  <c:v>35234.062584229323</c:v>
                </c:pt>
                <c:pt idx="35">
                  <c:v>36291.084461756211</c:v>
                </c:pt>
                <c:pt idx="36">
                  <c:v>37379.816995608897</c:v>
                </c:pt>
                <c:pt idx="37">
                  <c:v>38501.211505477164</c:v>
                </c:pt>
                <c:pt idx="38">
                  <c:v>39656.247850641477</c:v>
                </c:pt>
                <c:pt idx="39">
                  <c:v>40845.935286160726</c:v>
                </c:pt>
                <c:pt idx="40">
                  <c:v>40845.935286160726</c:v>
                </c:pt>
                <c:pt idx="41">
                  <c:v>40845.935286160726</c:v>
                </c:pt>
                <c:pt idx="42">
                  <c:v>40845.935286160726</c:v>
                </c:pt>
                <c:pt idx="43">
                  <c:v>40845.935286160726</c:v>
                </c:pt>
                <c:pt idx="44">
                  <c:v>40845.935286160726</c:v>
                </c:pt>
                <c:pt idx="45">
                  <c:v>40845.935286160726</c:v>
                </c:pt>
                <c:pt idx="46">
                  <c:v>40845.935286160726</c:v>
                </c:pt>
                <c:pt idx="47">
                  <c:v>40845.935286160726</c:v>
                </c:pt>
                <c:pt idx="48">
                  <c:v>40845.935286160726</c:v>
                </c:pt>
                <c:pt idx="49">
                  <c:v>40845.935286160726</c:v>
                </c:pt>
              </c:numCache>
            </c:numRef>
          </c:val>
          <c:extLst xmlns:c15="http://schemas.microsoft.com/office/drawing/2012/chart">
            <c:ext xmlns:c16="http://schemas.microsoft.com/office/drawing/2014/chart" uri="{C3380CC4-5D6E-409C-BE32-E72D297353CC}">
              <c16:uniqueId val="{00000004-B3F3-45F4-9150-312517F475B8}"/>
            </c:ext>
          </c:extLst>
        </c:ser>
        <c:ser>
          <c:idx val="5"/>
          <c:order val="4"/>
          <c:tx>
            <c:strRef>
              <c:f>'Long-term Model Summary'!$J$13</c:f>
              <c:strCache>
                <c:ptCount val="1"/>
                <c:pt idx="0">
                  <c:v>Average yield for operation</c:v>
                </c:pt>
              </c:strCache>
            </c:strRef>
          </c:tx>
          <c:spPr>
            <a:solidFill>
              <a:schemeClr val="accent6"/>
            </a:solidFill>
            <a:ln>
              <a:noFill/>
            </a:ln>
            <a:effectLst/>
          </c:spPr>
          <c:cat>
            <c:strRef>
              <c:f>'Long-term Model Summary'!$K$8:$BH$8</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'Long-term Model Summary'!$K$13:$BH$13</c:f>
              <c:numCache>
                <c:formatCode>_(* #,##0_);_(* \(#,##0\);_(* "-"??_);_(@_)</c:formatCode>
                <c:ptCount val="50"/>
                <c:pt idx="0">
                  <c:v>0</c:v>
                </c:pt>
                <c:pt idx="1">
                  <c:v>0</c:v>
                </c:pt>
                <c:pt idx="2">
                  <c:v>0</c:v>
                </c:pt>
                <c:pt idx="3">
                  <c:v>253.8</c:v>
                </c:pt>
                <c:pt idx="4">
                  <c:v>2538</c:v>
                </c:pt>
                <c:pt idx="5">
                  <c:v>3045.6</c:v>
                </c:pt>
                <c:pt idx="6">
                  <c:v>3654.72</c:v>
                </c:pt>
                <c:pt idx="7">
                  <c:v>4385.6639999999998</c:v>
                </c:pt>
                <c:pt idx="8">
                  <c:v>5262.7967999999992</c:v>
                </c:pt>
                <c:pt idx="9">
                  <c:v>6315.3561599999985</c:v>
                </c:pt>
                <c:pt idx="10">
                  <c:v>8336.270131199999</c:v>
                </c:pt>
                <c:pt idx="11">
                  <c:v>11003.876573183999</c:v>
                </c:pt>
                <c:pt idx="12">
                  <c:v>14525.117076602879</c:v>
                </c:pt>
                <c:pt idx="13">
                  <c:v>19173.1545411158</c:v>
                </c:pt>
                <c:pt idx="14">
                  <c:v>25308.563994272856</c:v>
                </c:pt>
                <c:pt idx="15">
                  <c:v>16703.652236220085</c:v>
                </c:pt>
                <c:pt idx="16">
                  <c:v>22048.820951810514</c:v>
                </c:pt>
                <c:pt idx="17">
                  <c:v>22710.285580364827</c:v>
                </c:pt>
                <c:pt idx="18">
                  <c:v>23391.594147775773</c:v>
                </c:pt>
                <c:pt idx="19">
                  <c:v>28269.255031264067</c:v>
                </c:pt>
                <c:pt idx="20">
                  <c:v>29117.332682201992</c:v>
                </c:pt>
                <c:pt idx="21">
                  <c:v>29990.852662668054</c:v>
                </c:pt>
                <c:pt idx="22">
                  <c:v>30890.578242548094</c:v>
                </c:pt>
                <c:pt idx="23">
                  <c:v>31817.295589824538</c:v>
                </c:pt>
                <c:pt idx="24">
                  <c:v>32771.814457519278</c:v>
                </c:pt>
                <c:pt idx="25">
                  <c:v>33754.968891244855</c:v>
                </c:pt>
                <c:pt idx="26">
                  <c:v>34767.617957982198</c:v>
                </c:pt>
                <c:pt idx="27">
                  <c:v>35810.646496721667</c:v>
                </c:pt>
                <c:pt idx="28">
                  <c:v>36884.965891623317</c:v>
                </c:pt>
                <c:pt idx="29">
                  <c:v>37991.514868372018</c:v>
                </c:pt>
                <c:pt idx="30">
                  <c:v>39131.260314423176</c:v>
                </c:pt>
                <c:pt idx="31">
                  <c:v>40305.198123855873</c:v>
                </c:pt>
                <c:pt idx="32">
                  <c:v>41514.354067571541</c:v>
                </c:pt>
                <c:pt idx="33">
                  <c:v>42759.784689598695</c:v>
                </c:pt>
                <c:pt idx="34">
                  <c:v>44042.578230286657</c:v>
                </c:pt>
                <c:pt idx="35">
                  <c:v>45363.85557719526</c:v>
                </c:pt>
                <c:pt idx="36">
                  <c:v>46724.771244511117</c:v>
                </c:pt>
                <c:pt idx="37">
                  <c:v>48126.514381846457</c:v>
                </c:pt>
                <c:pt idx="38">
                  <c:v>49570.30981330185</c:v>
                </c:pt>
                <c:pt idx="39">
                  <c:v>51057.419107700902</c:v>
                </c:pt>
                <c:pt idx="40">
                  <c:v>51057.419107700902</c:v>
                </c:pt>
                <c:pt idx="41">
                  <c:v>51057.419107700902</c:v>
                </c:pt>
                <c:pt idx="42">
                  <c:v>51057.419107700902</c:v>
                </c:pt>
                <c:pt idx="43">
                  <c:v>51057.419107700902</c:v>
                </c:pt>
                <c:pt idx="44">
                  <c:v>51057.419107700902</c:v>
                </c:pt>
                <c:pt idx="45">
                  <c:v>51057.419107700902</c:v>
                </c:pt>
                <c:pt idx="46">
                  <c:v>51057.419107700902</c:v>
                </c:pt>
                <c:pt idx="47">
                  <c:v>51057.419107700902</c:v>
                </c:pt>
                <c:pt idx="48">
                  <c:v>51057.419107700902</c:v>
                </c:pt>
                <c:pt idx="49">
                  <c:v>51057.419107700902</c:v>
                </c:pt>
              </c:numCache>
            </c:numRef>
          </c:val>
          <c:extLst>
            <c:ext xmlns:c16="http://schemas.microsoft.com/office/drawing/2014/chart" uri="{C3380CC4-5D6E-409C-BE32-E72D297353CC}">
              <c16:uniqueId val="{00000000-B3F3-45F4-9150-312517F475B8}"/>
            </c:ext>
          </c:extLst>
        </c:ser>
        <c:ser>
          <c:idx val="0"/>
          <c:order val="6"/>
          <c:tx>
            <c:strRef>
              <c:f>'Long-term Model Summary'!$J$15</c:f>
              <c:strCache>
                <c:ptCount val="1"/>
                <c:pt idx="0">
                  <c:v>High yield for operation</c:v>
                </c:pt>
              </c:strCache>
            </c:strRef>
          </c:tx>
          <c:spPr>
            <a:solidFill>
              <a:schemeClr val="accent1"/>
            </a:solidFill>
            <a:ln>
              <a:noFill/>
            </a:ln>
            <a:effectLst/>
          </c:spPr>
          <c:cat>
            <c:strRef>
              <c:f>'Long-term Model Summary'!$K$8:$BH$8</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'Long-term Model Summary'!$K$15:$BH$15</c:f>
              <c:numCache>
                <c:formatCode>_(* #,##0_);_(* \(#,##0\);_(* "-"??_);_(@_)</c:formatCode>
                <c:ptCount val="50"/>
                <c:pt idx="0">
                  <c:v>0</c:v>
                </c:pt>
                <c:pt idx="1">
                  <c:v>0</c:v>
                </c:pt>
                <c:pt idx="2">
                  <c:v>0</c:v>
                </c:pt>
                <c:pt idx="3">
                  <c:v>304.56000000000006</c:v>
                </c:pt>
                <c:pt idx="4">
                  <c:v>3045.6</c:v>
                </c:pt>
                <c:pt idx="5">
                  <c:v>3654.72</c:v>
                </c:pt>
                <c:pt idx="6">
                  <c:v>4385.6639999999998</c:v>
                </c:pt>
                <c:pt idx="7">
                  <c:v>5262.7967999999992</c:v>
                </c:pt>
                <c:pt idx="8">
                  <c:v>6315.3561599999985</c:v>
                </c:pt>
                <c:pt idx="9">
                  <c:v>7578.4273919999978</c:v>
                </c:pt>
                <c:pt idx="10">
                  <c:v>10003.524157439997</c:v>
                </c:pt>
                <c:pt idx="11">
                  <c:v>13204.651887820799</c:v>
                </c:pt>
                <c:pt idx="12">
                  <c:v>17430.140491923452</c:v>
                </c:pt>
                <c:pt idx="13">
                  <c:v>23007.78544933896</c:v>
                </c:pt>
                <c:pt idx="14">
                  <c:v>30370.276793127428</c:v>
                </c:pt>
                <c:pt idx="15">
                  <c:v>20044.3826834641</c:v>
                </c:pt>
                <c:pt idx="16">
                  <c:v>26458.585142172615</c:v>
                </c:pt>
                <c:pt idx="17">
                  <c:v>27252.342696437794</c:v>
                </c:pt>
                <c:pt idx="18">
                  <c:v>28069.912977330925</c:v>
                </c:pt>
                <c:pt idx="19">
                  <c:v>33923.106037516882</c:v>
                </c:pt>
                <c:pt idx="20">
                  <c:v>34940.799218642394</c:v>
                </c:pt>
                <c:pt idx="21">
                  <c:v>35989.023195201662</c:v>
                </c:pt>
                <c:pt idx="22">
                  <c:v>37068.693891057708</c:v>
                </c:pt>
                <c:pt idx="23">
                  <c:v>38180.754707789441</c:v>
                </c:pt>
                <c:pt idx="24">
                  <c:v>39326.177349023128</c:v>
                </c:pt>
                <c:pt idx="25">
                  <c:v>40505.962669493827</c:v>
                </c:pt>
                <c:pt idx="26">
                  <c:v>41721.141549578635</c:v>
                </c:pt>
                <c:pt idx="27">
                  <c:v>42972.775796065995</c:v>
                </c:pt>
                <c:pt idx="28">
                  <c:v>44261.959069947974</c:v>
                </c:pt>
                <c:pt idx="29">
                  <c:v>45589.817842046417</c:v>
                </c:pt>
                <c:pt idx="30">
                  <c:v>46957.512377307801</c:v>
                </c:pt>
                <c:pt idx="31">
                  <c:v>48366.237748627042</c:v>
                </c:pt>
                <c:pt idx="32">
                  <c:v>49817.224881085851</c:v>
                </c:pt>
                <c:pt idx="33">
                  <c:v>51311.74162751843</c:v>
                </c:pt>
                <c:pt idx="34">
                  <c:v>52851.093876343992</c:v>
                </c:pt>
                <c:pt idx="35">
                  <c:v>54436.626692634309</c:v>
                </c:pt>
                <c:pt idx="36">
                  <c:v>56069.725493413338</c:v>
                </c:pt>
                <c:pt idx="37">
                  <c:v>57751.817258215742</c:v>
                </c:pt>
                <c:pt idx="38">
                  <c:v>59484.371775962216</c:v>
                </c:pt>
                <c:pt idx="39">
                  <c:v>61268.902929241078</c:v>
                </c:pt>
                <c:pt idx="40">
                  <c:v>61268.902929241078</c:v>
                </c:pt>
                <c:pt idx="41">
                  <c:v>61268.902929241078</c:v>
                </c:pt>
                <c:pt idx="42">
                  <c:v>61268.902929241078</c:v>
                </c:pt>
                <c:pt idx="43">
                  <c:v>61268.902929241078</c:v>
                </c:pt>
                <c:pt idx="44">
                  <c:v>61268.902929241078</c:v>
                </c:pt>
                <c:pt idx="45">
                  <c:v>61268.902929241078</c:v>
                </c:pt>
                <c:pt idx="46">
                  <c:v>61268.902929241078</c:v>
                </c:pt>
                <c:pt idx="47">
                  <c:v>61268.902929241078</c:v>
                </c:pt>
                <c:pt idx="48">
                  <c:v>61268.902929241078</c:v>
                </c:pt>
                <c:pt idx="49">
                  <c:v>61268.902929241078</c:v>
                </c:pt>
              </c:numCache>
            </c:numRef>
          </c:val>
          <c:extLst>
            <c:ext xmlns:c16="http://schemas.microsoft.com/office/drawing/2014/chart" uri="{C3380CC4-5D6E-409C-BE32-E72D297353CC}">
              <c16:uniqueId val="{00000006-B3F3-45F4-9150-312517F475B8}"/>
            </c:ext>
          </c:extLst>
        </c:ser>
        <c:dLbls>
          <c:showLegendKey val="0"/>
          <c:showVal val="0"/>
          <c:showCatName val="0"/>
          <c:showSerName val="0"/>
          <c:showPercent val="0"/>
          <c:showBubbleSize val="0"/>
        </c:dLbls>
        <c:axId val="1967722879"/>
        <c:axId val="1967719999"/>
        <c:extLst>
          <c:ext xmlns:c15="http://schemas.microsoft.com/office/drawing/2012/chart" uri="{02D57815-91ED-43cb-92C2-25804820EDAC}">
            <c15:filteredAreaSeries>
              <c15:ser>
                <c:idx val="2"/>
                <c:order val="1"/>
                <c:tx>
                  <c:strRef>
                    <c:extLst>
                      <c:ext uri="{02D57815-91ED-43cb-92C2-25804820EDAC}">
                        <c15:formulaRef>
                          <c15:sqref>'Long-term Model Summary'!$J$10</c15:sqref>
                        </c15:formulaRef>
                      </c:ext>
                    </c:extLst>
                    <c:strCache>
                      <c:ptCount val="1"/>
                      <c:pt idx="0">
                        <c:v>Low yield per tree</c:v>
                      </c:pt>
                    </c:strCache>
                  </c:strRef>
                </c:tx>
                <c:spPr>
                  <a:solidFill>
                    <a:schemeClr val="accent3"/>
                  </a:solidFill>
                  <a:ln>
                    <a:noFill/>
                  </a:ln>
                  <a:effectLst/>
                </c:spPr>
                <c:cat>
                  <c:strRef>
                    <c:extLst>
                      <c:ext uri="{02D57815-91ED-43cb-92C2-25804820EDAC}">
                        <c15:formulaRef>
                          <c15:sqref>'Long-term Model Summary'!$K$8:$BH$8</c15:sqref>
                        </c15:formulaRef>
                      </c:ext>
                    </c:extLst>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extLst>
                      <c:ext uri="{02D57815-91ED-43cb-92C2-25804820EDAC}">
                        <c15:formulaRef>
                          <c15:sqref>'Long-term Model Summary'!$K$10:$BH$10</c15:sqref>
                        </c15:formulaRef>
                      </c:ext>
                    </c:extLst>
                    <c:numCache>
                      <c:formatCode>0.0</c:formatCode>
                      <c:ptCount val="50"/>
                      <c:pt idx="0">
                        <c:v>0</c:v>
                      </c:pt>
                      <c:pt idx="1">
                        <c:v>0</c:v>
                      </c:pt>
                      <c:pt idx="2">
                        <c:v>0</c:v>
                      </c:pt>
                      <c:pt idx="3">
                        <c:v>0.37600000000000006</c:v>
                      </c:pt>
                      <c:pt idx="4">
                        <c:v>3.7600000000000002</c:v>
                      </c:pt>
                      <c:pt idx="5">
                        <c:v>4.5119999999999996</c:v>
                      </c:pt>
                      <c:pt idx="6">
                        <c:v>5.4144000000000005</c:v>
                      </c:pt>
                      <c:pt idx="7">
                        <c:v>6.4972799999999999</c:v>
                      </c:pt>
                      <c:pt idx="8">
                        <c:v>7.7967359999999992</c:v>
                      </c:pt>
                      <c:pt idx="9">
                        <c:v>9.3560831999999987</c:v>
                      </c:pt>
                      <c:pt idx="10">
                        <c:v>12.350029823999998</c:v>
                      </c:pt>
                      <c:pt idx="11">
                        <c:v>16.302039367679999</c:v>
                      </c:pt>
                      <c:pt idx="12">
                        <c:v>21.518691965337599</c:v>
                      </c:pt>
                      <c:pt idx="13">
                        <c:v>28.404673394245631</c:v>
                      </c:pt>
                      <c:pt idx="14">
                        <c:v>37.494168880404231</c:v>
                      </c:pt>
                      <c:pt idx="15">
                        <c:v>49.49230292213359</c:v>
                      </c:pt>
                      <c:pt idx="16">
                        <c:v>65.329839857216342</c:v>
                      </c:pt>
                      <c:pt idx="17">
                        <c:v>67.289735052932826</c:v>
                      </c:pt>
                      <c:pt idx="18">
                        <c:v>69.308427104520817</c:v>
                      </c:pt>
                      <c:pt idx="19">
                        <c:v>83.760755648189843</c:v>
                      </c:pt>
                      <c:pt idx="20">
                        <c:v>86.27357831763554</c:v>
                      </c:pt>
                      <c:pt idx="21">
                        <c:v>88.861785667164611</c:v>
                      </c:pt>
                      <c:pt idx="22">
                        <c:v>91.527639237179542</c:v>
                      </c:pt>
                      <c:pt idx="23">
                        <c:v>94.273468414294939</c:v>
                      </c:pt>
                      <c:pt idx="24">
                        <c:v>97.101672466723784</c:v>
                      </c:pt>
                      <c:pt idx="25">
                        <c:v>100.01472264072549</c:v>
                      </c:pt>
                      <c:pt idx="26">
                        <c:v>103.01516431994726</c:v>
                      </c:pt>
                      <c:pt idx="27">
                        <c:v>106.10561924954568</c:v>
                      </c:pt>
                      <c:pt idx="28">
                        <c:v>109.28878782703205</c:v>
                      </c:pt>
                      <c:pt idx="29">
                        <c:v>112.56745146184301</c:v>
                      </c:pt>
                      <c:pt idx="30">
                        <c:v>115.94447500569829</c:v>
                      </c:pt>
                      <c:pt idx="31">
                        <c:v>119.42280925586925</c:v>
                      </c:pt>
                      <c:pt idx="32">
                        <c:v>123.00549353354532</c:v>
                      </c:pt>
                      <c:pt idx="33">
                        <c:v>126.6956583395517</c:v>
                      </c:pt>
                      <c:pt idx="34">
                        <c:v>130.49652808973823</c:v>
                      </c:pt>
                      <c:pt idx="35">
                        <c:v>134.41142393243041</c:v>
                      </c:pt>
                      <c:pt idx="36">
                        <c:v>138.44376665040332</c:v>
                      </c:pt>
                      <c:pt idx="37">
                        <c:v>142.59707964991543</c:v>
                      </c:pt>
                      <c:pt idx="38">
                        <c:v>146.87499203941289</c:v>
                      </c:pt>
                      <c:pt idx="39">
                        <c:v>151.28124180059527</c:v>
                      </c:pt>
                      <c:pt idx="40">
                        <c:v>151.28124180059527</c:v>
                      </c:pt>
                      <c:pt idx="41">
                        <c:v>151.28124180059527</c:v>
                      </c:pt>
                      <c:pt idx="42">
                        <c:v>151.28124180059527</c:v>
                      </c:pt>
                      <c:pt idx="43">
                        <c:v>151.28124180059527</c:v>
                      </c:pt>
                      <c:pt idx="44">
                        <c:v>151.28124180059527</c:v>
                      </c:pt>
                      <c:pt idx="45">
                        <c:v>151.28124180059527</c:v>
                      </c:pt>
                      <c:pt idx="46">
                        <c:v>151.28124180059527</c:v>
                      </c:pt>
                      <c:pt idx="47">
                        <c:v>151.28124180059527</c:v>
                      </c:pt>
                      <c:pt idx="48">
                        <c:v>151.28124180059527</c:v>
                      </c:pt>
                      <c:pt idx="49">
                        <c:v>151.28124180059527</c:v>
                      </c:pt>
                    </c:numCache>
                  </c:numRef>
                </c:val>
                <c:extLst>
                  <c:ext xmlns:c16="http://schemas.microsoft.com/office/drawing/2014/chart" uri="{C3380CC4-5D6E-409C-BE32-E72D297353CC}">
                    <c16:uniqueId val="{00000003-B3F3-45F4-9150-312517F475B8}"/>
                  </c:ext>
                </c:extLst>
              </c15:ser>
            </c15:filteredAreaSeries>
            <c15:filteredAreaSeries>
              <c15:ser>
                <c:idx val="4"/>
                <c:order val="3"/>
                <c:tx>
                  <c:strRef>
                    <c:extLst>
                      <c:ext xmlns:c15="http://schemas.microsoft.com/office/drawing/2012/chart" uri="{02D57815-91ED-43cb-92C2-25804820EDAC}">
                        <c15:formulaRef>
                          <c15:sqref>'Long-term Model Summary'!$J$12</c15:sqref>
                        </c15:formulaRef>
                      </c:ext>
                    </c:extLst>
                    <c:strCache>
                      <c:ptCount val="1"/>
                      <c:pt idx="0">
                        <c:v>Average yield per tree</c:v>
                      </c:pt>
                    </c:strCache>
                  </c:strRef>
                </c:tx>
                <c:spPr>
                  <a:solidFill>
                    <a:schemeClr val="accent5"/>
                  </a:solidFill>
                  <a:ln>
                    <a:noFill/>
                  </a:ln>
                  <a:effectLst/>
                </c:spPr>
                <c:cat>
                  <c:strRef>
                    <c:extLst>
                      <c:ext xmlns:c15="http://schemas.microsoft.com/office/drawing/2012/chart" uri="{02D57815-91ED-43cb-92C2-25804820EDAC}">
                        <c15:formulaRef>
                          <c15:sqref>'Long-term Model Summary'!$K$8:$BH$8</c15:sqref>
                        </c15:formulaRef>
                      </c:ext>
                    </c:extLst>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extLst>
                      <c:ext xmlns:c15="http://schemas.microsoft.com/office/drawing/2012/chart" uri="{02D57815-91ED-43cb-92C2-25804820EDAC}">
                        <c15:formulaRef>
                          <c15:sqref>'Long-term Model Summary'!$K$12:$BH$12</c15:sqref>
                        </c15:formulaRef>
                      </c:ext>
                    </c:extLst>
                    <c:numCache>
                      <c:formatCode>0.0</c:formatCode>
                      <c:ptCount val="50"/>
                      <c:pt idx="0">
                        <c:v>0</c:v>
                      </c:pt>
                      <c:pt idx="1">
                        <c:v>0</c:v>
                      </c:pt>
                      <c:pt idx="2">
                        <c:v>0</c:v>
                      </c:pt>
                      <c:pt idx="3">
                        <c:v>0.47000000000000003</c:v>
                      </c:pt>
                      <c:pt idx="4">
                        <c:v>4.7</c:v>
                      </c:pt>
                      <c:pt idx="5">
                        <c:v>5.64</c:v>
                      </c:pt>
                      <c:pt idx="6">
                        <c:v>6.7679999999999998</c:v>
                      </c:pt>
                      <c:pt idx="7">
                        <c:v>8.121599999999999</c:v>
                      </c:pt>
                      <c:pt idx="8">
                        <c:v>9.7459199999999981</c:v>
                      </c:pt>
                      <c:pt idx="9">
                        <c:v>11.695103999999997</c:v>
                      </c:pt>
                      <c:pt idx="10">
                        <c:v>15.437537279999997</c:v>
                      </c:pt>
                      <c:pt idx="11">
                        <c:v>20.377549209599998</c:v>
                      </c:pt>
                      <c:pt idx="12">
                        <c:v>26.898364956671998</c:v>
                      </c:pt>
                      <c:pt idx="13">
                        <c:v>35.505841742807036</c:v>
                      </c:pt>
                      <c:pt idx="14">
                        <c:v>46.867711100505289</c:v>
                      </c:pt>
                      <c:pt idx="15">
                        <c:v>61.865378652666983</c:v>
                      </c:pt>
                      <c:pt idx="16">
                        <c:v>81.662299821520421</c:v>
                      </c:pt>
                      <c:pt idx="17">
                        <c:v>84.112168816166033</c:v>
                      </c:pt>
                      <c:pt idx="18">
                        <c:v>86.63553388065101</c:v>
                      </c:pt>
                      <c:pt idx="19">
                        <c:v>104.70094456023729</c:v>
                      </c:pt>
                      <c:pt idx="20">
                        <c:v>107.84197289704441</c:v>
                      </c:pt>
                      <c:pt idx="21">
                        <c:v>111.07723208395575</c:v>
                      </c:pt>
                      <c:pt idx="22">
                        <c:v>114.40954904647442</c:v>
                      </c:pt>
                      <c:pt idx="23">
                        <c:v>117.84183551786866</c:v>
                      </c:pt>
                      <c:pt idx="24">
                        <c:v>121.37709058340472</c:v>
                      </c:pt>
                      <c:pt idx="25">
                        <c:v>125.01840330090687</c:v>
                      </c:pt>
                      <c:pt idx="26">
                        <c:v>128.76895539993407</c:v>
                      </c:pt>
                      <c:pt idx="27">
                        <c:v>132.6320240619321</c:v>
                      </c:pt>
                      <c:pt idx="28">
                        <c:v>136.61098478379006</c:v>
                      </c:pt>
                      <c:pt idx="29">
                        <c:v>140.70931432730376</c:v>
                      </c:pt>
                      <c:pt idx="30">
                        <c:v>144.93059375712286</c:v>
                      </c:pt>
                      <c:pt idx="31">
                        <c:v>149.27851156983655</c:v>
                      </c:pt>
                      <c:pt idx="32">
                        <c:v>153.75686691693164</c:v>
                      </c:pt>
                      <c:pt idx="33">
                        <c:v>158.36957292443961</c:v>
                      </c:pt>
                      <c:pt idx="34">
                        <c:v>163.1206601121728</c:v>
                      </c:pt>
                      <c:pt idx="35">
                        <c:v>168.014279915538</c:v>
                      </c:pt>
                      <c:pt idx="36">
                        <c:v>173.05470831300414</c:v>
                      </c:pt>
                      <c:pt idx="37">
                        <c:v>178.24634956239427</c:v>
                      </c:pt>
                      <c:pt idx="38">
                        <c:v>183.5937400492661</c:v>
                      </c:pt>
                      <c:pt idx="39">
                        <c:v>189.10155225074408</c:v>
                      </c:pt>
                      <c:pt idx="40">
                        <c:v>189.10155225074408</c:v>
                      </c:pt>
                      <c:pt idx="41">
                        <c:v>189.10155225074408</c:v>
                      </c:pt>
                      <c:pt idx="42">
                        <c:v>189.10155225074408</c:v>
                      </c:pt>
                      <c:pt idx="43">
                        <c:v>189.10155225074408</c:v>
                      </c:pt>
                      <c:pt idx="44">
                        <c:v>189.10155225074408</c:v>
                      </c:pt>
                      <c:pt idx="45">
                        <c:v>189.10155225074408</c:v>
                      </c:pt>
                      <c:pt idx="46">
                        <c:v>189.10155225074408</c:v>
                      </c:pt>
                      <c:pt idx="47">
                        <c:v>189.10155225074408</c:v>
                      </c:pt>
                      <c:pt idx="48">
                        <c:v>189.10155225074408</c:v>
                      </c:pt>
                      <c:pt idx="49">
                        <c:v>189.10155225074408</c:v>
                      </c:pt>
                    </c:numCache>
                  </c:numRef>
                </c:val>
                <c:extLst xmlns:c15="http://schemas.microsoft.com/office/drawing/2012/chart">
                  <c:ext xmlns:c16="http://schemas.microsoft.com/office/drawing/2014/chart" uri="{C3380CC4-5D6E-409C-BE32-E72D297353CC}">
                    <c16:uniqueId val="{00000005-B3F3-45F4-9150-312517F475B8}"/>
                  </c:ext>
                </c:extLst>
              </c15:ser>
            </c15:filteredAreaSeries>
            <c15:filteredAreaSeries>
              <c15:ser>
                <c:idx val="6"/>
                <c:order val="5"/>
                <c:tx>
                  <c:strRef>
                    <c:extLst>
                      <c:ext xmlns:c15="http://schemas.microsoft.com/office/drawing/2012/chart" uri="{02D57815-91ED-43cb-92C2-25804820EDAC}">
                        <c15:formulaRef>
                          <c15:sqref>'Long-term Model Summary'!$J$14</c15:sqref>
                        </c15:formulaRef>
                      </c:ext>
                    </c:extLst>
                    <c:strCache>
                      <c:ptCount val="1"/>
                      <c:pt idx="0">
                        <c:v>High yield per tree</c:v>
                      </c:pt>
                    </c:strCache>
                  </c:strRef>
                </c:tx>
                <c:spPr>
                  <a:solidFill>
                    <a:schemeClr val="accent1">
                      <a:lumMod val="60000"/>
                    </a:schemeClr>
                  </a:solidFill>
                  <a:ln>
                    <a:noFill/>
                  </a:ln>
                  <a:effectLst/>
                </c:spPr>
                <c:cat>
                  <c:strRef>
                    <c:extLst>
                      <c:ext xmlns:c15="http://schemas.microsoft.com/office/drawing/2012/chart" uri="{02D57815-91ED-43cb-92C2-25804820EDAC}">
                        <c15:formulaRef>
                          <c15:sqref>'Long-term Model Summary'!$K$8:$BH$8</c15:sqref>
                        </c15:formulaRef>
                      </c:ext>
                    </c:extLst>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extLst>
                      <c:ext xmlns:c15="http://schemas.microsoft.com/office/drawing/2012/chart" uri="{02D57815-91ED-43cb-92C2-25804820EDAC}">
                        <c15:formulaRef>
                          <c15:sqref>'Long-term Model Summary'!$K$14:$BH$14</c15:sqref>
                        </c15:formulaRef>
                      </c:ext>
                    </c:extLst>
                    <c:numCache>
                      <c:formatCode>0.0</c:formatCode>
                      <c:ptCount val="50"/>
                      <c:pt idx="0">
                        <c:v>0</c:v>
                      </c:pt>
                      <c:pt idx="1">
                        <c:v>0</c:v>
                      </c:pt>
                      <c:pt idx="2">
                        <c:v>0</c:v>
                      </c:pt>
                      <c:pt idx="3">
                        <c:v>0.56400000000000006</c:v>
                      </c:pt>
                      <c:pt idx="4">
                        <c:v>5.64</c:v>
                      </c:pt>
                      <c:pt idx="5">
                        <c:v>6.7679999999999998</c:v>
                      </c:pt>
                      <c:pt idx="6">
                        <c:v>8.121599999999999</c:v>
                      </c:pt>
                      <c:pt idx="7">
                        <c:v>9.7459199999999981</c:v>
                      </c:pt>
                      <c:pt idx="8">
                        <c:v>11.695103999999997</c:v>
                      </c:pt>
                      <c:pt idx="9">
                        <c:v>14.034124799999995</c:v>
                      </c:pt>
                      <c:pt idx="10">
                        <c:v>18.525044735999995</c:v>
                      </c:pt>
                      <c:pt idx="11">
                        <c:v>24.453059051519997</c:v>
                      </c:pt>
                      <c:pt idx="12">
                        <c:v>32.278037948006393</c:v>
                      </c:pt>
                      <c:pt idx="13">
                        <c:v>42.607010091368444</c:v>
                      </c:pt>
                      <c:pt idx="14">
                        <c:v>56.241253320606347</c:v>
                      </c:pt>
                      <c:pt idx="15">
                        <c:v>74.238454383200377</c:v>
                      </c:pt>
                      <c:pt idx="16">
                        <c:v>97.994759785824499</c:v>
                      </c:pt>
                      <c:pt idx="17">
                        <c:v>100.93460257939924</c:v>
                      </c:pt>
                      <c:pt idx="18">
                        <c:v>103.9626406567812</c:v>
                      </c:pt>
                      <c:pt idx="19">
                        <c:v>125.64113347228474</c:v>
                      </c:pt>
                      <c:pt idx="20">
                        <c:v>129.4103674764533</c:v>
                      </c:pt>
                      <c:pt idx="21">
                        <c:v>133.29267850074689</c:v>
                      </c:pt>
                      <c:pt idx="22">
                        <c:v>137.29145885576929</c:v>
                      </c:pt>
                      <c:pt idx="23">
                        <c:v>141.41020262144238</c:v>
                      </c:pt>
                      <c:pt idx="24">
                        <c:v>145.65250870008566</c:v>
                      </c:pt>
                      <c:pt idx="25">
                        <c:v>150.02208396108824</c:v>
                      </c:pt>
                      <c:pt idx="26">
                        <c:v>154.52274647992087</c:v>
                      </c:pt>
                      <c:pt idx="27">
                        <c:v>159.1584288743185</c:v>
                      </c:pt>
                      <c:pt idx="28">
                        <c:v>163.93318174054806</c:v>
                      </c:pt>
                      <c:pt idx="29">
                        <c:v>168.85117719276451</c:v>
                      </c:pt>
                      <c:pt idx="30">
                        <c:v>173.91671250854742</c:v>
                      </c:pt>
                      <c:pt idx="31">
                        <c:v>179.13421388380385</c:v>
                      </c:pt>
                      <c:pt idx="32">
                        <c:v>184.50824030031796</c:v>
                      </c:pt>
                      <c:pt idx="33">
                        <c:v>190.04348750932752</c:v>
                      </c:pt>
                      <c:pt idx="34">
                        <c:v>195.74479213460737</c:v>
                      </c:pt>
                      <c:pt idx="35">
                        <c:v>201.61713589864559</c:v>
                      </c:pt>
                      <c:pt idx="36">
                        <c:v>207.66564997560496</c:v>
                      </c:pt>
                      <c:pt idx="37">
                        <c:v>213.89561947487311</c:v>
                      </c:pt>
                      <c:pt idx="38">
                        <c:v>220.31248805911932</c:v>
                      </c:pt>
                      <c:pt idx="39">
                        <c:v>226.92186270089289</c:v>
                      </c:pt>
                      <c:pt idx="40">
                        <c:v>226.92186270089289</c:v>
                      </c:pt>
                      <c:pt idx="41">
                        <c:v>226.92186270089289</c:v>
                      </c:pt>
                      <c:pt idx="42">
                        <c:v>226.92186270089289</c:v>
                      </c:pt>
                      <c:pt idx="43">
                        <c:v>226.92186270089289</c:v>
                      </c:pt>
                      <c:pt idx="44">
                        <c:v>226.92186270089289</c:v>
                      </c:pt>
                      <c:pt idx="45">
                        <c:v>226.92186270089289</c:v>
                      </c:pt>
                      <c:pt idx="46">
                        <c:v>226.92186270089289</c:v>
                      </c:pt>
                      <c:pt idx="47">
                        <c:v>226.92186270089289</c:v>
                      </c:pt>
                      <c:pt idx="48">
                        <c:v>226.92186270089289</c:v>
                      </c:pt>
                      <c:pt idx="49">
                        <c:v>226.92186270089289</c:v>
                      </c:pt>
                    </c:numCache>
                  </c:numRef>
                </c:val>
                <c:extLst xmlns:c15="http://schemas.microsoft.com/office/drawing/2012/chart">
                  <c:ext xmlns:c16="http://schemas.microsoft.com/office/drawing/2014/chart" uri="{C3380CC4-5D6E-409C-BE32-E72D297353CC}">
                    <c16:uniqueId val="{00000001-B3F3-45F4-9150-312517F475B8}"/>
                  </c:ext>
                </c:extLst>
              </c15:ser>
            </c15:filteredAreaSeries>
          </c:ext>
        </c:extLst>
      </c:areaChart>
      <c:lineChart>
        <c:grouping val="standard"/>
        <c:varyColors val="0"/>
        <c:ser>
          <c:idx val="7"/>
          <c:order val="7"/>
          <c:tx>
            <c:strRef>
              <c:f>'Long-term Model Summary'!$J$16</c:f>
              <c:strCache>
                <c:ptCount val="1"/>
                <c:pt idx="0">
                  <c:v>Trees in production</c:v>
                </c:pt>
              </c:strCache>
            </c:strRef>
          </c:tx>
          <c:spPr>
            <a:ln w="28575" cap="rnd">
              <a:solidFill>
                <a:schemeClr val="accent2">
                  <a:lumMod val="60000"/>
                </a:schemeClr>
              </a:solidFill>
              <a:round/>
            </a:ln>
            <a:effectLst/>
          </c:spPr>
          <c:marker>
            <c:symbol val="none"/>
          </c:marker>
          <c:cat>
            <c:strRef>
              <c:f>'Long-term Model Summary'!$K$8:$BH$8</c:f>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f>'Long-term Model Summary'!$K$16:$BH$16</c:f>
              <c:numCache>
                <c:formatCode>0</c:formatCode>
                <c:ptCount val="50"/>
                <c:pt idx="0">
                  <c:v>540</c:v>
                </c:pt>
                <c:pt idx="1">
                  <c:v>540</c:v>
                </c:pt>
                <c:pt idx="2">
                  <c:v>540</c:v>
                </c:pt>
                <c:pt idx="3">
                  <c:v>540</c:v>
                </c:pt>
                <c:pt idx="4">
                  <c:v>540</c:v>
                </c:pt>
                <c:pt idx="5">
                  <c:v>540</c:v>
                </c:pt>
                <c:pt idx="6">
                  <c:v>540</c:v>
                </c:pt>
                <c:pt idx="7">
                  <c:v>540</c:v>
                </c:pt>
                <c:pt idx="8">
                  <c:v>540</c:v>
                </c:pt>
                <c:pt idx="9">
                  <c:v>540</c:v>
                </c:pt>
                <c:pt idx="10">
                  <c:v>540</c:v>
                </c:pt>
                <c:pt idx="11">
                  <c:v>540</c:v>
                </c:pt>
                <c:pt idx="12">
                  <c:v>540</c:v>
                </c:pt>
                <c:pt idx="13">
                  <c:v>540</c:v>
                </c:pt>
                <c:pt idx="14">
                  <c:v>540</c:v>
                </c:pt>
                <c:pt idx="15">
                  <c:v>270</c:v>
                </c:pt>
                <c:pt idx="16">
                  <c:v>270</c:v>
                </c:pt>
                <c:pt idx="17">
                  <c:v>270</c:v>
                </c:pt>
                <c:pt idx="18">
                  <c:v>270</c:v>
                </c:pt>
                <c:pt idx="19">
                  <c:v>270</c:v>
                </c:pt>
                <c:pt idx="20">
                  <c:v>270</c:v>
                </c:pt>
                <c:pt idx="21">
                  <c:v>270</c:v>
                </c:pt>
                <c:pt idx="22">
                  <c:v>270</c:v>
                </c:pt>
                <c:pt idx="23">
                  <c:v>270</c:v>
                </c:pt>
                <c:pt idx="24">
                  <c:v>270</c:v>
                </c:pt>
                <c:pt idx="25">
                  <c:v>270</c:v>
                </c:pt>
                <c:pt idx="26">
                  <c:v>270</c:v>
                </c:pt>
                <c:pt idx="27">
                  <c:v>270</c:v>
                </c:pt>
                <c:pt idx="28">
                  <c:v>270</c:v>
                </c:pt>
                <c:pt idx="29">
                  <c:v>270</c:v>
                </c:pt>
                <c:pt idx="30">
                  <c:v>270</c:v>
                </c:pt>
                <c:pt idx="31">
                  <c:v>270</c:v>
                </c:pt>
                <c:pt idx="32">
                  <c:v>270</c:v>
                </c:pt>
                <c:pt idx="33">
                  <c:v>270</c:v>
                </c:pt>
                <c:pt idx="34">
                  <c:v>270</c:v>
                </c:pt>
                <c:pt idx="35">
                  <c:v>270</c:v>
                </c:pt>
                <c:pt idx="36">
                  <c:v>270</c:v>
                </c:pt>
                <c:pt idx="37">
                  <c:v>270</c:v>
                </c:pt>
                <c:pt idx="38">
                  <c:v>270</c:v>
                </c:pt>
                <c:pt idx="39">
                  <c:v>270</c:v>
                </c:pt>
                <c:pt idx="40">
                  <c:v>270</c:v>
                </c:pt>
                <c:pt idx="41">
                  <c:v>270</c:v>
                </c:pt>
                <c:pt idx="42">
                  <c:v>270</c:v>
                </c:pt>
                <c:pt idx="43">
                  <c:v>270</c:v>
                </c:pt>
                <c:pt idx="44">
                  <c:v>270</c:v>
                </c:pt>
                <c:pt idx="45">
                  <c:v>270</c:v>
                </c:pt>
                <c:pt idx="46">
                  <c:v>270</c:v>
                </c:pt>
                <c:pt idx="47">
                  <c:v>270</c:v>
                </c:pt>
                <c:pt idx="48">
                  <c:v>270</c:v>
                </c:pt>
                <c:pt idx="49">
                  <c:v>270</c:v>
                </c:pt>
              </c:numCache>
            </c:numRef>
          </c:val>
          <c:smooth val="0"/>
          <c:extLst>
            <c:ext xmlns:c16="http://schemas.microsoft.com/office/drawing/2014/chart" uri="{C3380CC4-5D6E-409C-BE32-E72D297353CC}">
              <c16:uniqueId val="{00000007-B3F3-45F4-9150-312517F475B8}"/>
            </c:ext>
          </c:extLst>
        </c:ser>
        <c:dLbls>
          <c:showLegendKey val="0"/>
          <c:showVal val="0"/>
          <c:showCatName val="0"/>
          <c:showSerName val="0"/>
          <c:showPercent val="0"/>
          <c:showBubbleSize val="0"/>
        </c:dLbls>
        <c:marker val="1"/>
        <c:smooth val="0"/>
        <c:axId val="1076313104"/>
        <c:axId val="1076298224"/>
        <c:extLst>
          <c:ext xmlns:c15="http://schemas.microsoft.com/office/drawing/2012/chart" uri="{02D57815-91ED-43cb-92C2-25804820EDAC}">
            <c15:filteredLineSeries>
              <c15:ser>
                <c:idx val="1"/>
                <c:order val="0"/>
                <c:tx>
                  <c:strRef>
                    <c:extLst>
                      <c:ext uri="{02D57815-91ED-43cb-92C2-25804820EDAC}">
                        <c15:formulaRef>
                          <c15:sqref>'Long-term Model Summary'!$J$9</c15:sqref>
                        </c15:formulaRef>
                      </c:ext>
                    </c:extLst>
                    <c:strCache>
                      <c:ptCount val="1"/>
                    </c:strCache>
                  </c:strRef>
                </c:tx>
                <c:spPr>
                  <a:ln w="28575" cap="rnd">
                    <a:solidFill>
                      <a:schemeClr val="accent2"/>
                    </a:solidFill>
                    <a:round/>
                  </a:ln>
                  <a:effectLst/>
                </c:spPr>
                <c:marker>
                  <c:symbol val="none"/>
                </c:marker>
                <c:cat>
                  <c:strRef>
                    <c:extLst>
                      <c:ext uri="{02D57815-91ED-43cb-92C2-25804820EDAC}">
                        <c15:formulaRef>
                          <c15:sqref>'Long-term Model Summary'!$K$8:$BH$8</c15:sqref>
                        </c15:formulaRef>
                      </c:ext>
                    </c:extLst>
                    <c:strCache>
                      <c:ptCount val="5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pt idx="20">
                        <c:v>Year 21</c:v>
                      </c:pt>
                      <c:pt idx="21">
                        <c:v>Year 22</c:v>
                      </c:pt>
                      <c:pt idx="22">
                        <c:v>Year 23</c:v>
                      </c:pt>
                      <c:pt idx="23">
                        <c:v>Year 24</c:v>
                      </c:pt>
                      <c:pt idx="24">
                        <c:v>Year 25</c:v>
                      </c:pt>
                      <c:pt idx="25">
                        <c:v>Year 26</c:v>
                      </c:pt>
                      <c:pt idx="26">
                        <c:v>Year 27</c:v>
                      </c:pt>
                      <c:pt idx="27">
                        <c:v>Year 28</c:v>
                      </c:pt>
                      <c:pt idx="28">
                        <c:v>Year 29</c:v>
                      </c:pt>
                      <c:pt idx="29">
                        <c:v>Year 30</c:v>
                      </c:pt>
                      <c:pt idx="30">
                        <c:v>Year 31</c:v>
                      </c:pt>
                      <c:pt idx="31">
                        <c:v>Year 32</c:v>
                      </c:pt>
                      <c:pt idx="32">
                        <c:v>Year 33</c:v>
                      </c:pt>
                      <c:pt idx="33">
                        <c:v>Year 34</c:v>
                      </c:pt>
                      <c:pt idx="34">
                        <c:v>Year 35</c:v>
                      </c:pt>
                      <c:pt idx="35">
                        <c:v>Year 36</c:v>
                      </c:pt>
                      <c:pt idx="36">
                        <c:v>Year 37</c:v>
                      </c:pt>
                      <c:pt idx="37">
                        <c:v>Year 38</c:v>
                      </c:pt>
                      <c:pt idx="38">
                        <c:v>Year 39</c:v>
                      </c:pt>
                      <c:pt idx="39">
                        <c:v>Year 40</c:v>
                      </c:pt>
                      <c:pt idx="40">
                        <c:v>Year 41</c:v>
                      </c:pt>
                      <c:pt idx="41">
                        <c:v>Year 42</c:v>
                      </c:pt>
                      <c:pt idx="42">
                        <c:v>Year 43</c:v>
                      </c:pt>
                      <c:pt idx="43">
                        <c:v>Year 44</c:v>
                      </c:pt>
                      <c:pt idx="44">
                        <c:v>Year 45</c:v>
                      </c:pt>
                      <c:pt idx="45">
                        <c:v>Year 46</c:v>
                      </c:pt>
                      <c:pt idx="46">
                        <c:v>Year 47</c:v>
                      </c:pt>
                      <c:pt idx="47">
                        <c:v>Year 48</c:v>
                      </c:pt>
                      <c:pt idx="48">
                        <c:v>Year 49</c:v>
                      </c:pt>
                      <c:pt idx="49">
                        <c:v>Year 50</c:v>
                      </c:pt>
                    </c:strCache>
                  </c:strRef>
                </c:cat>
                <c:val>
                  <c:numRef>
                    <c:extLst>
                      <c:ext uri="{02D57815-91ED-43cb-92C2-25804820EDAC}">
                        <c15:formulaRef>
                          <c15:sqref>'Long-term Model Summary'!$K$9:$BH$9</c15:sqref>
                        </c15:formulaRef>
                      </c:ext>
                    </c:extLst>
                    <c:numCache>
                      <c:formatCode>General</c:formatCode>
                      <c:ptCount val="5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pt idx="26" formatCode="0">
                        <c:v>2051</c:v>
                      </c:pt>
                      <c:pt idx="27" formatCode="0">
                        <c:v>2052</c:v>
                      </c:pt>
                      <c:pt idx="28" formatCode="0">
                        <c:v>2053</c:v>
                      </c:pt>
                      <c:pt idx="29" formatCode="0">
                        <c:v>2054</c:v>
                      </c:pt>
                      <c:pt idx="30" formatCode="0">
                        <c:v>2055</c:v>
                      </c:pt>
                      <c:pt idx="31" formatCode="0">
                        <c:v>2056</c:v>
                      </c:pt>
                      <c:pt idx="32" formatCode="0">
                        <c:v>2057</c:v>
                      </c:pt>
                      <c:pt idx="33" formatCode="0">
                        <c:v>2058</c:v>
                      </c:pt>
                      <c:pt idx="34" formatCode="0">
                        <c:v>2059</c:v>
                      </c:pt>
                      <c:pt idx="35" formatCode="0">
                        <c:v>2060</c:v>
                      </c:pt>
                      <c:pt idx="36" formatCode="0">
                        <c:v>2061</c:v>
                      </c:pt>
                      <c:pt idx="37" formatCode="0">
                        <c:v>2062</c:v>
                      </c:pt>
                      <c:pt idx="38" formatCode="0">
                        <c:v>2063</c:v>
                      </c:pt>
                      <c:pt idx="39" formatCode="0">
                        <c:v>2064</c:v>
                      </c:pt>
                      <c:pt idx="40" formatCode="0">
                        <c:v>2065</c:v>
                      </c:pt>
                      <c:pt idx="41" formatCode="0">
                        <c:v>2066</c:v>
                      </c:pt>
                      <c:pt idx="42" formatCode="0">
                        <c:v>2067</c:v>
                      </c:pt>
                      <c:pt idx="43" formatCode="0">
                        <c:v>2068</c:v>
                      </c:pt>
                      <c:pt idx="44" formatCode="0">
                        <c:v>2069</c:v>
                      </c:pt>
                      <c:pt idx="45" formatCode="0">
                        <c:v>2070</c:v>
                      </c:pt>
                      <c:pt idx="46" formatCode="0">
                        <c:v>2071</c:v>
                      </c:pt>
                      <c:pt idx="47" formatCode="0">
                        <c:v>2072</c:v>
                      </c:pt>
                      <c:pt idx="48" formatCode="0">
                        <c:v>2073</c:v>
                      </c:pt>
                      <c:pt idx="49" formatCode="0">
                        <c:v>2074</c:v>
                      </c:pt>
                    </c:numCache>
                  </c:numRef>
                </c:val>
                <c:smooth val="0"/>
                <c:extLst>
                  <c:ext xmlns:c16="http://schemas.microsoft.com/office/drawing/2014/chart" uri="{C3380CC4-5D6E-409C-BE32-E72D297353CC}">
                    <c16:uniqueId val="{00000002-B3F3-45F4-9150-312517F475B8}"/>
                  </c:ext>
                </c:extLst>
              </c15:ser>
            </c15:filteredLineSeries>
          </c:ext>
        </c:extLst>
      </c:lineChart>
      <c:catAx>
        <c:axId val="1967722879"/>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67719999"/>
        <c:crosses val="autoZero"/>
        <c:auto val="1"/>
        <c:lblAlgn val="ctr"/>
        <c:lblOffset val="0"/>
        <c:noMultiLvlLbl val="0"/>
      </c:catAx>
      <c:valAx>
        <c:axId val="196771999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67722879"/>
        <c:crossesAt val="0"/>
        <c:crossBetween val="between"/>
      </c:valAx>
      <c:valAx>
        <c:axId val="1076298224"/>
        <c:scaling>
          <c:orientation val="minMax"/>
        </c:scaling>
        <c:delete val="0"/>
        <c:axPos val="r"/>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baseline="0"/>
                  <a:t>Total pecan yield, pounds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076313104"/>
        <c:crosses val="max"/>
        <c:crossBetween val="between"/>
      </c:valAx>
      <c:catAx>
        <c:axId val="1076313104"/>
        <c:scaling>
          <c:orientation val="minMax"/>
        </c:scaling>
        <c:delete val="1"/>
        <c:axPos val="b"/>
        <c:numFmt formatCode="General" sourceLinked="1"/>
        <c:majorTickMark val="out"/>
        <c:minorTickMark val="none"/>
        <c:tickLblPos val="nextTo"/>
        <c:crossAx val="107629822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3</xdr:col>
      <xdr:colOff>4267200</xdr:colOff>
      <xdr:row>3</xdr:row>
      <xdr:rowOff>187675</xdr:rowOff>
    </xdr:from>
    <xdr:ext cx="2292350" cy="717775"/>
    <xdr:pic>
      <xdr:nvPicPr>
        <xdr:cNvPr id="2" name="Picture 1">
          <a:extLst>
            <a:ext uri="{FF2B5EF4-FFF2-40B4-BE49-F238E27FC236}">
              <a16:creationId xmlns:a16="http://schemas.microsoft.com/office/drawing/2014/main" id="{80C18D41-A3FC-4FE1-988F-CDDCF6121E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24575" y="863950"/>
          <a:ext cx="2292350" cy="7177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47625</xdr:colOff>
      <xdr:row>10</xdr:row>
      <xdr:rowOff>120651</xdr:rowOff>
    </xdr:from>
    <xdr:to>
      <xdr:col>8</xdr:col>
      <xdr:colOff>1409700</xdr:colOff>
      <xdr:row>34</xdr:row>
      <xdr:rowOff>66675</xdr:rowOff>
    </xdr:to>
    <xdr:graphicFrame macro="">
      <xdr:nvGraphicFramePr>
        <xdr:cNvPr id="2" name="Chart 1">
          <a:extLst>
            <a:ext uri="{FF2B5EF4-FFF2-40B4-BE49-F238E27FC236}">
              <a16:creationId xmlns:a16="http://schemas.microsoft.com/office/drawing/2014/main" id="{BBE98F30-CF6D-5084-140D-EAB3C7A724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47626</xdr:colOff>
      <xdr:row>36</xdr:row>
      <xdr:rowOff>38100</xdr:rowOff>
    </xdr:from>
    <xdr:to>
      <xdr:col>8</xdr:col>
      <xdr:colOff>1390651</xdr:colOff>
      <xdr:row>55</xdr:row>
      <xdr:rowOff>163513</xdr:rowOff>
    </xdr:to>
    <xdr:graphicFrame macro="">
      <xdr:nvGraphicFramePr>
        <xdr:cNvPr id="3" name="Chart 2">
          <a:extLst>
            <a:ext uri="{FF2B5EF4-FFF2-40B4-BE49-F238E27FC236}">
              <a16:creationId xmlns:a16="http://schemas.microsoft.com/office/drawing/2014/main" id="{12EBEEBB-0758-4DAD-B67B-188B003457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1457325</xdr:colOff>
      <xdr:row>81</xdr:row>
      <xdr:rowOff>66675</xdr:rowOff>
    </xdr:from>
    <xdr:to>
      <xdr:col>21</xdr:col>
      <xdr:colOff>685799</xdr:colOff>
      <xdr:row>101</xdr:row>
      <xdr:rowOff>185738</xdr:rowOff>
    </xdr:to>
    <xdr:graphicFrame macro="">
      <xdr:nvGraphicFramePr>
        <xdr:cNvPr id="5" name="Chart 4">
          <a:extLst>
            <a:ext uri="{FF2B5EF4-FFF2-40B4-BE49-F238E27FC236}">
              <a16:creationId xmlns:a16="http://schemas.microsoft.com/office/drawing/2014/main" id="{79D7D9D2-02F3-4403-8EA2-0AADB44A90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E850C27-D158-4709-9DFB-5F0677BC8392}" name="Table2" displayName="Table2" ref="J8:BH16" totalsRowShown="0" headerRowDxfId="53" dataDxfId="52">
  <autoFilter ref="J8:BH16" xr:uid="{5E850C27-D158-4709-9DFB-5F0677BC8392}"/>
  <tableColumns count="51">
    <tableColumn id="1" xr3:uid="{1A9115D8-28D3-43D5-8527-1B56347BE4F9}" name="Year" dataDxfId="51"/>
    <tableColumn id="2" xr3:uid="{417B7198-4991-412C-95A5-6D0DBAE43617}" name="Year 1" dataDxfId="50"/>
    <tableColumn id="3" xr3:uid="{98C895DF-22B2-4420-82FD-F268DDDB2F77}" name="Year 2" dataDxfId="49"/>
    <tableColumn id="4" xr3:uid="{70CD394F-CE8D-49A7-8E15-E6992DADABCA}" name="Year 3" dataDxfId="48"/>
    <tableColumn id="5" xr3:uid="{71C680DA-349A-464D-AFAE-C83D1E599F92}" name="Year 4" dataDxfId="47"/>
    <tableColumn id="6" xr3:uid="{8F5D3EED-E28D-4619-AF99-980B35E978BC}" name="Year 5" dataDxfId="46"/>
    <tableColumn id="7" xr3:uid="{A082F83B-818D-4DBC-B738-2342004AC06D}" name="Year 6" dataDxfId="45"/>
    <tableColumn id="8" xr3:uid="{AA761C20-90D6-4D22-933F-902138E0F3C1}" name="Year 7" dataDxfId="44"/>
    <tableColumn id="9" xr3:uid="{56886B29-655A-4785-800F-53DB358A0971}" name="Year 8" dataDxfId="43"/>
    <tableColumn id="10" xr3:uid="{FC059690-B9D6-4766-917B-C61E5EE638BA}" name="Year 9" dataDxfId="42"/>
    <tableColumn id="11" xr3:uid="{C094A1FF-A900-465D-B3EB-341AAA89C55B}" name="Year 10" dataDxfId="41"/>
    <tableColumn id="12" xr3:uid="{D16607ED-D133-4464-B642-8A430DEF6FC3}" name="Year 11" dataDxfId="40"/>
    <tableColumn id="13" xr3:uid="{8970EC9D-71CF-44E9-AB78-C3742547C47C}" name="Year 12" dataDxfId="39"/>
    <tableColumn id="14" xr3:uid="{84A834CA-70FD-4C82-A4B4-71CC5643BB92}" name="Year 13" dataDxfId="38"/>
    <tableColumn id="15" xr3:uid="{768E386E-0F05-4EF3-A1C1-8DB4ABE89644}" name="Year 14" dataDxfId="37"/>
    <tableColumn id="16" xr3:uid="{E855C8FF-188D-4DFC-AF76-1C203AC18574}" name="Year 15" dataDxfId="36"/>
    <tableColumn id="17" xr3:uid="{075593DA-8DA9-4AE0-8000-9A14AF5BDA8E}" name="Year 16" dataDxfId="35"/>
    <tableColumn id="18" xr3:uid="{71AF11AD-68A4-4132-87CD-DCB4192BCA70}" name="Year 17" dataDxfId="34"/>
    <tableColumn id="19" xr3:uid="{0B3F6185-4BF1-413A-9BA9-4CD667C901CF}" name="Year 18" dataDxfId="33"/>
    <tableColumn id="20" xr3:uid="{8EEFF7E1-E345-4D64-9420-D74B976AA8EF}" name="Year 19" dataDxfId="32"/>
    <tableColumn id="21" xr3:uid="{05036233-99DF-4423-9A68-84C366DA0149}" name="Year 20" dataDxfId="31"/>
    <tableColumn id="22" xr3:uid="{60493029-3C73-461F-A635-6D91D7776E8D}" name="Year 21" dataDxfId="30"/>
    <tableColumn id="23" xr3:uid="{93511093-2212-46AE-9D99-9E896C6B40CC}" name="Year 22" dataDxfId="29"/>
    <tableColumn id="24" xr3:uid="{126C8D0C-EB6F-4BFC-8F32-4D2EA5328C37}" name="Year 23" dataDxfId="28"/>
    <tableColumn id="25" xr3:uid="{85E3F513-B6FF-4F79-9E1F-8072C27825ED}" name="Year 24" dataDxfId="27"/>
    <tableColumn id="26" xr3:uid="{73EE4EA9-B716-459F-A437-7F3DE3DD0FF8}" name="Year 25" dataDxfId="26"/>
    <tableColumn id="27" xr3:uid="{2F10B51C-A64B-4F11-BFED-2040F20945E4}" name="Year 26" dataDxfId="25"/>
    <tableColumn id="28" xr3:uid="{2D1BA2A9-1584-4F61-9FAB-18C0ADBCC35C}" name="Year 27" dataDxfId="24"/>
    <tableColumn id="29" xr3:uid="{8F6A7832-F2B9-4A79-9B39-98B9B86C039B}" name="Year 28" dataDxfId="23"/>
    <tableColumn id="30" xr3:uid="{E9D9BF25-0451-418F-BB68-9BAD9C23B162}" name="Year 29" dataDxfId="22"/>
    <tableColumn id="31" xr3:uid="{8E906267-6D09-4772-B3A5-C8FFA0E8B711}" name="Year 30" dataDxfId="21"/>
    <tableColumn id="32" xr3:uid="{C843CC95-80F1-4993-83EC-4A02135BD022}" name="Year 31" dataDxfId="20"/>
    <tableColumn id="33" xr3:uid="{4AC693B0-CA03-4471-AFDB-BD1E70D97049}" name="Year 32" dataDxfId="19"/>
    <tableColumn id="34" xr3:uid="{FAC22ACB-8A64-4B5B-ACD2-86F3AE5336E7}" name="Year 33" dataDxfId="18"/>
    <tableColumn id="35" xr3:uid="{A6F7A368-F010-4997-99A7-270068FDF4A7}" name="Year 34" dataDxfId="17"/>
    <tableColumn id="36" xr3:uid="{B9826CCA-3B13-4C8C-A0D9-E12F603F80B9}" name="Year 35" dataDxfId="16"/>
    <tableColumn id="37" xr3:uid="{1660424A-1473-4EBE-A7D4-D652FB6E5B3B}" name="Year 36" dataDxfId="15"/>
    <tableColumn id="38" xr3:uid="{8C497CD6-CDA0-4478-903D-0BD688FE8493}" name="Year 37" dataDxfId="14"/>
    <tableColumn id="39" xr3:uid="{BA99B4CA-9561-4D7F-934F-0BD2413B5EAD}" name="Year 38" dataDxfId="13"/>
    <tableColumn id="40" xr3:uid="{AADEC749-D52C-4D9D-ADFB-72E058937DD5}" name="Year 39" dataDxfId="12"/>
    <tableColumn id="41" xr3:uid="{ECEF5299-C1D2-4C46-903A-FB33626CEE41}" name="Year 40" dataDxfId="11"/>
    <tableColumn id="42" xr3:uid="{AE86B778-E783-4371-8507-75234727CC87}" name="Year 41" dataDxfId="10"/>
    <tableColumn id="43" xr3:uid="{83E19B22-DD34-4064-8CF9-5797CD696A8A}" name="Year 42" dataDxfId="9"/>
    <tableColumn id="44" xr3:uid="{4D749994-05E7-40E6-8BA2-F52ABB0293FC}" name="Year 43" dataDxfId="8"/>
    <tableColumn id="45" xr3:uid="{9F37C39C-F64E-411F-BEEA-4FC4E13AAE1F}" name="Year 44" dataDxfId="7"/>
    <tableColumn id="46" xr3:uid="{F9C8C046-36E7-4921-97ED-334EAF04DE8D}" name="Year 45" dataDxfId="6"/>
    <tableColumn id="47" xr3:uid="{AEB96A68-E2B8-40A4-AE00-5A60CFD7A11C}" name="Year 46" dataDxfId="5"/>
    <tableColumn id="48" xr3:uid="{C7FAD0CE-FF76-4974-A925-FBC59AA27ABD}" name="Year 47" dataDxfId="4"/>
    <tableColumn id="49" xr3:uid="{5F525F93-B03C-4CCA-9B1A-00223534F86D}" name="Year 48" dataDxfId="3"/>
    <tableColumn id="50" xr3:uid="{C7C3ED46-0139-489B-96AA-F827697B2E61}" name="Year 49" dataDxfId="2"/>
    <tableColumn id="51" xr3:uid="{7410C64D-F956-4817-9582-9C69C77197FF}" name="Year 50" dataDxfId="1"/>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ustom 12">
      <a:majorFont>
        <a:latin typeface="Segoe UI Black"/>
        <a:ea typeface=""/>
        <a:cs typeface=""/>
      </a:majorFont>
      <a:minorFont>
        <a:latin typeface="Segoe U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extension.missouri.edu/publications/g739"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349FD-4006-41E9-841A-0EBD3D9468FB}">
  <dimension ref="A1:Y84"/>
  <sheetViews>
    <sheetView workbookViewId="0"/>
  </sheetViews>
  <sheetFormatPr defaultColWidth="0" defaultRowHeight="16.5" zeroHeight="1" x14ac:dyDescent="0.45"/>
  <cols>
    <col min="1" max="1" width="2.5" style="1" customWidth="1"/>
    <col min="2" max="2" width="42.83203125" style="1" customWidth="1"/>
    <col min="3" max="3" width="11.75" style="2" customWidth="1"/>
    <col min="4" max="4" width="11.83203125" style="2" customWidth="1"/>
    <col min="5" max="5" width="9.58203125" style="2" customWidth="1"/>
    <col min="6" max="6" width="4.83203125" style="1" customWidth="1"/>
    <col min="7" max="7" width="35.25" style="1" customWidth="1"/>
    <col min="8" max="8" width="15.58203125" style="1" customWidth="1"/>
    <col min="9" max="10" width="13" style="1" customWidth="1"/>
    <col min="11" max="11" width="16.75" style="1" customWidth="1"/>
    <col min="12" max="12" width="11.83203125" style="1" customWidth="1"/>
    <col min="13" max="13" width="10.58203125" style="1" customWidth="1"/>
    <col min="14" max="14" width="8.83203125" style="1" customWidth="1"/>
    <col min="15" max="15" width="10.58203125" style="1" customWidth="1"/>
    <col min="16" max="16" width="14.58203125" style="1" customWidth="1"/>
    <col min="17" max="19" width="8.08203125" style="1" hidden="1" customWidth="1"/>
    <col min="20" max="24" width="9" style="1" hidden="1" customWidth="1"/>
    <col min="25" max="25" width="21.33203125" style="1" hidden="1" customWidth="1"/>
    <col min="26" max="16384" width="9" style="1" hidden="1"/>
  </cols>
  <sheetData>
    <row r="1" spans="2:23" ht="17" thickBot="1" x14ac:dyDescent="0.5"/>
    <row r="2" spans="2:23" ht="21" x14ac:dyDescent="0.55000000000000004">
      <c r="B2" s="395" t="s">
        <v>68</v>
      </c>
      <c r="C2" s="396"/>
      <c r="D2" s="396"/>
      <c r="E2" s="397"/>
    </row>
    <row r="3" spans="2:23" ht="16.5" customHeight="1" x14ac:dyDescent="0.45">
      <c r="B3" s="66"/>
      <c r="E3" s="67"/>
      <c r="G3" s="55" t="s">
        <v>25</v>
      </c>
      <c r="H3" s="22"/>
      <c r="I3" s="22"/>
      <c r="K3" s="22" t="s">
        <v>71</v>
      </c>
      <c r="L3" s="22"/>
      <c r="M3" s="22"/>
      <c r="N3" s="22"/>
      <c r="O3" s="22"/>
      <c r="P3" s="22"/>
    </row>
    <row r="4" spans="2:23" ht="16.5" customHeight="1" x14ac:dyDescent="0.45">
      <c r="B4" s="66"/>
      <c r="C4" s="43" t="s">
        <v>44</v>
      </c>
      <c r="D4" s="42" t="s">
        <v>43</v>
      </c>
      <c r="E4" s="68" t="s">
        <v>56</v>
      </c>
      <c r="G4" s="34" t="s">
        <v>64</v>
      </c>
      <c r="H4" s="34" t="s">
        <v>0</v>
      </c>
      <c r="I4" s="40" t="s">
        <v>1</v>
      </c>
      <c r="K4" s="86" t="s">
        <v>52</v>
      </c>
      <c r="L4" s="86"/>
      <c r="M4" s="40" t="s">
        <v>51</v>
      </c>
      <c r="N4" s="40" t="s">
        <v>43</v>
      </c>
      <c r="O4" s="48" t="s">
        <v>54</v>
      </c>
      <c r="P4" s="48" t="s">
        <v>55</v>
      </c>
      <c r="Q4" s="40"/>
      <c r="R4" s="40"/>
      <c r="S4" s="40"/>
      <c r="T4" s="40"/>
      <c r="U4" s="7"/>
      <c r="V4" s="6"/>
      <c r="W4" s="6"/>
    </row>
    <row r="5" spans="2:23" ht="16.5" customHeight="1" x14ac:dyDescent="0.45">
      <c r="B5" s="69" t="s">
        <v>5</v>
      </c>
      <c r="C5" s="62"/>
      <c r="D5" s="62"/>
      <c r="E5" s="70"/>
      <c r="G5" s="1" t="s">
        <v>7</v>
      </c>
      <c r="H5" s="50" t="s">
        <v>10</v>
      </c>
      <c r="I5" s="20">
        <v>1</v>
      </c>
      <c r="K5" s="398" t="s">
        <v>103</v>
      </c>
      <c r="L5" s="398"/>
      <c r="M5" s="77">
        <v>50000</v>
      </c>
      <c r="N5" s="87">
        <f>M5/'Leafy greens (DWC) (2)'!$I$8</f>
        <v>17.755681818181817</v>
      </c>
      <c r="O5" s="15">
        <v>15</v>
      </c>
      <c r="P5" s="88">
        <v>0</v>
      </c>
      <c r="Q5" s="91"/>
      <c r="R5" s="10"/>
      <c r="U5" s="8"/>
      <c r="V5" s="6"/>
      <c r="W5" s="6"/>
    </row>
    <row r="6" spans="2:23" ht="16.5" customHeight="1" x14ac:dyDescent="0.45">
      <c r="B6" s="71" t="s">
        <v>28</v>
      </c>
      <c r="C6" s="72">
        <f>I16*I17*I14</f>
        <v>102389.84236799998</v>
      </c>
      <c r="D6" s="65">
        <f>C6/$I$8</f>
        <v>36.360029249999997</v>
      </c>
      <c r="E6" s="73">
        <f>C6/$C$8</f>
        <v>1</v>
      </c>
      <c r="G6" s="1" t="s">
        <v>8</v>
      </c>
      <c r="H6" s="50" t="s">
        <v>11</v>
      </c>
      <c r="I6" s="20">
        <v>22</v>
      </c>
      <c r="K6" s="398" t="s">
        <v>104</v>
      </c>
      <c r="L6" s="398"/>
      <c r="M6" s="77">
        <v>30000</v>
      </c>
      <c r="N6" s="87">
        <f>M6/'Leafy greens (DWC) (2)'!$I$8</f>
        <v>10.653409090909092</v>
      </c>
      <c r="O6" s="15">
        <v>15</v>
      </c>
      <c r="P6" s="88">
        <v>0</v>
      </c>
      <c r="Q6" s="91"/>
      <c r="R6" s="10"/>
      <c r="U6" s="4"/>
      <c r="V6" s="4"/>
      <c r="W6" s="4"/>
    </row>
    <row r="7" spans="2:23" ht="16.5" customHeight="1" x14ac:dyDescent="0.45">
      <c r="B7" s="71" t="s">
        <v>67</v>
      </c>
      <c r="C7" s="61">
        <v>0</v>
      </c>
      <c r="D7" s="57">
        <f>C7/$I$8</f>
        <v>0</v>
      </c>
      <c r="E7" s="74">
        <f>C7/$C$8</f>
        <v>0</v>
      </c>
      <c r="G7" s="1" t="s">
        <v>9</v>
      </c>
      <c r="H7" s="50" t="s">
        <v>11</v>
      </c>
      <c r="I7" s="20">
        <v>128</v>
      </c>
      <c r="K7" s="398" t="s">
        <v>105</v>
      </c>
      <c r="L7" s="398"/>
      <c r="M7" s="77">
        <v>25000</v>
      </c>
      <c r="N7" s="87">
        <f>M7/'Leafy greens (DWC) (2)'!$I$8</f>
        <v>8.8778409090909083</v>
      </c>
      <c r="O7" s="15">
        <v>10</v>
      </c>
      <c r="P7" s="88">
        <v>0</v>
      </c>
      <c r="Q7" s="91"/>
      <c r="R7" s="10"/>
      <c r="U7" s="4"/>
      <c r="V7" s="4"/>
      <c r="W7" s="4"/>
    </row>
    <row r="8" spans="2:23" ht="16.5" customHeight="1" x14ac:dyDescent="0.45">
      <c r="B8" s="75" t="s">
        <v>6</v>
      </c>
      <c r="C8" s="72">
        <f>SUM(C6:C7)</f>
        <v>102389.84236799998</v>
      </c>
      <c r="D8" s="65">
        <f>SUM(D6:D7)</f>
        <v>36.360029249999997</v>
      </c>
      <c r="E8" s="73">
        <f>SUM(E6:E7)</f>
        <v>1</v>
      </c>
      <c r="G8" s="1" t="s">
        <v>12</v>
      </c>
      <c r="H8" s="50" t="s">
        <v>30</v>
      </c>
      <c r="I8" s="21">
        <f>I5*I6*I7</f>
        <v>2816</v>
      </c>
      <c r="K8" s="398" t="s">
        <v>106</v>
      </c>
      <c r="L8" s="398"/>
      <c r="M8" s="77">
        <v>10000</v>
      </c>
      <c r="N8" s="87">
        <f>M8/'Leafy greens (DWC) (2)'!$I$8</f>
        <v>3.5511363636363638</v>
      </c>
      <c r="O8" s="15">
        <v>10</v>
      </c>
      <c r="P8" s="88">
        <v>0</v>
      </c>
      <c r="T8" s="4"/>
      <c r="U8" s="4"/>
      <c r="V8" s="4"/>
      <c r="W8" s="4"/>
    </row>
    <row r="9" spans="2:23" ht="16.5" customHeight="1" x14ac:dyDescent="0.45">
      <c r="B9" s="76"/>
      <c r="C9" s="72"/>
      <c r="D9" s="65"/>
      <c r="E9" s="67"/>
      <c r="G9" s="1" t="s">
        <v>13</v>
      </c>
      <c r="H9" s="50" t="s">
        <v>14</v>
      </c>
      <c r="I9" s="23">
        <v>0.85</v>
      </c>
      <c r="K9" s="14" t="s">
        <v>51</v>
      </c>
      <c r="L9" s="14"/>
      <c r="M9" s="72">
        <f>SUM(M5:M8)</f>
        <v>115000</v>
      </c>
      <c r="N9" s="87">
        <f>SUM(N5:N8)</f>
        <v>40.83806818181818</v>
      </c>
      <c r="R9" s="14"/>
      <c r="S9" s="14"/>
      <c r="T9" s="4"/>
      <c r="U9" s="4"/>
      <c r="V9" s="4"/>
      <c r="W9" s="4"/>
    </row>
    <row r="10" spans="2:23" ht="16.5" customHeight="1" x14ac:dyDescent="0.45">
      <c r="B10" s="69" t="s">
        <v>19</v>
      </c>
      <c r="C10" s="63"/>
      <c r="D10" s="64"/>
      <c r="E10" s="70"/>
      <c r="G10" s="22" t="s">
        <v>26</v>
      </c>
      <c r="H10" s="51" t="s">
        <v>30</v>
      </c>
      <c r="I10" s="36">
        <f>I8*I9</f>
        <v>2393.6</v>
      </c>
      <c r="R10" s="14"/>
      <c r="S10" s="14"/>
      <c r="T10" s="4"/>
      <c r="U10" s="4"/>
      <c r="V10" s="4"/>
      <c r="W10" s="4"/>
    </row>
    <row r="11" spans="2:23" ht="16.5" customHeight="1" x14ac:dyDescent="0.45">
      <c r="B11" s="71" t="s">
        <v>69</v>
      </c>
      <c r="C11" s="72">
        <f>I30*J30*K30</f>
        <v>24700</v>
      </c>
      <c r="D11" s="65">
        <f t="shared" ref="D11:D19" si="0">C11/$I$8</f>
        <v>8.7713068181818183</v>
      </c>
      <c r="E11" s="73">
        <f t="shared" ref="E11:E19" si="1">C11/$C$28</f>
        <v>0.31291403804729501</v>
      </c>
      <c r="I11" s="19"/>
      <c r="L11" s="14" t="s">
        <v>72</v>
      </c>
      <c r="M11" s="49">
        <v>0.02</v>
      </c>
      <c r="U11" s="4"/>
      <c r="V11" s="4"/>
      <c r="W11" s="4"/>
    </row>
    <row r="12" spans="2:23" ht="16.5" customHeight="1" x14ac:dyDescent="0.45">
      <c r="B12" s="71" t="s">
        <v>20</v>
      </c>
      <c r="C12" s="72">
        <f>SUM(K34:K42)</f>
        <v>8529.65</v>
      </c>
      <c r="D12" s="65">
        <f t="shared" si="0"/>
        <v>3.0289950284090907</v>
      </c>
      <c r="E12" s="73">
        <f t="shared" si="1"/>
        <v>0.10805859209028784</v>
      </c>
      <c r="F12" s="14"/>
      <c r="G12" s="55" t="s">
        <v>97</v>
      </c>
      <c r="H12" s="22"/>
      <c r="I12" s="32"/>
      <c r="L12" s="14" t="s">
        <v>73</v>
      </c>
      <c r="M12" s="49">
        <v>0.09</v>
      </c>
      <c r="U12" s="4"/>
      <c r="V12" s="4"/>
      <c r="W12" s="4"/>
    </row>
    <row r="13" spans="2:23" ht="16.5" customHeight="1" x14ac:dyDescent="0.45">
      <c r="B13" s="71" t="s">
        <v>95</v>
      </c>
      <c r="C13" s="72">
        <f>SUM(K46:K50)</f>
        <v>10522.8</v>
      </c>
      <c r="D13" s="65">
        <f t="shared" si="0"/>
        <v>3.7367897727272723</v>
      </c>
      <c r="E13" s="73">
        <f t="shared" si="1"/>
        <v>0.13330898135886945</v>
      </c>
      <c r="F13" s="14"/>
      <c r="G13" s="34" t="s">
        <v>64</v>
      </c>
      <c r="H13" s="34" t="s">
        <v>0</v>
      </c>
      <c r="I13" s="40" t="s">
        <v>1</v>
      </c>
      <c r="L13" s="14" t="s">
        <v>74</v>
      </c>
      <c r="M13" s="49">
        <v>2.5000000000000001E-3</v>
      </c>
      <c r="U13" s="4"/>
      <c r="V13" s="4"/>
      <c r="W13" s="4"/>
    </row>
    <row r="14" spans="2:23" ht="16.5" customHeight="1" x14ac:dyDescent="0.45">
      <c r="B14" s="71" t="s">
        <v>21</v>
      </c>
      <c r="C14" s="72">
        <f>SUM(K22:K26)</f>
        <v>9420.56</v>
      </c>
      <c r="D14" s="65">
        <f t="shared" si="0"/>
        <v>3.345369318181818</v>
      </c>
      <c r="E14" s="73">
        <f t="shared" si="1"/>
        <v>0.11934516073954758</v>
      </c>
      <c r="F14" s="14"/>
      <c r="G14" s="18" t="s">
        <v>63</v>
      </c>
      <c r="H14" s="50" t="s">
        <v>65</v>
      </c>
      <c r="I14" s="59">
        <v>1.5</v>
      </c>
      <c r="K14" s="22"/>
      <c r="L14" s="56" t="s">
        <v>75</v>
      </c>
      <c r="M14" s="60">
        <v>0.01</v>
      </c>
      <c r="N14" s="22"/>
      <c r="O14" s="22"/>
      <c r="P14" s="22"/>
      <c r="U14" s="4"/>
      <c r="V14" s="4"/>
      <c r="W14" s="4"/>
    </row>
    <row r="15" spans="2:23" ht="16.5" customHeight="1" x14ac:dyDescent="0.45">
      <c r="B15" s="71" t="s">
        <v>53</v>
      </c>
      <c r="C15" s="72">
        <f>M9*M11</f>
        <v>2300</v>
      </c>
      <c r="D15" s="65">
        <f t="shared" si="0"/>
        <v>0.81676136363636365</v>
      </c>
      <c r="E15" s="73">
        <f t="shared" si="1"/>
        <v>2.9137744433553783E-2</v>
      </c>
      <c r="F15" s="14"/>
      <c r="G15" s="18" t="s">
        <v>61</v>
      </c>
      <c r="H15" s="50" t="s">
        <v>29</v>
      </c>
      <c r="I15" s="31">
        <v>30.018599999999999</v>
      </c>
      <c r="K15" s="50"/>
      <c r="L15" s="50"/>
      <c r="M15" s="30"/>
      <c r="N15" s="18"/>
      <c r="O15" s="50"/>
      <c r="P15" s="30"/>
      <c r="T15" s="4"/>
      <c r="U15" s="4"/>
      <c r="V15" s="4"/>
    </row>
    <row r="16" spans="2:23" ht="16.5" customHeight="1" x14ac:dyDescent="0.45">
      <c r="B16" s="71" t="s">
        <v>24</v>
      </c>
      <c r="C16" s="97">
        <f>I18*C8</f>
        <v>5119.4921183999995</v>
      </c>
      <c r="D16" s="65">
        <f t="shared" si="0"/>
        <v>1.8180014624999998</v>
      </c>
      <c r="E16" s="73">
        <f t="shared" si="1"/>
        <v>6.4856718685013942E-2</v>
      </c>
      <c r="F16" s="14"/>
      <c r="G16" s="18" t="s">
        <v>61</v>
      </c>
      <c r="H16" s="50" t="s">
        <v>48</v>
      </c>
      <c r="I16" s="30">
        <f>I15*I10*I5</f>
        <v>71852.520959999994</v>
      </c>
      <c r="T16" s="4" t="str">
        <f>IF(ISBLANK($B48),"",VLOOKUP($B48,#REF!,13,FALSE))</f>
        <v/>
      </c>
      <c r="U16" s="4" t="str">
        <f t="shared" ref="U16:U20" si="2">IF(ISNUMBER(V16-T17),V16-T17,"")</f>
        <v/>
      </c>
      <c r="V16" s="4" t="str">
        <f>IF(ISBLANK($B49),"",VLOOKUP($B49,#REF!,12,FALSE))</f>
        <v/>
      </c>
    </row>
    <row r="17" spans="2:22" ht="16.5" customHeight="1" x14ac:dyDescent="0.45">
      <c r="B17" s="71" t="s">
        <v>23</v>
      </c>
      <c r="C17" s="77">
        <v>1000</v>
      </c>
      <c r="D17" s="65">
        <f t="shared" si="0"/>
        <v>0.35511363636363635</v>
      </c>
      <c r="E17" s="73">
        <f t="shared" si="1"/>
        <v>1.2668584536327732E-2</v>
      </c>
      <c r="F17" s="14"/>
      <c r="G17" s="18" t="s">
        <v>60</v>
      </c>
      <c r="H17" s="50" t="s">
        <v>96</v>
      </c>
      <c r="I17" s="23">
        <v>0.95</v>
      </c>
      <c r="Q17" s="16"/>
      <c r="T17" s="4" t="str">
        <f>IF(ISBLANK($B49),"",VLOOKUP($B49,#REF!,13,FALSE))</f>
        <v/>
      </c>
      <c r="U17" s="4" t="str">
        <f t="shared" si="2"/>
        <v/>
      </c>
      <c r="V17" s="4" t="str">
        <f>IF(ISBLANK($B50),"",VLOOKUP($B50,#REF!,12,FALSE))</f>
        <v/>
      </c>
    </row>
    <row r="18" spans="2:22" ht="16.5" customHeight="1" x14ac:dyDescent="0.45">
      <c r="B18" s="71" t="s">
        <v>38</v>
      </c>
      <c r="C18" s="77">
        <v>500</v>
      </c>
      <c r="D18" s="65">
        <f t="shared" si="0"/>
        <v>0.17755681818181818</v>
      </c>
      <c r="E18" s="73">
        <f t="shared" si="1"/>
        <v>6.3342922681638662E-3</v>
      </c>
      <c r="G18" s="53" t="s">
        <v>24</v>
      </c>
      <c r="H18" s="51" t="s">
        <v>98</v>
      </c>
      <c r="I18" s="35">
        <v>0.05</v>
      </c>
      <c r="T18" s="4" t="str">
        <f>IF(ISBLANK($B50),"",VLOOKUP($B50,#REF!,13,FALSE))</f>
        <v/>
      </c>
      <c r="U18" s="4" t="str">
        <f t="shared" si="2"/>
        <v/>
      </c>
      <c r="V18" s="4" t="str">
        <f>IF(ISBLANK($B51),"",VLOOKUP($B51,#REF!,12,FALSE))</f>
        <v/>
      </c>
    </row>
    <row r="19" spans="2:22" ht="16.5" customHeight="1" x14ac:dyDescent="0.45">
      <c r="B19" s="71" t="s">
        <v>70</v>
      </c>
      <c r="C19" s="93">
        <f>SUM(C11:C18)*M12*0.25</f>
        <v>1397.0812976639997</v>
      </c>
      <c r="D19" s="57">
        <f t="shared" si="0"/>
        <v>0.49612261990909085</v>
      </c>
      <c r="E19" s="74">
        <f t="shared" si="1"/>
        <v>1.7699042523578828E-2</v>
      </c>
      <c r="F19" s="14"/>
      <c r="T19" s="4" t="str">
        <f>IF(ISBLANK($B51),"",VLOOKUP($B51,#REF!,13,FALSE))</f>
        <v/>
      </c>
      <c r="U19" s="4" t="str">
        <f t="shared" si="2"/>
        <v/>
      </c>
      <c r="V19" s="4" t="str">
        <f>IF(ISBLANK($B52),"",VLOOKUP($B52,#REF!,12,FALSE))</f>
        <v/>
      </c>
    </row>
    <row r="20" spans="2:22" ht="16.5" customHeight="1" x14ac:dyDescent="0.45">
      <c r="B20" s="75" t="s">
        <v>34</v>
      </c>
      <c r="C20" s="72">
        <f>SUM(C11:C19)</f>
        <v>63489.583416063993</v>
      </c>
      <c r="D20" s="65">
        <f>SUM(D11:D19)</f>
        <v>22.546016838090907</v>
      </c>
      <c r="E20" s="73">
        <f>SUM(E11:E19)</f>
        <v>0.80432315468263793</v>
      </c>
      <c r="F20" s="14"/>
      <c r="G20" s="55" t="s">
        <v>92</v>
      </c>
      <c r="H20" s="22"/>
      <c r="I20" s="22"/>
      <c r="J20" s="22"/>
      <c r="K20" s="22"/>
      <c r="T20" s="4" t="str">
        <f>IF(ISBLANK($B52),"",VLOOKUP($B52,#REF!,13,FALSE))</f>
        <v/>
      </c>
      <c r="U20" s="4" t="str">
        <f t="shared" si="2"/>
        <v/>
      </c>
      <c r="V20" s="4" t="str">
        <f>IF(ISBLANK($B53),"",VLOOKUP($B53,#REF!,12,FALSE))</f>
        <v/>
      </c>
    </row>
    <row r="21" spans="2:22" ht="16.5" customHeight="1" x14ac:dyDescent="0.45">
      <c r="B21" s="76"/>
      <c r="C21" s="72"/>
      <c r="D21" s="65"/>
      <c r="E21" s="67"/>
      <c r="F21" s="14"/>
      <c r="G21" s="34" t="s">
        <v>47</v>
      </c>
      <c r="H21" s="34" t="s">
        <v>0</v>
      </c>
      <c r="I21" s="40" t="s">
        <v>1</v>
      </c>
      <c r="J21" s="40" t="s">
        <v>17</v>
      </c>
      <c r="K21" s="40" t="s">
        <v>15</v>
      </c>
      <c r="N21" s="16"/>
      <c r="O21" s="16"/>
      <c r="P21" s="16"/>
      <c r="T21" s="4" t="str">
        <f>IF(ISBLANK($B53),"",VLOOKUP($B53,#REF!,13,FALSE))</f>
        <v/>
      </c>
      <c r="U21" s="4" t="str">
        <f>IF(ISNUMBER(V21-T23),V21-T23,"")</f>
        <v/>
      </c>
      <c r="V21" s="4" t="str">
        <f>IF(ISBLANK($B54),"",VLOOKUP($B54,#REF!,12,FALSE))</f>
        <v/>
      </c>
    </row>
    <row r="22" spans="2:22" ht="16.5" customHeight="1" x14ac:dyDescent="0.45">
      <c r="B22" s="69" t="s">
        <v>4</v>
      </c>
      <c r="C22" s="63"/>
      <c r="D22" s="64"/>
      <c r="E22" s="70"/>
      <c r="F22" s="14"/>
      <c r="G22" s="1" t="s">
        <v>16</v>
      </c>
      <c r="H22" s="50" t="s">
        <v>59</v>
      </c>
      <c r="I22" s="29">
        <v>110</v>
      </c>
      <c r="J22" s="59">
        <v>16</v>
      </c>
      <c r="K22" s="44">
        <f>I22*J22</f>
        <v>1760</v>
      </c>
      <c r="N22" s="16"/>
      <c r="O22" s="16"/>
      <c r="T22" s="4"/>
      <c r="U22" s="4" t="str">
        <f>IF(ISNUMBER(V22-T24),V22-T24,"")</f>
        <v/>
      </c>
      <c r="V22" s="4" t="str">
        <f>IF(ISBLANK($B55),"",VLOOKUP($B55,#REF!,12,FALSE))</f>
        <v/>
      </c>
    </row>
    <row r="23" spans="2:22" ht="16.5" customHeight="1" x14ac:dyDescent="0.45">
      <c r="B23" s="76" t="s">
        <v>76</v>
      </c>
      <c r="C23" s="100">
        <f>(M5-(M5*P5))/O5+(M6-(M6*P6))/O6+(M7-(M7*P7))/O7+(M8-(M8*P8))/O8</f>
        <v>8833.3333333333339</v>
      </c>
      <c r="D23" s="65">
        <f>C23/$I$8</f>
        <v>3.1368371212121215</v>
      </c>
      <c r="E23" s="73">
        <f>C23/$C$28</f>
        <v>0.11190583007089498</v>
      </c>
      <c r="F23" s="14"/>
      <c r="G23" s="1" t="s">
        <v>57</v>
      </c>
      <c r="H23" s="50" t="s">
        <v>58</v>
      </c>
      <c r="I23" s="29">
        <v>0</v>
      </c>
      <c r="J23" s="59">
        <v>0</v>
      </c>
      <c r="K23" s="44">
        <f>I23*J23</f>
        <v>0</v>
      </c>
      <c r="N23" s="16"/>
      <c r="O23" s="16"/>
      <c r="T23" s="4" t="str">
        <f>IF(ISBLANK($B54),"",VLOOKUP($B54,#REF!,13,FALSE))</f>
        <v/>
      </c>
      <c r="U23" s="4" t="str">
        <f>IF(ISNUMBER(V23-T25),V23-T25,"")</f>
        <v/>
      </c>
      <c r="V23" s="4" t="str">
        <f>IF(ISBLANK($B56),"",VLOOKUP($B56,#REF!,12,FALSE))</f>
        <v/>
      </c>
    </row>
    <row r="24" spans="2:22" ht="16.5" customHeight="1" x14ac:dyDescent="0.45">
      <c r="B24" s="76" t="s">
        <v>77</v>
      </c>
      <c r="C24" s="100">
        <f>(M5+(M5*P5)+M6+(M6*P6)+M7+(M7*P7)+M8+(P8*M8))/2*M12</f>
        <v>5175</v>
      </c>
      <c r="D24" s="65">
        <f>C24/$I$8</f>
        <v>1.8377130681818181</v>
      </c>
      <c r="E24" s="73">
        <f>C24/$C$28</f>
        <v>6.5559924975496009E-2</v>
      </c>
      <c r="F24" s="14"/>
      <c r="G24" s="28" t="s">
        <v>62</v>
      </c>
      <c r="H24" s="50" t="s">
        <v>18</v>
      </c>
      <c r="I24" s="29">
        <v>43338</v>
      </c>
      <c r="J24" s="59">
        <v>0.12</v>
      </c>
      <c r="K24" s="44">
        <f>I24*J24</f>
        <v>5200.5599999999995</v>
      </c>
      <c r="N24" s="17"/>
      <c r="O24" s="17"/>
      <c r="T24" s="4" t="str">
        <f>IF(ISBLANK($B55),"",VLOOKUP($B55,#REF!,13,FALSE))</f>
        <v/>
      </c>
      <c r="U24" s="4" t="str">
        <f>IF(ISNUMBER(V24-T26),V24-T26,"")</f>
        <v/>
      </c>
      <c r="V24" s="4" t="str">
        <f>IF(ISBLANK($B57),"",VLOOKUP($B57,#REF!,12,FALSE))</f>
        <v/>
      </c>
    </row>
    <row r="25" spans="2:22" ht="16.5" customHeight="1" x14ac:dyDescent="0.45">
      <c r="B25" s="76" t="s">
        <v>80</v>
      </c>
      <c r="C25" s="58">
        <f>(M14+M13)*M9</f>
        <v>1437.5</v>
      </c>
      <c r="D25" s="57">
        <f>C25/$I$8</f>
        <v>0.51047585227272729</v>
      </c>
      <c r="E25" s="74">
        <f>C25/$C$28</f>
        <v>1.8211090270971116E-2</v>
      </c>
      <c r="G25" s="28" t="s">
        <v>79</v>
      </c>
      <c r="H25" s="50" t="s">
        <v>31</v>
      </c>
      <c r="I25" s="29">
        <v>12</v>
      </c>
      <c r="J25" s="59">
        <v>80</v>
      </c>
      <c r="K25" s="44">
        <f>I25*J25</f>
        <v>960</v>
      </c>
      <c r="N25" s="17"/>
      <c r="T25" s="4" t="str">
        <f>IF(ISBLANK($B56),"",VLOOKUP($B56,#REF!,13,FALSE))</f>
        <v/>
      </c>
      <c r="U25" s="4" t="str">
        <f>IF(ISNUMBER(V25-S27),V25-S27,"")</f>
        <v/>
      </c>
      <c r="V25" s="4" t="str">
        <f>IF(ISBLANK($B58),"",VLOOKUP($B58,#REF!,12,FALSE))</f>
        <v/>
      </c>
    </row>
    <row r="26" spans="2:22" ht="16.5" customHeight="1" x14ac:dyDescent="0.45">
      <c r="B26" s="75" t="s">
        <v>35</v>
      </c>
      <c r="C26" s="72">
        <f>SUM(C23:C25)</f>
        <v>15445.833333333334</v>
      </c>
      <c r="D26" s="65">
        <f>SUM(D23:D25)</f>
        <v>5.485026041666667</v>
      </c>
      <c r="E26" s="73">
        <f>SUM(E23:E25)</f>
        <v>0.19567684531736212</v>
      </c>
      <c r="G26" s="37" t="s">
        <v>22</v>
      </c>
      <c r="H26" s="51" t="s">
        <v>31</v>
      </c>
      <c r="I26" s="41">
        <v>12</v>
      </c>
      <c r="J26" s="89">
        <v>125</v>
      </c>
      <c r="K26" s="45">
        <f>I26*J26</f>
        <v>1500</v>
      </c>
      <c r="T26" s="4" t="str">
        <f>IF(ISBLANK($B57),"",VLOOKUP($B57,#REF!,13,FALSE))</f>
        <v/>
      </c>
      <c r="U26" s="4" t="str">
        <f>IF(ISNUMBER(V26-S28),V26-S28,"")</f>
        <v/>
      </c>
      <c r="V26" s="4" t="str">
        <f>IF(ISBLANK($B59),"",VLOOKUP($B59,#REF!,12,FALSE))</f>
        <v/>
      </c>
    </row>
    <row r="27" spans="2:22" ht="16.5" customHeight="1" x14ac:dyDescent="0.45">
      <c r="B27" s="75"/>
      <c r="C27" s="72"/>
      <c r="D27" s="65"/>
      <c r="E27" s="73"/>
      <c r="S27" s="4" t="str">
        <f>IF(ISBLANK($B58),"",VLOOKUP($B58,#REF!,13,FALSE))</f>
        <v/>
      </c>
      <c r="T27" s="4" t="str">
        <f>IF(ISNUMBER(U27-S29),U27-S29,"")</f>
        <v/>
      </c>
      <c r="U27" s="4" t="str">
        <f>IF(ISBLANK($B60),"",VLOOKUP($B60,#REF!,12,FALSE))</f>
        <v/>
      </c>
    </row>
    <row r="28" spans="2:22" ht="16.5" customHeight="1" x14ac:dyDescent="0.45">
      <c r="B28" s="78" t="s">
        <v>36</v>
      </c>
      <c r="C28" s="58">
        <f>C26+C20</f>
        <v>78935.416749397322</v>
      </c>
      <c r="D28" s="57">
        <f>D26+D20</f>
        <v>28.031042879757575</v>
      </c>
      <c r="E28" s="74">
        <f>E26+E20</f>
        <v>1</v>
      </c>
      <c r="G28" s="55" t="s">
        <v>109</v>
      </c>
      <c r="H28" s="22"/>
      <c r="I28" s="32"/>
      <c r="J28" s="33"/>
      <c r="K28" s="33"/>
      <c r="L28" s="33"/>
      <c r="M28" s="17"/>
      <c r="S28" s="4" t="str">
        <f>IF(ISBLANK($B59),"",VLOOKUP($B59,#REF!,13,FALSE))</f>
        <v/>
      </c>
      <c r="T28" s="4" t="str">
        <f>IF(ISNUMBER(U28-S30),U28-S30,"")</f>
        <v/>
      </c>
      <c r="U28" s="4" t="str">
        <f>IF(ISBLANK($B62),"",VLOOKUP($B62,#REF!,12,FALSE))</f>
        <v/>
      </c>
    </row>
    <row r="29" spans="2:22" ht="16.5" customHeight="1" x14ac:dyDescent="0.45">
      <c r="B29" s="66" t="s">
        <v>45</v>
      </c>
      <c r="C29" s="79">
        <f>C8-C20</f>
        <v>38900.25895193599</v>
      </c>
      <c r="D29" s="80">
        <f>D8-D20</f>
        <v>13.81401241190909</v>
      </c>
      <c r="E29" s="81"/>
      <c r="G29" s="34" t="s">
        <v>33</v>
      </c>
      <c r="H29" s="34" t="s">
        <v>0</v>
      </c>
      <c r="I29" s="40" t="s">
        <v>1</v>
      </c>
      <c r="J29" s="40" t="s">
        <v>17</v>
      </c>
      <c r="K29" s="40" t="s">
        <v>78</v>
      </c>
      <c r="L29" s="40" t="s">
        <v>101</v>
      </c>
      <c r="M29" s="98"/>
      <c r="N29" s="96"/>
      <c r="S29" s="4" t="str">
        <f>IF(ISBLANK($B60),"",VLOOKUP($B60,#REF!,13,FALSE))</f>
        <v/>
      </c>
      <c r="T29" s="4" t="str">
        <f>IF(ISNUMBER(U29-S31),U29-S31,"")</f>
        <v/>
      </c>
      <c r="U29" s="4" t="str">
        <f>IF(ISBLANK($B63),"",VLOOKUP($B63,#REF!,12,FALSE))</f>
        <v/>
      </c>
    </row>
    <row r="30" spans="2:22" ht="16.5" customHeight="1" thickBot="1" x14ac:dyDescent="0.5">
      <c r="B30" s="82" t="s">
        <v>46</v>
      </c>
      <c r="C30" s="83">
        <f>C8-C28</f>
        <v>23454.425618602661</v>
      </c>
      <c r="D30" s="84">
        <f>D8-D28</f>
        <v>8.3289863702424221</v>
      </c>
      <c r="E30" s="85"/>
      <c r="G30" s="22" t="s">
        <v>100</v>
      </c>
      <c r="H30" s="51" t="s">
        <v>66</v>
      </c>
      <c r="I30" s="38">
        <v>25</v>
      </c>
      <c r="J30" s="95">
        <v>19</v>
      </c>
      <c r="K30" s="92">
        <v>52</v>
      </c>
      <c r="L30" s="99">
        <f>(I30*K30)/2080</f>
        <v>0.625</v>
      </c>
      <c r="M30" s="98"/>
      <c r="S30" s="4" t="str">
        <f>IF(ISBLANK($B62),"",VLOOKUP($B62,#REF!,13,FALSE))</f>
        <v/>
      </c>
      <c r="T30" s="4" t="str">
        <f>IF(ISNUMBER(U30-S32),U30-S32,"")</f>
        <v/>
      </c>
      <c r="U30" s="4" t="str">
        <f>IF(ISBLANK($B64),"",VLOOKUP($B64,#REF!,12,FALSE))</f>
        <v/>
      </c>
    </row>
    <row r="31" spans="2:22" ht="16.5" customHeight="1" x14ac:dyDescent="0.45">
      <c r="M31" s="54"/>
      <c r="S31" s="4" t="str">
        <f>IF(ISBLANK($B63),"",VLOOKUP($B63,#REF!,13,FALSE))</f>
        <v/>
      </c>
      <c r="T31" s="4"/>
      <c r="U31" s="4"/>
    </row>
    <row r="32" spans="2:22" ht="16.5" customHeight="1" x14ac:dyDescent="0.45">
      <c r="G32" s="55" t="s">
        <v>93</v>
      </c>
      <c r="H32" s="22"/>
      <c r="I32" s="22"/>
      <c r="J32" s="22"/>
      <c r="K32" s="22"/>
      <c r="M32" s="54"/>
      <c r="S32" s="4" t="str">
        <f>IF(ISBLANK($B64),"",VLOOKUP($B64,#REF!,13,FALSE))</f>
        <v/>
      </c>
      <c r="T32" s="4" t="str">
        <f>IF(ISNUMBER(U32-T34),U32-T34,"")</f>
        <v/>
      </c>
      <c r="U32" s="4" t="str">
        <f>IF(ISBLANK($B65),"",VLOOKUP($B65,#REF!,12,FALSE))</f>
        <v/>
      </c>
    </row>
    <row r="33" spans="1:23" x14ac:dyDescent="0.45">
      <c r="G33" s="34" t="s">
        <v>37</v>
      </c>
      <c r="H33" s="34" t="s">
        <v>0</v>
      </c>
      <c r="I33" s="40" t="s">
        <v>1</v>
      </c>
      <c r="J33" s="40" t="s">
        <v>17</v>
      </c>
      <c r="K33" s="40" t="s">
        <v>15</v>
      </c>
      <c r="L33" s="90"/>
      <c r="M33" s="54"/>
      <c r="T33" s="4"/>
      <c r="U33" s="4" t="str">
        <f>IF(ISNUMBER(V33-T35),V33-T35,"")</f>
        <v/>
      </c>
      <c r="V33" s="4" t="str">
        <f>IF(ISBLANK($B66),"",VLOOKUP($B66,#REF!,12,FALSE))</f>
        <v/>
      </c>
    </row>
    <row r="34" spans="1:23" x14ac:dyDescent="0.45">
      <c r="F34" s="6"/>
      <c r="G34" s="1" t="s">
        <v>41</v>
      </c>
      <c r="H34" s="50" t="s">
        <v>39</v>
      </c>
      <c r="I34" s="29">
        <v>15</v>
      </c>
      <c r="J34" s="94">
        <v>130</v>
      </c>
      <c r="K34" s="72">
        <f t="shared" ref="K34:K41" si="3">I34*J34</f>
        <v>1950</v>
      </c>
      <c r="L34" s="54"/>
      <c r="T34" s="4" t="str">
        <f>IF(ISBLANK($B65),"",VLOOKUP($B65,#REF!,13,FALSE))</f>
        <v/>
      </c>
      <c r="U34" s="4" t="str">
        <f>IF(ISNUMBER(V34-T36),V34-T36,"")</f>
        <v/>
      </c>
      <c r="V34" s="4" t="str">
        <f>IF(ISBLANK($B67),"",VLOOKUP($B67,#REF!,12,FALSE))</f>
        <v/>
      </c>
    </row>
    <row r="35" spans="1:23" x14ac:dyDescent="0.45">
      <c r="F35" s="6"/>
      <c r="G35" s="1" t="s">
        <v>42</v>
      </c>
      <c r="H35" s="50" t="s">
        <v>40</v>
      </c>
      <c r="I35" s="29">
        <v>10</v>
      </c>
      <c r="J35" s="94">
        <v>135</v>
      </c>
      <c r="K35" s="72">
        <f>I35*J35</f>
        <v>1350</v>
      </c>
      <c r="L35" s="54"/>
      <c r="T35" s="4" t="str">
        <f>IF(ISBLANK($B66),"",VLOOKUP($B66,#REF!,13,FALSE))</f>
        <v/>
      </c>
      <c r="U35" s="4" t="str">
        <f>IF(ISNUMBER(V35-T37),V35-T37,"")</f>
        <v/>
      </c>
      <c r="V35" s="4" t="str">
        <f>IF(ISBLANK($B68),"",VLOOKUP($B68,#REF!,12,FALSE))</f>
        <v/>
      </c>
    </row>
    <row r="36" spans="1:23" x14ac:dyDescent="0.45">
      <c r="B36" s="6"/>
      <c r="C36" s="6"/>
      <c r="D36" s="6"/>
      <c r="E36" s="1"/>
      <c r="F36" s="6"/>
      <c r="G36" s="1" t="s">
        <v>90</v>
      </c>
      <c r="H36" s="50" t="s">
        <v>27</v>
      </c>
      <c r="I36" s="29">
        <v>863</v>
      </c>
      <c r="J36" s="94">
        <v>3.55</v>
      </c>
      <c r="K36" s="72">
        <f t="shared" si="3"/>
        <v>3063.6499999999996</v>
      </c>
      <c r="L36" s="54"/>
      <c r="T36" s="4" t="str">
        <f>IF(ISBLANK($B67),"",VLOOKUP($B67,#REF!,13,FALSE))</f>
        <v/>
      </c>
      <c r="U36" s="4" t="str">
        <f>IF(ISNUMBER(V36-T38),V36-T38,"")</f>
        <v/>
      </c>
      <c r="V36" s="4" t="str">
        <f>IF(ISBLANK($B69),"",VLOOKUP($B69,#REF!,12,FALSE))</f>
        <v/>
      </c>
    </row>
    <row r="37" spans="1:23" x14ac:dyDescent="0.45">
      <c r="B37" s="47"/>
      <c r="C37" s="6"/>
      <c r="D37" s="6"/>
      <c r="E37" s="6"/>
      <c r="F37" s="4"/>
      <c r="G37" s="1" t="s">
        <v>88</v>
      </c>
      <c r="H37" s="50" t="s">
        <v>27</v>
      </c>
      <c r="I37" s="29">
        <v>560</v>
      </c>
      <c r="J37" s="94">
        <v>1.1000000000000001</v>
      </c>
      <c r="K37" s="72">
        <f t="shared" si="3"/>
        <v>616</v>
      </c>
      <c r="L37" s="54"/>
      <c r="T37" s="4" t="str">
        <f>IF(ISBLANK($B68),"",VLOOKUP($B68,#REF!,13,FALSE))</f>
        <v/>
      </c>
      <c r="W37" s="9"/>
    </row>
    <row r="38" spans="1:23" x14ac:dyDescent="0.45">
      <c r="B38" s="47"/>
      <c r="C38" s="8"/>
      <c r="D38" s="8"/>
      <c r="E38" s="8"/>
      <c r="F38" s="4"/>
      <c r="G38" s="1" t="s">
        <v>89</v>
      </c>
      <c r="H38" s="50" t="s">
        <v>27</v>
      </c>
      <c r="I38" s="29">
        <v>0</v>
      </c>
      <c r="J38" s="94">
        <v>0.95</v>
      </c>
      <c r="K38" s="72">
        <f t="shared" si="3"/>
        <v>0</v>
      </c>
      <c r="L38" s="54"/>
      <c r="N38" s="5"/>
      <c r="T38" s="4" t="str">
        <f>IF(ISBLANK($B69),"",VLOOKUP($B69,#REF!,13,FALSE))</f>
        <v/>
      </c>
      <c r="W38" s="4"/>
    </row>
    <row r="39" spans="1:23" x14ac:dyDescent="0.45">
      <c r="B39" s="46"/>
      <c r="C39" s="4"/>
      <c r="D39" s="4"/>
      <c r="E39" s="4"/>
      <c r="F39" s="4"/>
      <c r="G39" s="1" t="s">
        <v>99</v>
      </c>
      <c r="H39" s="50" t="s">
        <v>32</v>
      </c>
      <c r="I39" s="29">
        <v>5</v>
      </c>
      <c r="J39" s="94">
        <v>75</v>
      </c>
      <c r="K39" s="72">
        <f t="shared" si="3"/>
        <v>375</v>
      </c>
      <c r="L39" s="54"/>
      <c r="N39" s="5"/>
      <c r="W39" s="4"/>
    </row>
    <row r="40" spans="1:23" x14ac:dyDescent="0.45">
      <c r="B40" s="46"/>
      <c r="C40" s="4"/>
      <c r="D40" s="4"/>
      <c r="E40" s="4"/>
      <c r="F40" s="4"/>
      <c r="G40" s="1" t="s">
        <v>107</v>
      </c>
      <c r="H40" s="50" t="s">
        <v>39</v>
      </c>
      <c r="I40" s="29">
        <v>5</v>
      </c>
      <c r="J40" s="94">
        <v>25</v>
      </c>
      <c r="K40" s="72">
        <f t="shared" si="3"/>
        <v>125</v>
      </c>
      <c r="L40" s="54"/>
      <c r="N40" s="5"/>
      <c r="Q40" s="11"/>
      <c r="R40" s="9"/>
      <c r="S40" s="10"/>
    </row>
    <row r="41" spans="1:23" x14ac:dyDescent="0.45">
      <c r="B41" s="46"/>
      <c r="C41" s="4"/>
      <c r="D41" s="4"/>
      <c r="E41" s="4"/>
      <c r="F41" s="4"/>
      <c r="G41" s="1" t="s">
        <v>81</v>
      </c>
      <c r="H41" s="50" t="s">
        <v>39</v>
      </c>
      <c r="I41" s="29">
        <v>1</v>
      </c>
      <c r="J41" s="94">
        <v>50</v>
      </c>
      <c r="K41" s="72">
        <f t="shared" si="3"/>
        <v>50</v>
      </c>
      <c r="Q41" s="11"/>
      <c r="S41" s="10"/>
    </row>
    <row r="42" spans="1:23" x14ac:dyDescent="0.45">
      <c r="B42" s="46"/>
      <c r="C42" s="4"/>
      <c r="D42" s="4"/>
      <c r="E42" s="4"/>
      <c r="F42" s="4"/>
      <c r="G42" s="22" t="s">
        <v>91</v>
      </c>
      <c r="H42" s="51" t="s">
        <v>102</v>
      </c>
      <c r="I42" s="41">
        <v>1</v>
      </c>
      <c r="J42" s="95">
        <v>1000</v>
      </c>
      <c r="K42" s="93">
        <f>I42*J42</f>
        <v>1000</v>
      </c>
      <c r="S42" s="10"/>
      <c r="U42" s="12"/>
      <c r="W42" s="3"/>
    </row>
    <row r="43" spans="1:23" x14ac:dyDescent="0.45">
      <c r="B43" s="46"/>
      <c r="C43" s="4"/>
      <c r="D43" s="4"/>
      <c r="E43" s="4"/>
      <c r="F43" s="4"/>
      <c r="K43" s="39"/>
      <c r="N43" s="5"/>
      <c r="U43" s="13"/>
      <c r="W43" s="3"/>
    </row>
    <row r="44" spans="1:23" x14ac:dyDescent="0.45">
      <c r="B44" s="46"/>
      <c r="C44" s="4"/>
      <c r="D44" s="4"/>
      <c r="E44" s="4"/>
      <c r="F44" s="4"/>
      <c r="G44" s="55" t="s">
        <v>94</v>
      </c>
      <c r="H44" s="22"/>
      <c r="I44" s="22"/>
      <c r="J44" s="22"/>
      <c r="K44" s="22"/>
      <c r="L44" s="90"/>
      <c r="N44" s="5"/>
      <c r="W44" s="4"/>
    </row>
    <row r="45" spans="1:23" x14ac:dyDescent="0.45">
      <c r="B45" s="46"/>
      <c r="C45" s="4"/>
      <c r="D45" s="4"/>
      <c r="E45" s="4"/>
      <c r="F45" s="4"/>
      <c r="G45" s="34" t="s">
        <v>37</v>
      </c>
      <c r="H45" s="34" t="s">
        <v>0</v>
      </c>
      <c r="I45" s="40" t="s">
        <v>1</v>
      </c>
      <c r="J45" s="40" t="s">
        <v>17</v>
      </c>
      <c r="K45" s="40" t="s">
        <v>15</v>
      </c>
      <c r="L45" s="54"/>
      <c r="W45" s="4"/>
    </row>
    <row r="46" spans="1:23" x14ac:dyDescent="0.45">
      <c r="B46" s="46"/>
      <c r="C46" s="4"/>
      <c r="D46" s="4"/>
      <c r="E46" s="4"/>
      <c r="F46" s="4"/>
      <c r="G46" s="1" t="s">
        <v>86</v>
      </c>
      <c r="H46" s="52" t="s">
        <v>49</v>
      </c>
      <c r="I46" s="29">
        <v>0</v>
      </c>
      <c r="J46" s="94">
        <v>40</v>
      </c>
      <c r="K46" s="72">
        <f>I46*J46</f>
        <v>0</v>
      </c>
      <c r="Q46"/>
      <c r="W46" s="4"/>
    </row>
    <row r="47" spans="1:23" customFormat="1" x14ac:dyDescent="0.45">
      <c r="A47" s="1"/>
      <c r="B47" s="46"/>
      <c r="C47" s="4"/>
      <c r="D47" s="4"/>
      <c r="E47" s="4"/>
      <c r="F47" s="4"/>
      <c r="G47" s="1" t="s">
        <v>108</v>
      </c>
      <c r="H47" s="50" t="s">
        <v>82</v>
      </c>
      <c r="I47" s="29">
        <v>0</v>
      </c>
      <c r="J47" s="94">
        <v>0.44</v>
      </c>
      <c r="K47" s="72">
        <f>I47*J47</f>
        <v>0</v>
      </c>
      <c r="L47" s="54"/>
      <c r="M47" s="46"/>
      <c r="N47" s="5"/>
      <c r="O47" s="1"/>
      <c r="P47" s="1"/>
      <c r="R47" s="1"/>
      <c r="S47" s="1"/>
      <c r="T47" s="1"/>
      <c r="W47" s="24"/>
    </row>
    <row r="48" spans="1:23" s="26" customFormat="1" x14ac:dyDescent="0.45">
      <c r="A48" s="1"/>
      <c r="B48" s="46"/>
      <c r="C48" s="4"/>
      <c r="D48" s="4"/>
      <c r="E48" s="4"/>
      <c r="F48" s="4"/>
      <c r="G48" s="1" t="s">
        <v>87</v>
      </c>
      <c r="H48" s="50" t="s">
        <v>82</v>
      </c>
      <c r="I48" s="29">
        <v>0</v>
      </c>
      <c r="J48" s="94">
        <v>2.8</v>
      </c>
      <c r="K48" s="72">
        <f>I48*J48</f>
        <v>0</v>
      </c>
      <c r="L48" s="54"/>
      <c r="M48" s="46"/>
      <c r="N48" s="6"/>
      <c r="O48" s="6"/>
      <c r="P48" s="6"/>
      <c r="Q48"/>
      <c r="R48"/>
      <c r="S48"/>
      <c r="T48"/>
    </row>
    <row r="49" spans="1:20" customFormat="1" x14ac:dyDescent="0.45">
      <c r="A49" s="1"/>
      <c r="B49" s="46"/>
      <c r="C49" s="4"/>
      <c r="D49" s="4"/>
      <c r="E49" s="4"/>
      <c r="F49" s="4"/>
      <c r="G49" s="1" t="s">
        <v>84</v>
      </c>
      <c r="H49" s="50" t="s">
        <v>83</v>
      </c>
      <c r="I49" s="29">
        <v>2844</v>
      </c>
      <c r="J49" s="94">
        <v>0.2</v>
      </c>
      <c r="K49" s="72">
        <f>I49*J49</f>
        <v>568.80000000000007</v>
      </c>
      <c r="L49" s="54"/>
      <c r="M49" s="46"/>
      <c r="N49" s="46"/>
      <c r="O49" s="6"/>
      <c r="P49" s="6"/>
      <c r="R49" s="26"/>
      <c r="S49" s="26"/>
      <c r="T49" s="26"/>
    </row>
    <row r="50" spans="1:20" customFormat="1" x14ac:dyDescent="0.45">
      <c r="A50" s="1"/>
      <c r="B50" s="46"/>
      <c r="C50" s="2"/>
      <c r="D50" s="4"/>
      <c r="E50" s="4"/>
      <c r="F50" s="4"/>
      <c r="G50" s="22" t="s">
        <v>85</v>
      </c>
      <c r="H50" s="51" t="s">
        <v>50</v>
      </c>
      <c r="I50" s="41">
        <v>2844</v>
      </c>
      <c r="J50" s="95">
        <v>3.5</v>
      </c>
      <c r="K50" s="58">
        <f>I50*J50</f>
        <v>9954</v>
      </c>
      <c r="L50" s="46"/>
      <c r="M50" s="46"/>
      <c r="N50" s="46"/>
      <c r="O50" s="46"/>
      <c r="P50" s="8"/>
      <c r="R50" s="26"/>
      <c r="S50" s="26"/>
      <c r="T50" s="26"/>
    </row>
    <row r="51" spans="1:20" customFormat="1" x14ac:dyDescent="0.45">
      <c r="A51" s="1"/>
      <c r="B51" s="46"/>
      <c r="C51" s="4"/>
      <c r="D51" s="4"/>
      <c r="E51" s="4"/>
      <c r="F51" s="4"/>
      <c r="G51" s="1"/>
      <c r="H51" s="1"/>
      <c r="I51" s="46"/>
      <c r="J51" s="2"/>
      <c r="K51" s="46"/>
      <c r="L51" s="46"/>
      <c r="M51" s="46"/>
      <c r="N51" s="46"/>
      <c r="O51" s="46"/>
      <c r="P51" s="2"/>
    </row>
    <row r="52" spans="1:20" customFormat="1" x14ac:dyDescent="0.45">
      <c r="A52" s="1"/>
      <c r="B52" s="46"/>
      <c r="C52" s="4"/>
      <c r="D52" s="4"/>
      <c r="E52" s="4"/>
      <c r="F52" s="4"/>
      <c r="G52" s="1"/>
      <c r="H52" s="1"/>
      <c r="I52" s="46"/>
      <c r="J52" s="2"/>
      <c r="K52" s="46"/>
      <c r="L52" s="46"/>
      <c r="M52" s="46"/>
      <c r="N52" s="46"/>
      <c r="O52" s="46"/>
      <c r="P52" s="2"/>
    </row>
    <row r="53" spans="1:20" customFormat="1" x14ac:dyDescent="0.45">
      <c r="A53" s="1"/>
      <c r="B53" s="46"/>
      <c r="C53" s="4"/>
      <c r="D53" s="4"/>
      <c r="E53" s="4"/>
      <c r="F53" s="4"/>
      <c r="G53" s="1"/>
      <c r="H53" s="1"/>
      <c r="I53" s="46"/>
      <c r="J53" s="2"/>
      <c r="K53" s="46"/>
      <c r="L53" s="46"/>
      <c r="M53" s="46"/>
      <c r="N53" s="46"/>
      <c r="O53" s="46"/>
      <c r="P53" s="2"/>
    </row>
    <row r="54" spans="1:20" customFormat="1" x14ac:dyDescent="0.45">
      <c r="A54" s="1"/>
      <c r="B54" s="46"/>
      <c r="C54" s="4"/>
      <c r="D54" s="4"/>
      <c r="E54" s="4"/>
      <c r="F54" s="4"/>
      <c r="G54" s="1"/>
      <c r="H54" s="1"/>
      <c r="I54" s="46"/>
      <c r="J54" s="2"/>
      <c r="K54" s="46"/>
      <c r="L54" s="46"/>
      <c r="M54" s="46"/>
      <c r="N54" s="46"/>
      <c r="O54" s="46"/>
      <c r="P54" s="2"/>
    </row>
    <row r="55" spans="1:20" customFormat="1" x14ac:dyDescent="0.45">
      <c r="A55" s="1"/>
      <c r="B55" s="46"/>
      <c r="C55" s="4"/>
      <c r="D55" s="4"/>
      <c r="E55" s="4"/>
      <c r="F55" s="2"/>
      <c r="G55" s="1"/>
      <c r="H55" s="1"/>
      <c r="I55" s="46"/>
      <c r="J55" s="2"/>
      <c r="K55" s="46"/>
      <c r="L55" s="1"/>
      <c r="M55" s="46"/>
      <c r="N55" s="46"/>
      <c r="O55" s="46"/>
      <c r="P55" s="2"/>
    </row>
    <row r="56" spans="1:20" customFormat="1" hidden="1" x14ac:dyDescent="0.45">
      <c r="A56" s="1"/>
      <c r="B56" s="1"/>
      <c r="C56" s="4"/>
      <c r="D56" s="4"/>
      <c r="E56" s="4"/>
      <c r="F56" s="2"/>
      <c r="G56" s="1"/>
      <c r="H56" s="1"/>
      <c r="I56" s="46"/>
      <c r="J56" s="2"/>
      <c r="K56" s="46"/>
      <c r="M56" s="46"/>
      <c r="N56" s="46"/>
      <c r="O56" s="46"/>
      <c r="P56" s="2"/>
    </row>
    <row r="57" spans="1:20" customFormat="1" hidden="1" x14ac:dyDescent="0.45">
      <c r="A57" s="1"/>
      <c r="B57" s="1"/>
      <c r="C57" s="4"/>
      <c r="D57" s="4"/>
      <c r="E57" s="4"/>
      <c r="F57" s="2"/>
      <c r="I57" s="27"/>
      <c r="J57" s="25"/>
      <c r="K57" s="27"/>
      <c r="M57" s="46"/>
      <c r="N57" s="46"/>
      <c r="O57" s="46"/>
      <c r="P57" s="2"/>
    </row>
    <row r="58" spans="1:20" customFormat="1" hidden="1" x14ac:dyDescent="0.45">
      <c r="A58" s="1"/>
      <c r="B58" s="1"/>
      <c r="C58" s="4"/>
      <c r="D58" s="4"/>
      <c r="E58" s="4"/>
      <c r="F58" s="2"/>
      <c r="I58" s="27"/>
      <c r="J58" s="25"/>
      <c r="K58" s="27"/>
      <c r="M58" s="1"/>
      <c r="N58" s="46"/>
      <c r="O58" s="46"/>
      <c r="P58" s="2"/>
    </row>
    <row r="59" spans="1:20" customFormat="1" hidden="1" x14ac:dyDescent="0.45">
      <c r="A59" s="1"/>
      <c r="B59" s="1"/>
      <c r="C59" s="4"/>
      <c r="D59" s="4"/>
      <c r="E59" s="4"/>
      <c r="F59" s="2"/>
      <c r="I59" s="27"/>
      <c r="K59" s="27"/>
      <c r="N59" s="46"/>
      <c r="O59" s="46"/>
      <c r="P59" s="2"/>
    </row>
    <row r="60" spans="1:20" customFormat="1" hidden="1" x14ac:dyDescent="0.45">
      <c r="A60" s="1"/>
      <c r="B60" s="1"/>
      <c r="C60" s="4"/>
      <c r="D60" s="4"/>
      <c r="E60" s="4"/>
      <c r="F60" s="2"/>
      <c r="I60" s="27"/>
      <c r="K60" s="27"/>
      <c r="N60" s="27"/>
      <c r="O60" s="27"/>
      <c r="P60" s="25"/>
    </row>
    <row r="61" spans="1:20" customFormat="1" hidden="1" x14ac:dyDescent="0.45">
      <c r="A61" s="1"/>
      <c r="B61" s="1"/>
      <c r="C61" s="4"/>
      <c r="D61" s="4"/>
      <c r="E61" s="4"/>
      <c r="F61" s="2"/>
      <c r="I61" s="27"/>
      <c r="K61" s="27"/>
      <c r="N61" s="27"/>
      <c r="P61" s="25"/>
    </row>
    <row r="62" spans="1:20" customFormat="1" hidden="1" x14ac:dyDescent="0.45">
      <c r="B62" s="1"/>
      <c r="C62" s="4"/>
      <c r="D62" s="4"/>
      <c r="E62" s="4"/>
      <c r="F62" s="25"/>
      <c r="I62" s="27"/>
      <c r="K62" s="27"/>
      <c r="N62" s="27"/>
    </row>
    <row r="63" spans="1:20" customFormat="1" hidden="1" x14ac:dyDescent="0.45">
      <c r="B63" s="1"/>
      <c r="C63" s="4"/>
      <c r="D63" s="4"/>
      <c r="E63" s="4"/>
      <c r="F63" s="25"/>
      <c r="I63" s="27"/>
      <c r="K63" s="27"/>
      <c r="N63" s="27"/>
    </row>
    <row r="64" spans="1:20" customFormat="1" hidden="1" x14ac:dyDescent="0.45">
      <c r="C64" s="24"/>
      <c r="D64" s="24"/>
      <c r="E64" s="24"/>
      <c r="F64" s="25"/>
      <c r="I64" s="27"/>
      <c r="K64" s="27"/>
      <c r="N64" s="27"/>
    </row>
    <row r="65" spans="2:14" customFormat="1" hidden="1" x14ac:dyDescent="0.45">
      <c r="C65" s="24"/>
      <c r="D65" s="24"/>
      <c r="E65" s="24"/>
      <c r="F65" s="25"/>
      <c r="I65" s="27"/>
      <c r="K65" s="27"/>
      <c r="N65" s="27"/>
    </row>
    <row r="66" spans="2:14" customFormat="1" hidden="1" x14ac:dyDescent="0.45">
      <c r="C66" s="24"/>
      <c r="D66" s="24"/>
      <c r="E66" s="24"/>
      <c r="F66" s="25"/>
      <c r="N66" s="27"/>
    </row>
    <row r="67" spans="2:14" customFormat="1" hidden="1" x14ac:dyDescent="0.45">
      <c r="C67" s="24"/>
      <c r="D67" s="24"/>
      <c r="E67" s="24"/>
      <c r="F67" s="25"/>
    </row>
    <row r="68" spans="2:14" customFormat="1" hidden="1" x14ac:dyDescent="0.45">
      <c r="C68" s="24"/>
      <c r="D68" s="24"/>
      <c r="E68" s="24"/>
    </row>
    <row r="69" spans="2:14" customFormat="1" hidden="1" x14ac:dyDescent="0.45">
      <c r="C69" s="24"/>
      <c r="D69" s="24"/>
      <c r="E69" s="24"/>
      <c r="F69" s="1"/>
    </row>
    <row r="70" spans="2:14" customFormat="1" hidden="1" x14ac:dyDescent="0.45">
      <c r="C70" s="24"/>
      <c r="D70" s="24"/>
      <c r="E70" s="24"/>
      <c r="F70" s="1"/>
    </row>
    <row r="71" spans="2:14" customFormat="1" hidden="1" x14ac:dyDescent="0.45">
      <c r="B71" s="1"/>
      <c r="C71" s="2"/>
      <c r="D71" s="2"/>
      <c r="E71" s="2"/>
      <c r="F71" s="1"/>
    </row>
    <row r="72" spans="2:14" customFormat="1" hidden="1" x14ac:dyDescent="0.45">
      <c r="B72" s="1"/>
      <c r="C72" s="2"/>
      <c r="D72" s="2"/>
      <c r="E72" s="2"/>
      <c r="F72" s="1"/>
    </row>
    <row r="73" spans="2:14" customFormat="1" hidden="1" x14ac:dyDescent="0.45">
      <c r="B73" s="1"/>
      <c r="C73" s="2"/>
      <c r="D73" s="2"/>
      <c r="E73" s="2"/>
      <c r="F73" s="1"/>
    </row>
    <row r="74" spans="2:14" customFormat="1" hidden="1" x14ac:dyDescent="0.45">
      <c r="B74" s="1"/>
      <c r="C74" s="2"/>
      <c r="D74" s="2"/>
      <c r="E74" s="2"/>
      <c r="F74" s="1"/>
    </row>
    <row r="75" spans="2:14" customFormat="1" hidden="1" x14ac:dyDescent="0.45">
      <c r="B75" s="1"/>
      <c r="C75" s="2"/>
      <c r="D75" s="2"/>
      <c r="E75" s="2"/>
      <c r="F75" s="1"/>
    </row>
    <row r="76" spans="2:14" customFormat="1" hidden="1" x14ac:dyDescent="0.45">
      <c r="B76" s="1"/>
      <c r="C76" s="2"/>
      <c r="D76" s="2"/>
      <c r="E76" s="2"/>
      <c r="F76" s="1"/>
    </row>
    <row r="77" spans="2:14" customFormat="1" hidden="1" x14ac:dyDescent="0.45">
      <c r="B77" s="1"/>
      <c r="C77" s="2"/>
      <c r="D77" s="2"/>
      <c r="E77" s="2"/>
      <c r="F77" s="1"/>
      <c r="L77" s="1"/>
    </row>
    <row r="78" spans="2:14" customFormat="1" hidden="1" x14ac:dyDescent="0.45">
      <c r="B78" s="1"/>
      <c r="C78" s="2"/>
      <c r="D78" s="2"/>
      <c r="E78" s="2"/>
      <c r="F78" s="1"/>
      <c r="L78" s="1"/>
    </row>
    <row r="79" spans="2:14" customFormat="1" hidden="1" x14ac:dyDescent="0.45">
      <c r="B79" s="1"/>
      <c r="C79" s="2"/>
      <c r="D79" s="2"/>
      <c r="E79" s="2"/>
      <c r="F79" s="1"/>
      <c r="L79" s="1"/>
    </row>
    <row r="80" spans="2:14" customFormat="1" hidden="1" x14ac:dyDescent="0.45">
      <c r="B80" s="1"/>
      <c r="C80" s="2"/>
      <c r="D80" s="2"/>
      <c r="E80" s="2"/>
      <c r="F80" s="1"/>
      <c r="L80" s="1"/>
      <c r="M80" s="1"/>
    </row>
    <row r="81" spans="2:20" customFormat="1" hidden="1" x14ac:dyDescent="0.45">
      <c r="B81" s="1"/>
      <c r="C81" s="2"/>
      <c r="D81" s="2"/>
      <c r="E81" s="2"/>
      <c r="F81" s="1"/>
      <c r="G81" s="1"/>
      <c r="H81" s="1"/>
      <c r="I81" s="1"/>
      <c r="J81" s="1"/>
      <c r="K81" s="1"/>
      <c r="L81" s="1"/>
      <c r="M81" s="1"/>
      <c r="Q81" s="1"/>
    </row>
    <row r="82" spans="2:20" customFormat="1" hidden="1" x14ac:dyDescent="0.45">
      <c r="B82" s="1"/>
      <c r="C82" s="2"/>
      <c r="D82" s="2"/>
      <c r="E82" s="2"/>
      <c r="F82" s="1"/>
      <c r="G82" s="1"/>
      <c r="H82" s="1"/>
      <c r="I82" s="1"/>
      <c r="J82" s="1"/>
      <c r="K82" s="1"/>
      <c r="L82" s="1"/>
      <c r="M82" s="1"/>
      <c r="N82" s="1"/>
      <c r="Q82" s="1"/>
    </row>
    <row r="83" spans="2:20" hidden="1" x14ac:dyDescent="0.45">
      <c r="P83"/>
      <c r="R83"/>
      <c r="S83"/>
      <c r="T83"/>
    </row>
    <row r="84" spans="2:20" hidden="1" x14ac:dyDescent="0.45">
      <c r="R84"/>
      <c r="S84"/>
      <c r="T84"/>
    </row>
  </sheetData>
  <mergeCells count="5">
    <mergeCell ref="B2:E2"/>
    <mergeCell ref="K5:L5"/>
    <mergeCell ref="K6:L6"/>
    <mergeCell ref="K7:L7"/>
    <mergeCell ref="K8:L8"/>
  </mergeCells>
  <dataValidations count="2">
    <dataValidation type="list" allowBlank="1" showInputMessage="1" showErrorMessage="1" sqref="B39:B69" xr:uid="{C55DECA1-5598-4D18-A923-EDD9FD35B7D0}">
      <formula1>Implements</formula1>
    </dataValidation>
    <dataValidation type="list" allowBlank="1" showInputMessage="1" showErrorMessage="1" sqref="I51:I58" xr:uid="{713F52B2-516F-4994-AF1D-896DF8AEEEB6}">
      <formula1>CustomImps</formula1>
    </dataValidation>
  </dataValidations>
  <pageMargins left="0.7" right="0.7" top="0.75" bottom="0.75" header="0.3" footer="0.3"/>
  <pageSetup scale="91" orientation="portrait" r:id="rId1"/>
  <rowBreaks count="1" manualBreakCount="1">
    <brk id="46" max="16383" man="1"/>
  </rowBreaks>
  <colBreaks count="2" manualBreakCount="2">
    <brk id="5" max="1048575" man="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16A7D-71B1-4E76-BD05-45EE43988714}">
  <dimension ref="A1:G35"/>
  <sheetViews>
    <sheetView showGridLines="0" topLeftCell="A3" workbookViewId="0">
      <selection activeCell="E12" sqref="E12"/>
    </sheetView>
  </sheetViews>
  <sheetFormatPr defaultColWidth="0" defaultRowHeight="0" customHeight="1" zeroHeight="1" x14ac:dyDescent="0.35"/>
  <cols>
    <col min="1" max="1" width="3.08203125" style="101" customWidth="1"/>
    <col min="2" max="2" width="4.58203125" style="101" customWidth="1"/>
    <col min="3" max="3" width="15.58203125" style="101" customWidth="1"/>
    <col min="4" max="4" width="74.25" style="101" customWidth="1"/>
    <col min="5" max="5" width="15.58203125" style="101" customWidth="1"/>
    <col min="6" max="6" width="4.58203125" style="101" customWidth="1"/>
    <col min="7" max="7" width="3.08203125" style="101" customWidth="1"/>
    <col min="8" max="16384" width="9" style="101" hidden="1"/>
  </cols>
  <sheetData>
    <row r="1" spans="2:6" ht="14.5" x14ac:dyDescent="0.35"/>
    <row r="2" spans="2:6" ht="21" x14ac:dyDescent="0.5">
      <c r="B2" s="106"/>
      <c r="C2" s="478" t="s">
        <v>514</v>
      </c>
      <c r="D2" s="479"/>
      <c r="E2" s="480"/>
      <c r="F2" s="107"/>
    </row>
    <row r="3" spans="2:6" ht="16" x14ac:dyDescent="0.4">
      <c r="B3" s="108"/>
      <c r="C3" s="402" t="s">
        <v>493</v>
      </c>
      <c r="D3" s="402"/>
      <c r="E3" s="402"/>
      <c r="F3" s="108"/>
    </row>
    <row r="4" spans="2:6" ht="16" x14ac:dyDescent="0.4">
      <c r="B4" s="108"/>
      <c r="C4" s="403"/>
      <c r="D4" s="403"/>
      <c r="E4" s="403"/>
      <c r="F4" s="108"/>
    </row>
    <row r="5" spans="2:6" ht="16" x14ac:dyDescent="0.4">
      <c r="B5" s="108"/>
      <c r="C5" s="108"/>
      <c r="D5" s="110" t="s">
        <v>122</v>
      </c>
      <c r="E5" s="108"/>
      <c r="F5" s="108"/>
    </row>
    <row r="6" spans="2:6" ht="16" x14ac:dyDescent="0.4">
      <c r="B6" s="108"/>
      <c r="C6" s="108"/>
      <c r="D6" s="110" t="s">
        <v>280</v>
      </c>
      <c r="E6" s="108"/>
      <c r="F6" s="108"/>
    </row>
    <row r="7" spans="2:6" ht="16" x14ac:dyDescent="0.4">
      <c r="B7" s="108"/>
      <c r="C7" s="108"/>
      <c r="D7" s="110" t="s">
        <v>2</v>
      </c>
      <c r="E7" s="108"/>
      <c r="F7" s="108"/>
    </row>
    <row r="8" spans="2:6" ht="16" x14ac:dyDescent="0.4">
      <c r="B8" s="108"/>
      <c r="C8" s="108"/>
      <c r="D8" s="111"/>
      <c r="E8" s="108"/>
      <c r="F8" s="108"/>
    </row>
    <row r="9" spans="2:6" ht="65.5" customHeight="1" x14ac:dyDescent="0.4">
      <c r="B9" s="108"/>
      <c r="C9" s="404" t="s">
        <v>535</v>
      </c>
      <c r="D9" s="404"/>
      <c r="E9" s="404"/>
      <c r="F9" s="108"/>
    </row>
    <row r="10" spans="2:6" ht="16" x14ac:dyDescent="0.4">
      <c r="B10" s="108"/>
      <c r="C10" s="408" t="s">
        <v>492</v>
      </c>
      <c r="D10" s="408"/>
      <c r="E10" s="112"/>
      <c r="F10" s="108"/>
    </row>
    <row r="11" spans="2:6" ht="16" x14ac:dyDescent="0.4">
      <c r="B11" s="108"/>
      <c r="C11" s="108"/>
      <c r="D11" s="113" t="s">
        <v>527</v>
      </c>
      <c r="E11" s="114">
        <v>2025</v>
      </c>
      <c r="F11" s="108"/>
    </row>
    <row r="12" spans="2:6" ht="9.75" customHeight="1" x14ac:dyDescent="0.4">
      <c r="B12" s="108"/>
      <c r="C12" s="108"/>
      <c r="D12" s="108"/>
      <c r="E12" s="108"/>
      <c r="F12" s="108"/>
    </row>
    <row r="13" spans="2:6" ht="16" x14ac:dyDescent="0.4">
      <c r="B13" s="108"/>
      <c r="C13" s="405" t="s">
        <v>3</v>
      </c>
      <c r="D13" s="406"/>
      <c r="E13" s="407"/>
      <c r="F13" s="108"/>
    </row>
    <row r="14" spans="2:6" ht="16" x14ac:dyDescent="0.4">
      <c r="B14" s="108"/>
      <c r="C14" s="115"/>
      <c r="D14" s="115"/>
      <c r="E14" s="115"/>
      <c r="F14" s="108"/>
    </row>
    <row r="15" spans="2:6" ht="16" x14ac:dyDescent="0.4">
      <c r="B15" s="108"/>
      <c r="C15" s="108"/>
      <c r="D15" s="108"/>
      <c r="E15" s="108"/>
      <c r="F15" s="108"/>
    </row>
    <row r="16" spans="2:6" ht="16" x14ac:dyDescent="0.4">
      <c r="B16" s="116"/>
      <c r="C16" s="399"/>
      <c r="D16" s="400"/>
      <c r="E16" s="401"/>
      <c r="F16" s="117"/>
    </row>
    <row r="17" s="101" customFormat="1" ht="14.5" x14ac:dyDescent="0.35"/>
    <row r="18" s="101" customFormat="1" ht="0" hidden="1" customHeight="1" x14ac:dyDescent="0.35"/>
    <row r="19" s="101" customFormat="1" ht="0" hidden="1" customHeight="1" x14ac:dyDescent="0.35"/>
    <row r="20" s="101" customFormat="1" ht="0" hidden="1" customHeight="1" x14ac:dyDescent="0.35"/>
    <row r="21" s="101" customFormat="1" ht="0" hidden="1" customHeight="1" x14ac:dyDescent="0.35"/>
    <row r="22" s="101" customFormat="1" ht="0" hidden="1" customHeight="1" x14ac:dyDescent="0.35"/>
    <row r="23" s="101" customFormat="1" ht="0" hidden="1" customHeight="1" x14ac:dyDescent="0.35"/>
    <row r="24" s="101" customFormat="1" ht="0" hidden="1" customHeight="1" x14ac:dyDescent="0.35"/>
    <row r="25" s="101" customFormat="1" ht="0" hidden="1" customHeight="1" x14ac:dyDescent="0.35"/>
    <row r="26" s="101" customFormat="1" ht="0" hidden="1" customHeight="1" x14ac:dyDescent="0.35"/>
    <row r="27" s="101" customFormat="1" ht="0" hidden="1" customHeight="1" x14ac:dyDescent="0.35"/>
    <row r="28" s="101" customFormat="1" ht="0" hidden="1" customHeight="1" x14ac:dyDescent="0.35"/>
    <row r="29" s="101" customFormat="1" ht="0" hidden="1" customHeight="1" x14ac:dyDescent="0.35"/>
    <row r="30" s="101" customFormat="1" ht="0" hidden="1" customHeight="1" x14ac:dyDescent="0.35"/>
    <row r="31" s="101" customFormat="1" ht="0" hidden="1" customHeight="1" x14ac:dyDescent="0.35"/>
    <row r="32" s="101" customFormat="1" ht="0" hidden="1" customHeight="1" x14ac:dyDescent="0.35"/>
    <row r="33" s="101" customFormat="1" ht="0" hidden="1" customHeight="1" x14ac:dyDescent="0.35"/>
    <row r="34" s="101" customFormat="1" ht="0" hidden="1" customHeight="1" x14ac:dyDescent="0.35"/>
    <row r="35" s="101" customFormat="1" ht="0" hidden="1" customHeight="1" x14ac:dyDescent="0.35"/>
  </sheetData>
  <sheetProtection sheet="1" objects="1" scenarios="1"/>
  <protectedRanges>
    <protectedRange sqref="E11" name="Planting year"/>
  </protectedRanges>
  <mergeCells count="7">
    <mergeCell ref="C16:E16"/>
    <mergeCell ref="C2:E2"/>
    <mergeCell ref="C3:E3"/>
    <mergeCell ref="C4:E4"/>
    <mergeCell ref="C9:E9"/>
    <mergeCell ref="C13:E13"/>
    <mergeCell ref="C10:D10"/>
  </mergeCells>
  <hyperlinks>
    <hyperlink ref="C10:D10" r:id="rId1" display="Missouri Chinese Chestnut Planning Budget (extension.missouri.edu/publications/g739)" xr:uid="{FBA46020-30BA-4267-B1D9-E193C7246654}"/>
  </hyperlinks>
  <pageMargins left="0.7" right="0.7" top="0.75" bottom="0.75" header="0.3" footer="0.3"/>
  <pageSetup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E701B-4FDB-4FC8-A6D9-C41FDAC8D4CF}">
  <sheetPr>
    <pageSetUpPr fitToPage="1"/>
  </sheetPr>
  <dimension ref="A1:AD72"/>
  <sheetViews>
    <sheetView showGridLines="0" topLeftCell="A9" zoomScaleNormal="100" workbookViewId="0">
      <selection activeCell="D33" sqref="D33"/>
    </sheetView>
  </sheetViews>
  <sheetFormatPr defaultColWidth="0" defaultRowHeight="16" zeroHeight="1" x14ac:dyDescent="0.4"/>
  <cols>
    <col min="1" max="1" width="3.08203125" style="108" customWidth="1"/>
    <col min="2" max="2" width="28.5" style="108" bestFit="1" customWidth="1"/>
    <col min="3" max="3" width="22.75" style="101" customWidth="1"/>
    <col min="4" max="4" width="9.5" style="108" bestFit="1" customWidth="1"/>
    <col min="5" max="5" width="4.25" style="108" customWidth="1"/>
    <col min="6" max="6" width="23.08203125" style="108" customWidth="1"/>
    <col min="7" max="7" width="19.33203125" style="108" bestFit="1" customWidth="1"/>
    <col min="8" max="8" width="8.58203125" style="108" customWidth="1"/>
    <col min="9" max="9" width="3.08203125" style="108" customWidth="1"/>
    <col min="10" max="10" width="34.5" style="108" hidden="1" customWidth="1"/>
    <col min="11" max="11" width="20.5" style="108" hidden="1" customWidth="1"/>
    <col min="12" max="12" width="8.33203125" style="108" hidden="1" customWidth="1"/>
    <col min="13" max="13" width="3.5" style="108" hidden="1" customWidth="1"/>
    <col min="14" max="21" width="9" style="108" hidden="1" customWidth="1"/>
    <col min="22" max="22" width="10.33203125" style="138" hidden="1" customWidth="1"/>
    <col min="23" max="24" width="9" style="138" hidden="1" customWidth="1"/>
    <col min="25" max="25" width="28.58203125" style="138" hidden="1" customWidth="1"/>
    <col min="26" max="27" width="9.08203125" style="138" hidden="1" customWidth="1"/>
    <col min="28" max="29" width="9.33203125" style="138" hidden="1" customWidth="1"/>
    <col min="30" max="30" width="9" style="138" hidden="1" customWidth="1"/>
    <col min="31" max="16384" width="9" style="108" hidden="1"/>
  </cols>
  <sheetData>
    <row r="1" spans="2:29" ht="18.5" x14ac:dyDescent="0.45">
      <c r="B1" s="122" t="s">
        <v>520</v>
      </c>
      <c r="C1" s="118"/>
      <c r="D1" s="118"/>
    </row>
    <row r="2" spans="2:29" x14ac:dyDescent="0.4">
      <c r="B2" s="129" t="s">
        <v>64</v>
      </c>
      <c r="C2" s="129" t="s">
        <v>0</v>
      </c>
      <c r="D2" s="315" t="s">
        <v>1</v>
      </c>
      <c r="Y2" s="138" t="s">
        <v>200</v>
      </c>
    </row>
    <row r="3" spans="2:29" x14ac:dyDescent="0.4">
      <c r="B3" s="108" t="s">
        <v>123</v>
      </c>
      <c r="C3" s="160" t="s">
        <v>124</v>
      </c>
      <c r="D3" s="316">
        <v>10</v>
      </c>
      <c r="Y3" s="210" t="s">
        <v>201</v>
      </c>
      <c r="Z3" s="210" t="s">
        <v>0</v>
      </c>
      <c r="AA3" s="210" t="s">
        <v>1</v>
      </c>
      <c r="AB3" s="317" t="s">
        <v>210</v>
      </c>
    </row>
    <row r="4" spans="2:29" x14ac:dyDescent="0.4">
      <c r="B4" s="108" t="s">
        <v>188</v>
      </c>
      <c r="C4" s="160" t="s">
        <v>125</v>
      </c>
      <c r="D4" s="318">
        <v>800</v>
      </c>
      <c r="P4" s="319"/>
      <c r="Y4" s="320" t="s">
        <v>202</v>
      </c>
      <c r="Z4" s="320" t="s">
        <v>207</v>
      </c>
      <c r="AA4" s="138">
        <f>Labor!C3</f>
        <v>15</v>
      </c>
      <c r="AB4" s="321">
        <f>AA4/60*$D$23</f>
        <v>4.625</v>
      </c>
    </row>
    <row r="5" spans="2:29" x14ac:dyDescent="0.4">
      <c r="B5" s="108" t="s">
        <v>160</v>
      </c>
      <c r="C5" s="160" t="s">
        <v>218</v>
      </c>
      <c r="D5" s="322">
        <f>ROUNDDOWN(43560/D4,0)</f>
        <v>54</v>
      </c>
      <c r="Y5" s="320" t="s">
        <v>203</v>
      </c>
      <c r="Z5" s="320" t="s">
        <v>207</v>
      </c>
      <c r="AA5" s="138">
        <f>Labor!C4</f>
        <v>5</v>
      </c>
      <c r="AB5" s="321">
        <f>AA5/60*$D$23</f>
        <v>1.5416666666666665</v>
      </c>
    </row>
    <row r="6" spans="2:29" x14ac:dyDescent="0.4">
      <c r="B6" s="108" t="s">
        <v>222</v>
      </c>
      <c r="C6" s="160" t="s">
        <v>223</v>
      </c>
      <c r="D6" s="323">
        <v>0.25</v>
      </c>
      <c r="Y6" s="320" t="s">
        <v>204</v>
      </c>
      <c r="Z6" s="320" t="s">
        <v>207</v>
      </c>
      <c r="AA6" s="138">
        <f>Labor!C5</f>
        <v>0</v>
      </c>
      <c r="AB6" s="321">
        <f>AA6/60*$D$23</f>
        <v>0</v>
      </c>
    </row>
    <row r="7" spans="2:29" x14ac:dyDescent="0.4">
      <c r="B7" s="108" t="s">
        <v>190</v>
      </c>
      <c r="C7" s="160" t="s">
        <v>189</v>
      </c>
      <c r="D7" s="318">
        <v>15</v>
      </c>
      <c r="Y7" s="138" t="s">
        <v>205</v>
      </c>
      <c r="Z7" s="320" t="s">
        <v>484</v>
      </c>
      <c r="AA7" s="215">
        <f>Labor!E48/60</f>
        <v>50</v>
      </c>
      <c r="AB7" s="321">
        <f>AA7*$D$24</f>
        <v>25</v>
      </c>
    </row>
    <row r="8" spans="2:29" x14ac:dyDescent="0.4">
      <c r="B8" s="108" t="s">
        <v>215</v>
      </c>
      <c r="C8" s="160" t="s">
        <v>483</v>
      </c>
      <c r="D8" s="324">
        <v>0.5</v>
      </c>
      <c r="Y8" s="320" t="s">
        <v>328</v>
      </c>
      <c r="Z8" s="320" t="s">
        <v>208</v>
      </c>
      <c r="AA8" s="215">
        <f>Labor!C7</f>
        <v>0.27</v>
      </c>
      <c r="AB8" s="321">
        <f>AA8*$D$23/60</f>
        <v>8.3250000000000005E-2</v>
      </c>
    </row>
    <row r="9" spans="2:29" x14ac:dyDescent="0.4">
      <c r="B9" s="108" t="s">
        <v>191</v>
      </c>
      <c r="C9" s="160" t="s">
        <v>189</v>
      </c>
      <c r="D9" s="325"/>
      <c r="Y9" s="320" t="s">
        <v>206</v>
      </c>
      <c r="Z9" s="320" t="s">
        <v>318</v>
      </c>
      <c r="AA9" s="138">
        <f>Labor!C8</f>
        <v>8</v>
      </c>
      <c r="AB9" s="321">
        <f>AA9*$D$23</f>
        <v>148</v>
      </c>
    </row>
    <row r="10" spans="2:29" ht="16.5" customHeight="1" x14ac:dyDescent="0.4">
      <c r="B10" s="108" t="s">
        <v>215</v>
      </c>
      <c r="C10" s="348" t="s">
        <v>483</v>
      </c>
      <c r="D10" s="147"/>
      <c r="Y10" s="320" t="s">
        <v>209</v>
      </c>
      <c r="Z10" s="320" t="s">
        <v>318</v>
      </c>
      <c r="AA10" s="138">
        <f>Labor!C9</f>
        <v>8</v>
      </c>
      <c r="AB10" s="321">
        <f>AA10*$D$23</f>
        <v>148</v>
      </c>
    </row>
    <row r="11" spans="2:29" x14ac:dyDescent="0.4">
      <c r="B11" s="176" t="s">
        <v>334</v>
      </c>
      <c r="C11" s="119"/>
      <c r="D11" s="326" t="s">
        <v>335</v>
      </c>
      <c r="AA11" s="210"/>
      <c r="AB11" s="327"/>
    </row>
    <row r="12" spans="2:29" x14ac:dyDescent="0.4">
      <c r="B12" s="176"/>
      <c r="C12" s="119"/>
      <c r="D12" s="350"/>
      <c r="AA12" s="210"/>
      <c r="AB12" s="327"/>
    </row>
    <row r="13" spans="2:29" ht="18.5" x14ac:dyDescent="0.45">
      <c r="B13" s="122" t="s">
        <v>521</v>
      </c>
      <c r="C13" s="118"/>
      <c r="D13" s="118"/>
      <c r="E13" s="328"/>
      <c r="F13" s="329"/>
      <c r="G13" s="329"/>
      <c r="H13" s="329"/>
      <c r="X13" s="210" t="s">
        <v>52</v>
      </c>
      <c r="Y13" s="317" t="s">
        <v>51</v>
      </c>
      <c r="Z13" s="317" t="s">
        <v>54</v>
      </c>
      <c r="AA13" s="317" t="s">
        <v>55</v>
      </c>
      <c r="AB13" s="317" t="s">
        <v>118</v>
      </c>
      <c r="AC13" s="317" t="s">
        <v>119</v>
      </c>
    </row>
    <row r="14" spans="2:29" x14ac:dyDescent="0.4">
      <c r="B14" s="390" t="s">
        <v>140</v>
      </c>
      <c r="C14" s="390" t="s">
        <v>0</v>
      </c>
      <c r="D14" s="391" t="s">
        <v>1</v>
      </c>
      <c r="E14" s="392"/>
      <c r="F14" s="390" t="s">
        <v>140</v>
      </c>
      <c r="G14" s="390" t="s">
        <v>0</v>
      </c>
      <c r="H14" s="391" t="s">
        <v>1</v>
      </c>
      <c r="X14" s="138" t="s">
        <v>441</v>
      </c>
      <c r="Y14" s="330">
        <f>IF(Investment!$H$2=Investment!$I$132,Investment!J19,Investment!J39)</f>
        <v>102834</v>
      </c>
      <c r="Z14" s="330"/>
      <c r="AA14" s="330"/>
      <c r="AB14" s="330">
        <f>IF(Investment!$H$2=Investment!$I$132,Investment!M19,Investment!M39)</f>
        <v>4796.666666666667</v>
      </c>
      <c r="AC14" s="330">
        <f>IF(Investment!$H$2=Investment!$I$132,Investment!N19,Investment!N39)</f>
        <v>4658.5</v>
      </c>
    </row>
    <row r="15" spans="2:29" x14ac:dyDescent="0.4">
      <c r="B15" s="131" t="s">
        <v>170</v>
      </c>
      <c r="C15" s="221" t="s">
        <v>171</v>
      </c>
      <c r="D15" s="331">
        <v>4.5</v>
      </c>
      <c r="F15" s="108" t="s">
        <v>137</v>
      </c>
      <c r="G15" s="108" t="s">
        <v>166</v>
      </c>
      <c r="H15" s="332">
        <v>1.75</v>
      </c>
      <c r="X15" s="138" t="s">
        <v>312</v>
      </c>
      <c r="Y15" s="330">
        <f>IF(Investment!$H$2=Investment!$I$132,Investment!J20,Investment!J40)</f>
        <v>55145</v>
      </c>
      <c r="Z15" s="330"/>
      <c r="AA15" s="330"/>
      <c r="AB15" s="330">
        <f>IF(Investment!$H$2=Investment!$I$132,Investment!M20,Investment!M40)</f>
        <v>2337.3999999999996</v>
      </c>
      <c r="AC15" s="330">
        <f>IF(Investment!$H$2=Investment!$I$132,Investment!N20,Investment!N40)</f>
        <v>2073.4349999999999</v>
      </c>
    </row>
    <row r="16" spans="2:29" x14ac:dyDescent="0.4">
      <c r="B16" s="131" t="s">
        <v>130</v>
      </c>
      <c r="C16" s="221" t="s">
        <v>162</v>
      </c>
      <c r="D16" s="331">
        <v>0.48</v>
      </c>
      <c r="F16" s="131" t="s">
        <v>224</v>
      </c>
      <c r="G16" s="131" t="s">
        <v>168</v>
      </c>
      <c r="H16" s="325">
        <v>15</v>
      </c>
      <c r="X16" s="320" t="s">
        <v>138</v>
      </c>
      <c r="Y16" s="251">
        <f>Investment!D12</f>
        <v>7609</v>
      </c>
      <c r="Z16" s="138">
        <v>10</v>
      </c>
      <c r="AA16" s="333">
        <v>0.25</v>
      </c>
      <c r="AB16" s="251">
        <f>IF(Y16&gt;0,(Y16-(Y16*AA16))/Z16,"")</f>
        <v>570.67499999999995</v>
      </c>
      <c r="AC16" s="251">
        <f>IF(Y16&gt;0,((Y16+Y16*AA16)/2)*$H$22,"")</f>
        <v>332.89375000000001</v>
      </c>
    </row>
    <row r="17" spans="2:29" x14ac:dyDescent="0.4">
      <c r="B17" s="131" t="s">
        <v>131</v>
      </c>
      <c r="C17" s="221" t="s">
        <v>163</v>
      </c>
      <c r="D17" s="331">
        <v>0.61</v>
      </c>
      <c r="F17" s="131" t="s">
        <v>225</v>
      </c>
      <c r="G17" s="131" t="s">
        <v>168</v>
      </c>
      <c r="H17" s="325">
        <v>10</v>
      </c>
      <c r="X17" s="320"/>
      <c r="Y17" s="251"/>
      <c r="AA17" s="333"/>
      <c r="AB17" s="251"/>
      <c r="AC17" s="251"/>
    </row>
    <row r="18" spans="2:29" x14ac:dyDescent="0.4">
      <c r="B18" s="131" t="s">
        <v>132</v>
      </c>
      <c r="C18" s="221" t="s">
        <v>164</v>
      </c>
      <c r="D18" s="331">
        <v>0.62</v>
      </c>
      <c r="F18" s="211" t="s">
        <v>494</v>
      </c>
      <c r="G18" s="131" t="s">
        <v>168</v>
      </c>
      <c r="H18" s="325">
        <v>40</v>
      </c>
      <c r="X18" s="320"/>
      <c r="Y18" s="251"/>
      <c r="AA18" s="333"/>
      <c r="AB18" s="251"/>
      <c r="AC18" s="251"/>
    </row>
    <row r="19" spans="2:29" x14ac:dyDescent="0.4">
      <c r="B19" s="131" t="s">
        <v>127</v>
      </c>
      <c r="C19" s="221" t="s">
        <v>161</v>
      </c>
      <c r="D19" s="325">
        <v>30</v>
      </c>
      <c r="F19" s="211" t="s">
        <v>495</v>
      </c>
      <c r="G19" s="131" t="s">
        <v>168</v>
      </c>
      <c r="H19" s="325">
        <v>25</v>
      </c>
      <c r="X19" s="320"/>
      <c r="Y19" s="251"/>
      <c r="AA19" s="333"/>
      <c r="AB19" s="251"/>
      <c r="AC19" s="251"/>
    </row>
    <row r="20" spans="2:29" x14ac:dyDescent="0.4">
      <c r="B20" s="131" t="s">
        <v>511</v>
      </c>
      <c r="C20" s="221" t="s">
        <v>513</v>
      </c>
      <c r="D20" s="325">
        <v>4.5</v>
      </c>
      <c r="F20" s="131" t="s">
        <v>175</v>
      </c>
      <c r="G20" s="131" t="s">
        <v>311</v>
      </c>
      <c r="H20" s="325">
        <v>10</v>
      </c>
      <c r="X20" s="320"/>
      <c r="Y20" s="251"/>
      <c r="AA20" s="333"/>
      <c r="AB20" s="251"/>
      <c r="AC20" s="251"/>
    </row>
    <row r="21" spans="2:29" x14ac:dyDescent="0.4">
      <c r="B21" s="131" t="s">
        <v>133</v>
      </c>
      <c r="C21" s="221" t="s">
        <v>167</v>
      </c>
      <c r="D21" s="325">
        <v>25</v>
      </c>
      <c r="F21" s="131" t="s">
        <v>156</v>
      </c>
      <c r="G21" s="131" t="s">
        <v>157</v>
      </c>
      <c r="H21" s="334">
        <v>0.08</v>
      </c>
      <c r="X21" s="320"/>
      <c r="Y21" s="251"/>
      <c r="AA21" s="333"/>
      <c r="AB21" s="251"/>
      <c r="AC21" s="251"/>
    </row>
    <row r="22" spans="2:29" x14ac:dyDescent="0.4">
      <c r="B22" s="131" t="s">
        <v>512</v>
      </c>
      <c r="C22" s="221" t="s">
        <v>167</v>
      </c>
      <c r="D22" s="325">
        <v>20</v>
      </c>
      <c r="F22" s="131" t="s">
        <v>155</v>
      </c>
      <c r="G22" s="131" t="s">
        <v>157</v>
      </c>
      <c r="H22" s="334">
        <v>7.0000000000000007E-2</v>
      </c>
      <c r="X22" s="320"/>
      <c r="Y22" s="251"/>
      <c r="AA22" s="333"/>
      <c r="AB22" s="251"/>
      <c r="AC22" s="251"/>
    </row>
    <row r="23" spans="2:29" ht="32" x14ac:dyDescent="0.4">
      <c r="B23" s="131" t="s">
        <v>173</v>
      </c>
      <c r="C23" s="221" t="s">
        <v>174</v>
      </c>
      <c r="D23" s="325">
        <v>18.5</v>
      </c>
      <c r="E23" s="209"/>
      <c r="F23" s="239" t="s">
        <v>401</v>
      </c>
      <c r="G23" s="335" t="s">
        <v>177</v>
      </c>
      <c r="H23" s="336">
        <v>0</v>
      </c>
      <c r="X23" s="320"/>
      <c r="Y23" s="251"/>
      <c r="AA23" s="333"/>
      <c r="AB23" s="251"/>
      <c r="AC23" s="251"/>
    </row>
    <row r="24" spans="2:29" x14ac:dyDescent="0.4">
      <c r="B24" s="131" t="s">
        <v>485</v>
      </c>
      <c r="C24" s="221" t="s">
        <v>486</v>
      </c>
      <c r="D24" s="325">
        <v>0.5</v>
      </c>
      <c r="E24" s="102"/>
      <c r="X24" s="320"/>
      <c r="Y24" s="251"/>
      <c r="AA24" s="333"/>
      <c r="AB24" s="251"/>
      <c r="AC24" s="251"/>
    </row>
    <row r="25" spans="2:29" x14ac:dyDescent="0.4">
      <c r="B25" s="175" t="s">
        <v>219</v>
      </c>
      <c r="C25" s="349" t="s">
        <v>220</v>
      </c>
      <c r="D25" s="326">
        <v>100</v>
      </c>
      <c r="E25" s="176"/>
      <c r="F25" s="176"/>
      <c r="G25" s="176"/>
      <c r="H25" s="176"/>
      <c r="X25" s="320"/>
      <c r="Y25" s="251"/>
      <c r="AA25" s="333"/>
      <c r="AB25" s="251"/>
      <c r="AC25" s="251"/>
    </row>
    <row r="26" spans="2:29" x14ac:dyDescent="0.4">
      <c r="B26" s="175"/>
      <c r="C26" s="349"/>
      <c r="D26" s="350"/>
      <c r="X26" s="320"/>
      <c r="Y26" s="251"/>
      <c r="AA26" s="333"/>
      <c r="AB26" s="251"/>
      <c r="AC26" s="251"/>
    </row>
    <row r="27" spans="2:29" ht="18.5" x14ac:dyDescent="0.45">
      <c r="B27" s="122" t="s">
        <v>522</v>
      </c>
      <c r="C27" s="118"/>
      <c r="D27" s="121"/>
      <c r="F27" s="131"/>
      <c r="X27" s="320"/>
      <c r="Y27" s="251"/>
      <c r="AA27" s="333"/>
      <c r="AB27" s="251"/>
      <c r="AC27" s="251"/>
    </row>
    <row r="28" spans="2:29" x14ac:dyDescent="0.4">
      <c r="B28" s="390" t="s">
        <v>140</v>
      </c>
      <c r="C28" s="390" t="s">
        <v>0</v>
      </c>
      <c r="D28" s="391" t="s">
        <v>1</v>
      </c>
      <c r="F28" s="131"/>
      <c r="X28" s="320"/>
      <c r="Y28" s="251"/>
      <c r="AA28" s="333"/>
      <c r="AB28" s="251"/>
      <c r="AC28" s="251"/>
    </row>
    <row r="29" spans="2:29" x14ac:dyDescent="0.4">
      <c r="B29" s="131" t="s">
        <v>116</v>
      </c>
      <c r="C29" s="221" t="s">
        <v>117</v>
      </c>
      <c r="D29" s="323">
        <v>0.25</v>
      </c>
      <c r="F29" s="131"/>
      <c r="X29" s="320"/>
      <c r="Y29" s="251"/>
      <c r="AA29" s="333"/>
      <c r="AB29" s="251"/>
      <c r="AC29" s="251"/>
    </row>
    <row r="30" spans="2:29" x14ac:dyDescent="0.4">
      <c r="B30" s="131" t="s">
        <v>444</v>
      </c>
      <c r="C30" s="221" t="s">
        <v>117</v>
      </c>
      <c r="D30" s="323">
        <v>0.75</v>
      </c>
      <c r="F30" s="131"/>
      <c r="X30" s="320"/>
      <c r="Y30" s="251"/>
      <c r="AA30" s="333"/>
      <c r="AB30" s="251"/>
      <c r="AC30" s="251"/>
    </row>
    <row r="31" spans="2:29" x14ac:dyDescent="0.4">
      <c r="B31" s="131" t="s">
        <v>315</v>
      </c>
      <c r="C31" s="221" t="s">
        <v>487</v>
      </c>
      <c r="D31" s="323">
        <v>0.02</v>
      </c>
      <c r="F31" s="131"/>
      <c r="X31" s="320"/>
      <c r="Y31" s="251"/>
      <c r="AA31" s="333"/>
      <c r="AB31" s="251"/>
      <c r="AC31" s="251"/>
    </row>
    <row r="32" spans="2:29" x14ac:dyDescent="0.4">
      <c r="B32" s="131" t="s">
        <v>446</v>
      </c>
      <c r="C32" s="221" t="s">
        <v>165</v>
      </c>
      <c r="D32" s="337">
        <v>3.5</v>
      </c>
      <c r="F32" s="131"/>
      <c r="X32" s="320"/>
      <c r="Y32" s="251"/>
      <c r="AA32" s="333"/>
      <c r="AB32" s="251"/>
      <c r="AC32" s="251"/>
    </row>
    <row r="33" spans="2:29" x14ac:dyDescent="0.4">
      <c r="B33" s="175" t="s">
        <v>445</v>
      </c>
      <c r="C33" s="349" t="s">
        <v>165</v>
      </c>
      <c r="D33" s="338">
        <v>6.5</v>
      </c>
      <c r="F33" s="131"/>
      <c r="X33" s="320"/>
      <c r="Y33" s="251"/>
      <c r="AA33" s="333"/>
      <c r="AB33" s="251"/>
      <c r="AC33" s="251"/>
    </row>
    <row r="34" spans="2:29" hidden="1" x14ac:dyDescent="0.4">
      <c r="B34" s="131"/>
      <c r="C34" s="120"/>
      <c r="D34" s="339"/>
      <c r="F34" s="131"/>
      <c r="X34" s="320"/>
      <c r="Y34" s="251"/>
      <c r="AA34" s="333"/>
      <c r="AB34" s="251"/>
      <c r="AC34" s="251"/>
    </row>
    <row r="35" spans="2:29" hidden="1" x14ac:dyDescent="0.4">
      <c r="B35" s="131"/>
      <c r="C35" s="120"/>
      <c r="D35" s="340"/>
      <c r="F35" s="131"/>
      <c r="X35" s="320" t="s">
        <v>309</v>
      </c>
      <c r="Y35" s="251">
        <f>IF(D11=R6,SUMPRODUCT(Investment!C26:C35,Investment!D26:D35),0)</f>
        <v>0</v>
      </c>
      <c r="Z35" s="138">
        <v>30</v>
      </c>
      <c r="AA35" s="341">
        <v>0.2</v>
      </c>
      <c r="AB35" s="251" t="str">
        <f>IF(Y35&gt;0,(Y35-(Y35*AA35))/Z35,"")</f>
        <v/>
      </c>
      <c r="AC35" s="251" t="str">
        <f>IF(Y35&gt;0,((Y35+Y35*AA35)/2)*$H$22,"")</f>
        <v/>
      </c>
    </row>
    <row r="36" spans="2:29" hidden="1" x14ac:dyDescent="0.4">
      <c r="F36" s="131"/>
      <c r="U36" s="342" t="s">
        <v>51</v>
      </c>
      <c r="X36" s="320" t="s">
        <v>172</v>
      </c>
      <c r="Y36" s="251">
        <v>5500</v>
      </c>
      <c r="Z36" s="138">
        <v>20</v>
      </c>
      <c r="AA36" s="341">
        <v>0.1</v>
      </c>
      <c r="AB36" s="251">
        <f>IF(Y36&gt;0,(Y36-(Y36*AA36))/Z36,"")</f>
        <v>247.5</v>
      </c>
      <c r="AC36" s="251">
        <f>IF(Y36&gt;0,((Y36+Y36*AA36)/2)*$H$22,"")</f>
        <v>211.75000000000003</v>
      </c>
    </row>
    <row r="37" spans="2:29" hidden="1" x14ac:dyDescent="0.4">
      <c r="C37" s="120"/>
      <c r="F37" s="131"/>
      <c r="X37" s="138" t="s">
        <v>442</v>
      </c>
      <c r="Y37" s="343">
        <f>SUM(Y14,Y16:Y36)</f>
        <v>115943</v>
      </c>
      <c r="Z37" s="344"/>
      <c r="AA37" s="345"/>
      <c r="AB37" s="343">
        <f>SUM(AB14,AB16:AB36)</f>
        <v>5614.8416666666672</v>
      </c>
      <c r="AC37" s="343">
        <f>SUM(AC14,AC16:AC36)</f>
        <v>5203.1437500000002</v>
      </c>
    </row>
    <row r="38" spans="2:29" hidden="1" x14ac:dyDescent="0.4">
      <c r="C38" s="120"/>
      <c r="X38" s="138" t="s">
        <v>443</v>
      </c>
      <c r="Y38" s="346">
        <f>SUM(Y14:Y36)</f>
        <v>171088</v>
      </c>
      <c r="AB38" s="346">
        <f>SUM(AB14:AB36)</f>
        <v>7952.2416666666668</v>
      </c>
      <c r="AC38" s="346">
        <f>SUM(AC14:AC36)</f>
        <v>7276.5787499999997</v>
      </c>
    </row>
    <row r="49" spans="2:7" ht="15" customHeight="1" x14ac:dyDescent="0.4"/>
    <row r="56" spans="2:7" hidden="1" x14ac:dyDescent="0.4">
      <c r="B56" s="131"/>
    </row>
    <row r="57" spans="2:7" hidden="1" x14ac:dyDescent="0.4">
      <c r="B57" s="131"/>
      <c r="F57" s="347"/>
    </row>
    <row r="58" spans="2:7" hidden="1" x14ac:dyDescent="0.4">
      <c r="B58" s="131"/>
    </row>
    <row r="59" spans="2:7" hidden="1" x14ac:dyDescent="0.4">
      <c r="B59" s="131"/>
    </row>
    <row r="61" spans="2:7" hidden="1" x14ac:dyDescent="0.4">
      <c r="G61" s="281"/>
    </row>
    <row r="62" spans="2:7" hidden="1" x14ac:dyDescent="0.4">
      <c r="G62" s="281"/>
    </row>
    <row r="63" spans="2:7" hidden="1" x14ac:dyDescent="0.4">
      <c r="E63" s="102"/>
      <c r="F63" s="281"/>
      <c r="G63" s="281"/>
    </row>
    <row r="64" spans="2:7" hidden="1" x14ac:dyDescent="0.4">
      <c r="F64" s="281"/>
      <c r="G64" s="281"/>
    </row>
    <row r="65" spans="7:17" hidden="1" x14ac:dyDescent="0.4">
      <c r="G65" s="281"/>
      <c r="H65" s="281"/>
    </row>
    <row r="66" spans="7:17" hidden="1" x14ac:dyDescent="0.4">
      <c r="G66" s="281"/>
    </row>
    <row r="68" spans="7:17" hidden="1" x14ac:dyDescent="0.4">
      <c r="G68" s="281"/>
    </row>
    <row r="72" spans="7:17" hidden="1" x14ac:dyDescent="0.4">
      <c r="N72" s="108">
        <v>9</v>
      </c>
      <c r="O72" s="108" t="s">
        <v>184</v>
      </c>
      <c r="P72" s="108">
        <v>10</v>
      </c>
      <c r="Q72" s="108">
        <v>11</v>
      </c>
    </row>
  </sheetData>
  <sheetProtection sheet="1" objects="1" scenarios="1"/>
  <protectedRanges>
    <protectedRange sqref="G30 D15:D25 F18:F19 H15:H23 D29:D33" name="Edit cells"/>
  </protectedRanges>
  <dataValidations count="1">
    <dataValidation type="list" allowBlank="1" showInputMessage="1" showErrorMessage="1" sqref="D11:D12" xr:uid="{313AFE7C-8D38-43E7-B013-5F8764732F09}">
      <formula1>$R$6:$R$7</formula1>
    </dataValidation>
  </dataValidations>
  <pageMargins left="0.7" right="0.7" top="0.75" bottom="0.75" header="0.3" footer="0.3"/>
  <pageSetup scale="9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6A854-8F12-497C-A13C-D5CF01DBB6DD}">
  <sheetPr>
    <pageSetUpPr fitToPage="1"/>
  </sheetPr>
  <dimension ref="A1:XFC137"/>
  <sheetViews>
    <sheetView showGridLines="0" workbookViewId="0">
      <selection activeCell="N53" sqref="N53"/>
    </sheetView>
  </sheetViews>
  <sheetFormatPr defaultColWidth="0" defaultRowHeight="16" zeroHeight="1" x14ac:dyDescent="0.4"/>
  <cols>
    <col min="1" max="1" width="3.08203125" style="108" customWidth="1"/>
    <col min="2" max="2" width="24.58203125" style="108" bestFit="1" customWidth="1"/>
    <col min="3" max="3" width="15.25" style="108" customWidth="1"/>
    <col min="4" max="4" width="12.58203125" style="108" customWidth="1"/>
    <col min="5" max="5" width="13.58203125" style="108" hidden="1" customWidth="1"/>
    <col min="6" max="6" width="3.08203125" style="126" customWidth="1"/>
    <col min="7" max="7" width="28.58203125" style="108" customWidth="1"/>
    <col min="8" max="8" width="8.08203125" style="108" customWidth="1"/>
    <col min="9" max="9" width="24.58203125" style="108" customWidth="1"/>
    <col min="10" max="10" width="11" style="108" bestFit="1" customWidth="1"/>
    <col min="11" max="11" width="10" style="108" customWidth="1"/>
    <col min="12" max="12" width="12.83203125" style="108" bestFit="1" customWidth="1"/>
    <col min="13" max="13" width="12.08203125" style="108" bestFit="1" customWidth="1"/>
    <col min="14" max="14" width="8.75" style="108" bestFit="1" customWidth="1"/>
    <col min="15" max="15" width="11.58203125" style="108" customWidth="1"/>
    <col min="16" max="16" width="10.08203125" style="108" customWidth="1"/>
    <col min="17" max="17" width="3.08203125" style="108" customWidth="1"/>
    <col min="18" max="18" width="9" style="108" hidden="1" customWidth="1"/>
    <col min="19" max="19" width="9.08203125" style="108" hidden="1" customWidth="1"/>
    <col min="20" max="20" width="12.25" style="108" hidden="1" customWidth="1"/>
    <col min="21" max="23" width="11.58203125" style="108" hidden="1" customWidth="1"/>
    <col min="24" max="24" width="12.25" style="108" hidden="1" customWidth="1"/>
    <col min="25" max="28" width="11.58203125" style="108" hidden="1" customWidth="1"/>
    <col min="29" max="16383" width="9" style="108" hidden="1"/>
    <col min="16384" max="16384" width="3.08203125" style="108" hidden="1" customWidth="1"/>
  </cols>
  <sheetData>
    <row r="1" spans="2:16" ht="18.5" x14ac:dyDescent="0.45">
      <c r="B1" s="377" t="s">
        <v>523</v>
      </c>
      <c r="C1" s="124"/>
      <c r="D1" s="125"/>
      <c r="G1" s="378" t="s">
        <v>524</v>
      </c>
      <c r="H1" s="127"/>
      <c r="I1" s="127"/>
      <c r="O1" s="126" t="s">
        <v>335</v>
      </c>
    </row>
    <row r="2" spans="2:16" ht="16.5" thickBot="1" x14ac:dyDescent="0.45">
      <c r="B2" s="128" t="s">
        <v>140</v>
      </c>
      <c r="C2" s="129" t="s">
        <v>1</v>
      </c>
      <c r="D2" s="130" t="s">
        <v>141</v>
      </c>
      <c r="G2" s="131" t="s">
        <v>365</v>
      </c>
      <c r="H2" s="419" t="s">
        <v>361</v>
      </c>
      <c r="I2" s="419"/>
      <c r="O2" s="126" t="s">
        <v>336</v>
      </c>
    </row>
    <row r="3" spans="2:16" ht="18.5" x14ac:dyDescent="0.45">
      <c r="B3" s="132" t="s">
        <v>143</v>
      </c>
      <c r="C3" s="133">
        <v>2</v>
      </c>
      <c r="D3" s="134">
        <v>25</v>
      </c>
      <c r="G3" s="377" t="s">
        <v>361</v>
      </c>
      <c r="H3" s="124"/>
      <c r="I3" s="124"/>
      <c r="J3" s="124"/>
      <c r="K3" s="124"/>
      <c r="L3" s="124"/>
      <c r="M3" s="124"/>
      <c r="N3" s="124"/>
      <c r="O3" s="124"/>
      <c r="P3" s="125"/>
    </row>
    <row r="4" spans="2:16" ht="18.649999999999999" customHeight="1" thickBot="1" x14ac:dyDescent="0.45">
      <c r="B4" s="135" t="s">
        <v>142</v>
      </c>
      <c r="C4" s="136">
        <v>2</v>
      </c>
      <c r="D4" s="137">
        <v>30</v>
      </c>
      <c r="F4" s="138"/>
      <c r="G4" s="139" t="s">
        <v>140</v>
      </c>
      <c r="H4" s="140" t="s">
        <v>509</v>
      </c>
      <c r="I4" s="141" t="s">
        <v>507</v>
      </c>
      <c r="J4" s="142" t="s">
        <v>362</v>
      </c>
      <c r="K4" s="142" t="s">
        <v>54</v>
      </c>
      <c r="L4" s="142" t="s">
        <v>366</v>
      </c>
      <c r="M4" s="142" t="s">
        <v>118</v>
      </c>
      <c r="N4" s="142" t="s">
        <v>119</v>
      </c>
      <c r="O4" s="142" t="s">
        <v>72</v>
      </c>
      <c r="P4" s="143" t="s">
        <v>359</v>
      </c>
    </row>
    <row r="5" spans="2:16" x14ac:dyDescent="0.4">
      <c r="B5" s="132" t="s">
        <v>144</v>
      </c>
      <c r="C5" s="133">
        <v>1</v>
      </c>
      <c r="D5" s="134">
        <v>44</v>
      </c>
      <c r="F5" s="126" t="s">
        <v>464</v>
      </c>
      <c r="G5" s="144" t="s">
        <v>426</v>
      </c>
      <c r="H5" s="145" t="s">
        <v>335</v>
      </c>
      <c r="I5" s="133" t="s">
        <v>353</v>
      </c>
      <c r="J5" s="146">
        <v>23000</v>
      </c>
      <c r="K5" s="133">
        <v>20</v>
      </c>
      <c r="L5" s="147">
        <v>0.3</v>
      </c>
      <c r="M5" s="148">
        <f t="shared" ref="M5:M18" si="0">IF($H5=$K$134,(J5-(J5*L5))/K5,0)</f>
        <v>805</v>
      </c>
      <c r="N5" s="148">
        <f>IF($H5=$K$134,(J5+J5*L5)/2*Inputs!$H$22,0)</f>
        <v>1046.5</v>
      </c>
      <c r="O5" s="147">
        <v>0.02</v>
      </c>
      <c r="P5" s="149">
        <f t="shared" ref="P5:P18" si="1">IF(H5=$K$134,O5*J5,0)</f>
        <v>460</v>
      </c>
    </row>
    <row r="6" spans="2:16" x14ac:dyDescent="0.4">
      <c r="B6" s="132" t="s">
        <v>145</v>
      </c>
      <c r="C6" s="133">
        <v>2</v>
      </c>
      <c r="D6" s="134">
        <v>40</v>
      </c>
      <c r="F6" s="126" t="s">
        <v>469</v>
      </c>
      <c r="G6" s="144" t="s">
        <v>342</v>
      </c>
      <c r="H6" s="145" t="s">
        <v>335</v>
      </c>
      <c r="I6" s="133" t="s">
        <v>358</v>
      </c>
      <c r="J6" s="146">
        <v>13000</v>
      </c>
      <c r="K6" s="133">
        <v>10</v>
      </c>
      <c r="L6" s="147">
        <v>0.3</v>
      </c>
      <c r="M6" s="148">
        <f t="shared" si="0"/>
        <v>910</v>
      </c>
      <c r="N6" s="148">
        <f>IF($H6=$K$134,(J6+J6*L6)/2*Inputs!$H$22,0)</f>
        <v>591.5</v>
      </c>
      <c r="O6" s="147">
        <v>0.02</v>
      </c>
      <c r="P6" s="149">
        <f t="shared" si="1"/>
        <v>260</v>
      </c>
    </row>
    <row r="7" spans="2:16" x14ac:dyDescent="0.4">
      <c r="B7" s="132" t="s">
        <v>313</v>
      </c>
      <c r="C7" s="133">
        <v>2</v>
      </c>
      <c r="D7" s="134">
        <v>450</v>
      </c>
      <c r="F7" s="126" t="s">
        <v>469</v>
      </c>
      <c r="G7" s="144" t="s">
        <v>310</v>
      </c>
      <c r="H7" s="145" t="s">
        <v>335</v>
      </c>
      <c r="I7" s="133" t="s">
        <v>349</v>
      </c>
      <c r="J7" s="146">
        <v>16000</v>
      </c>
      <c r="K7" s="133">
        <v>15</v>
      </c>
      <c r="L7" s="147">
        <v>0.2</v>
      </c>
      <c r="M7" s="148">
        <f t="shared" si="0"/>
        <v>853.33333333333337</v>
      </c>
      <c r="N7" s="148">
        <f>IF($H7=$K$134,(J7+J7*L7)/2*Inputs!$H$22,0)</f>
        <v>672.00000000000011</v>
      </c>
      <c r="O7" s="147">
        <v>0.05</v>
      </c>
      <c r="P7" s="149">
        <f t="shared" si="1"/>
        <v>800</v>
      </c>
    </row>
    <row r="8" spans="2:16" x14ac:dyDescent="0.4">
      <c r="B8" s="132" t="s">
        <v>146</v>
      </c>
      <c r="C8" s="133">
        <v>2</v>
      </c>
      <c r="D8" s="134">
        <v>350</v>
      </c>
      <c r="F8" s="126" t="s">
        <v>469</v>
      </c>
      <c r="G8" s="144" t="s">
        <v>337</v>
      </c>
      <c r="H8" s="145" t="s">
        <v>335</v>
      </c>
      <c r="I8" s="133" t="s">
        <v>357</v>
      </c>
      <c r="J8" s="146">
        <v>3000</v>
      </c>
      <c r="K8" s="133">
        <v>20</v>
      </c>
      <c r="L8" s="147">
        <v>0.2</v>
      </c>
      <c r="M8" s="148">
        <f t="shared" si="0"/>
        <v>120</v>
      </c>
      <c r="N8" s="148">
        <f>IF($H8=$K$134,(J8+J8*L8)/2*Inputs!$H$22,0)</f>
        <v>126.00000000000001</v>
      </c>
      <c r="O8" s="147">
        <v>0.05</v>
      </c>
      <c r="P8" s="149">
        <f t="shared" si="1"/>
        <v>150</v>
      </c>
    </row>
    <row r="9" spans="2:16" x14ac:dyDescent="0.4">
      <c r="B9" s="132" t="s">
        <v>525</v>
      </c>
      <c r="C9" s="133">
        <v>15</v>
      </c>
      <c r="D9" s="150">
        <v>150</v>
      </c>
      <c r="F9" s="126" t="s">
        <v>469</v>
      </c>
      <c r="G9" s="144" t="s">
        <v>427</v>
      </c>
      <c r="H9" s="145" t="s">
        <v>335</v>
      </c>
      <c r="I9" s="133" t="s">
        <v>350</v>
      </c>
      <c r="J9" s="146">
        <v>20000</v>
      </c>
      <c r="K9" s="133">
        <v>15</v>
      </c>
      <c r="L9" s="147">
        <v>0.3</v>
      </c>
      <c r="M9" s="148">
        <f t="shared" si="0"/>
        <v>933.33333333333337</v>
      </c>
      <c r="N9" s="148">
        <f>IF($H9=$K$134,(J9+J9*L9)/2*Inputs!$H$22,0)</f>
        <v>910.00000000000011</v>
      </c>
      <c r="O9" s="147">
        <v>0.05</v>
      </c>
      <c r="P9" s="149">
        <f t="shared" si="1"/>
        <v>1000</v>
      </c>
    </row>
    <row r="10" spans="2:16" x14ac:dyDescent="0.4">
      <c r="B10" s="132" t="s">
        <v>502</v>
      </c>
      <c r="C10" s="133">
        <v>100</v>
      </c>
      <c r="D10" s="150">
        <v>24</v>
      </c>
      <c r="F10" s="126" t="s">
        <v>469</v>
      </c>
      <c r="G10" s="144" t="s">
        <v>338</v>
      </c>
      <c r="H10" s="145" t="s">
        <v>335</v>
      </c>
      <c r="I10" s="133" t="s">
        <v>348</v>
      </c>
      <c r="J10" s="146">
        <v>11000</v>
      </c>
      <c r="K10" s="133">
        <v>20</v>
      </c>
      <c r="L10" s="147">
        <v>0.5</v>
      </c>
      <c r="M10" s="148">
        <f t="shared" si="0"/>
        <v>275</v>
      </c>
      <c r="N10" s="148">
        <f>IF($H10=$K$134,(J10+J10*L10)/2*Inputs!$H$22,0)</f>
        <v>577.5</v>
      </c>
      <c r="O10" s="147">
        <v>0.02</v>
      </c>
      <c r="P10" s="149">
        <f t="shared" si="1"/>
        <v>220</v>
      </c>
    </row>
    <row r="11" spans="2:16" x14ac:dyDescent="0.4">
      <c r="B11" s="151" t="s">
        <v>526</v>
      </c>
      <c r="C11" s="152">
        <v>15</v>
      </c>
      <c r="D11" s="153">
        <v>75</v>
      </c>
      <c r="F11" s="126" t="s">
        <v>469</v>
      </c>
      <c r="G11" s="144" t="s">
        <v>339</v>
      </c>
      <c r="H11" s="145" t="s">
        <v>335</v>
      </c>
      <c r="I11" s="133" t="s">
        <v>346</v>
      </c>
      <c r="J11" s="146">
        <v>15000</v>
      </c>
      <c r="K11" s="133">
        <v>10</v>
      </c>
      <c r="L11" s="147">
        <v>0.4</v>
      </c>
      <c r="M11" s="148">
        <f t="shared" si="0"/>
        <v>900</v>
      </c>
      <c r="N11" s="148">
        <f>IF($H11=$K$134,(J11+J11*L11)/2*Inputs!$H$22,0)</f>
        <v>735.00000000000011</v>
      </c>
      <c r="O11" s="147">
        <v>0.03</v>
      </c>
      <c r="P11" s="149">
        <f t="shared" si="1"/>
        <v>450</v>
      </c>
    </row>
    <row r="12" spans="2:16" ht="16.5" thickBot="1" x14ac:dyDescent="0.45">
      <c r="B12" s="139"/>
      <c r="C12" s="154" t="s">
        <v>51</v>
      </c>
      <c r="D12" s="155">
        <f>SUMPRODUCT(C3:C11,D3:D11)</f>
        <v>7609</v>
      </c>
      <c r="F12" s="126" t="s">
        <v>469</v>
      </c>
      <c r="G12" s="144" t="s">
        <v>340</v>
      </c>
      <c r="H12" s="145" t="s">
        <v>336</v>
      </c>
      <c r="I12" s="133" t="s">
        <v>364</v>
      </c>
      <c r="J12" s="146">
        <v>5200</v>
      </c>
      <c r="K12" s="133">
        <v>20</v>
      </c>
      <c r="L12" s="147">
        <v>0.3</v>
      </c>
      <c r="M12" s="148">
        <f t="shared" si="0"/>
        <v>0</v>
      </c>
      <c r="N12" s="148">
        <f>IF($H12=$K$134,(J12+J12*L12)/2*Inputs!$H$22,0)</f>
        <v>0</v>
      </c>
      <c r="O12" s="147">
        <v>0.02</v>
      </c>
      <c r="P12" s="149">
        <f t="shared" si="1"/>
        <v>0</v>
      </c>
    </row>
    <row r="13" spans="2:16" ht="18.5" x14ac:dyDescent="0.45">
      <c r="B13" s="377" t="s">
        <v>382</v>
      </c>
      <c r="C13" s="124"/>
      <c r="D13" s="125"/>
      <c r="F13" s="126" t="s">
        <v>468</v>
      </c>
      <c r="G13" s="144" t="s">
        <v>428</v>
      </c>
      <c r="H13" s="145" t="s">
        <v>335</v>
      </c>
      <c r="I13" s="133" t="s">
        <v>429</v>
      </c>
      <c r="J13" s="146">
        <v>12000</v>
      </c>
      <c r="K13" s="133">
        <v>20</v>
      </c>
      <c r="L13" s="147">
        <v>0.2</v>
      </c>
      <c r="M13" s="148">
        <f t="shared" si="0"/>
        <v>480</v>
      </c>
      <c r="N13" s="148">
        <f>IF($H13=$K$134,(J13+J13*L13)/2*Inputs!$H$22,0)</f>
        <v>504.00000000000006</v>
      </c>
      <c r="O13" s="147">
        <v>0.05</v>
      </c>
      <c r="P13" s="149">
        <f t="shared" si="1"/>
        <v>600</v>
      </c>
    </row>
    <row r="14" spans="2:16" x14ac:dyDescent="0.4">
      <c r="B14" s="157" t="s">
        <v>140</v>
      </c>
      <c r="C14" s="158" t="s">
        <v>111</v>
      </c>
      <c r="D14" s="159" t="s">
        <v>383</v>
      </c>
      <c r="F14" s="126" t="s">
        <v>468</v>
      </c>
      <c r="G14" s="144" t="s">
        <v>503</v>
      </c>
      <c r="H14" s="145" t="s">
        <v>335</v>
      </c>
      <c r="I14" s="133" t="s">
        <v>434</v>
      </c>
      <c r="J14" s="156">
        <f>J53</f>
        <v>9750</v>
      </c>
      <c r="K14" s="133">
        <v>20</v>
      </c>
      <c r="L14" s="147">
        <v>0.2</v>
      </c>
      <c r="M14" s="148">
        <f t="shared" si="0"/>
        <v>390</v>
      </c>
      <c r="N14" s="148">
        <f>IF($H14=$K$134,(J14+J14*L14)/2*Inputs!$H$22,0)</f>
        <v>409.50000000000006</v>
      </c>
      <c r="O14" s="147">
        <v>0.05</v>
      </c>
      <c r="P14" s="149">
        <f t="shared" si="1"/>
        <v>487.5</v>
      </c>
    </row>
    <row r="15" spans="2:16" x14ac:dyDescent="0.4">
      <c r="B15" s="144" t="s">
        <v>384</v>
      </c>
      <c r="C15" s="160" t="s">
        <v>385</v>
      </c>
      <c r="D15" s="161">
        <v>11</v>
      </c>
      <c r="F15" s="126" t="s">
        <v>468</v>
      </c>
      <c r="G15" s="144" t="s">
        <v>489</v>
      </c>
      <c r="H15" s="145" t="s">
        <v>335</v>
      </c>
      <c r="I15" s="133" t="s">
        <v>490</v>
      </c>
      <c r="J15" s="146">
        <v>450</v>
      </c>
      <c r="K15" s="133">
        <v>30</v>
      </c>
      <c r="L15" s="147">
        <v>0.25</v>
      </c>
      <c r="M15" s="148">
        <f t="shared" si="0"/>
        <v>11.25</v>
      </c>
      <c r="N15" s="148">
        <f>IF($H15=$K$134,(J15+J15*L15)/2*Inputs!$H$22,0)</f>
        <v>19.687500000000004</v>
      </c>
      <c r="O15" s="147">
        <v>0.02</v>
      </c>
      <c r="P15" s="149">
        <f t="shared" si="1"/>
        <v>9</v>
      </c>
    </row>
    <row r="16" spans="2:16" x14ac:dyDescent="0.4">
      <c r="B16" s="144" t="s">
        <v>287</v>
      </c>
      <c r="C16" s="160" t="s">
        <v>386</v>
      </c>
      <c r="D16" s="162">
        <f>ROUND(C61*C58/D15,0)</f>
        <v>49</v>
      </c>
      <c r="F16" s="126" t="s">
        <v>468</v>
      </c>
      <c r="G16" s="144" t="s">
        <v>431</v>
      </c>
      <c r="H16" s="145" t="s">
        <v>335</v>
      </c>
      <c r="I16" s="133" t="s">
        <v>432</v>
      </c>
      <c r="J16" s="146">
        <v>2000</v>
      </c>
      <c r="K16" s="133">
        <v>15</v>
      </c>
      <c r="L16" s="147">
        <v>0.2</v>
      </c>
      <c r="M16" s="148">
        <f t="shared" si="0"/>
        <v>106.66666666666667</v>
      </c>
      <c r="N16" s="148">
        <f>IF($H16=$K$134,(J16+J16*L16)/2*Inputs!$H$22,0)</f>
        <v>84.000000000000014</v>
      </c>
      <c r="O16" s="147">
        <v>0.02</v>
      </c>
      <c r="P16" s="149">
        <f t="shared" si="1"/>
        <v>40</v>
      </c>
    </row>
    <row r="17" spans="2:23" x14ac:dyDescent="0.4">
      <c r="B17" s="417" t="s">
        <v>387</v>
      </c>
      <c r="C17" s="416" t="s">
        <v>288</v>
      </c>
      <c r="D17" s="418">
        <v>10</v>
      </c>
      <c r="F17" s="126" t="s">
        <v>468</v>
      </c>
      <c r="G17" s="144" t="s">
        <v>529</v>
      </c>
      <c r="H17" s="145" t="s">
        <v>335</v>
      </c>
      <c r="I17" s="133" t="s">
        <v>528</v>
      </c>
      <c r="J17" s="146">
        <v>170</v>
      </c>
      <c r="K17" s="133">
        <v>10</v>
      </c>
      <c r="L17" s="147">
        <v>0.05</v>
      </c>
      <c r="M17" s="148">
        <f t="shared" si="0"/>
        <v>16.149999999999999</v>
      </c>
      <c r="N17" s="148">
        <f>IF($H17=$K$134,(J17+J17*L17)/2*Inputs!$H$22,0)</f>
        <v>6.2475000000000005</v>
      </c>
      <c r="O17" s="147">
        <v>0.02</v>
      </c>
      <c r="P17" s="149">
        <f t="shared" si="1"/>
        <v>3.4</v>
      </c>
    </row>
    <row r="18" spans="2:23" ht="16.5" thickBot="1" x14ac:dyDescent="0.45">
      <c r="B18" s="417"/>
      <c r="C18" s="416"/>
      <c r="D18" s="418"/>
      <c r="F18" s="126" t="s">
        <v>468</v>
      </c>
      <c r="G18" s="139" t="s">
        <v>341</v>
      </c>
      <c r="H18" s="163" t="s">
        <v>335</v>
      </c>
      <c r="I18" s="164" t="s">
        <v>344</v>
      </c>
      <c r="J18" s="165">
        <v>25000</v>
      </c>
      <c r="K18" s="164">
        <v>15</v>
      </c>
      <c r="L18" s="166">
        <v>0.2</v>
      </c>
      <c r="M18" s="167">
        <f t="shared" si="0"/>
        <v>1333.3333333333333</v>
      </c>
      <c r="N18" s="167">
        <f>IF($H18=$K$134,(J18+J18*L18)/2*Inputs!$H$22,0)</f>
        <v>1050</v>
      </c>
      <c r="O18" s="166">
        <v>0.02</v>
      </c>
      <c r="P18" s="168">
        <f t="shared" si="1"/>
        <v>500</v>
      </c>
    </row>
    <row r="19" spans="2:23" x14ac:dyDescent="0.4">
      <c r="B19" s="144" t="s">
        <v>299</v>
      </c>
      <c r="C19" s="160" t="s">
        <v>388</v>
      </c>
      <c r="D19" s="173">
        <v>0.5</v>
      </c>
      <c r="G19" s="409" t="s">
        <v>466</v>
      </c>
      <c r="H19" s="410"/>
      <c r="I19" s="169"/>
      <c r="J19" s="170">
        <f>SUMIFS($J$5:$J$18,$H$5:$H$18,"yes",$F$5:$F$18,"general")+SUMPRODUCT(C3:C8,D3:D8)</f>
        <v>102834</v>
      </c>
      <c r="K19" s="169"/>
      <c r="L19" s="169"/>
      <c r="M19" s="170">
        <f>SUMIFS($M$5:$M$18,$H$5:$H$18,"yes",$F$5:$F$18,"general")</f>
        <v>4796.666666666667</v>
      </c>
      <c r="N19" s="170">
        <f>SUMIFS($N$5:$N$18,$H$5:$H$18,"yes",$F$5:$F$18,"general")</f>
        <v>4658.5</v>
      </c>
      <c r="O19" s="171"/>
      <c r="P19" s="172">
        <f>SUMIFS($P$5:$P$18,$H$5:$H$18,"yes",$F$5:$F$18,"general")</f>
        <v>3340</v>
      </c>
    </row>
    <row r="20" spans="2:23" x14ac:dyDescent="0.4">
      <c r="B20" s="144" t="s">
        <v>289</v>
      </c>
      <c r="C20" s="160" t="s">
        <v>290</v>
      </c>
      <c r="D20" s="162">
        <f>D17*C61*C58*D19</f>
        <v>2700</v>
      </c>
      <c r="G20" s="411" t="s">
        <v>467</v>
      </c>
      <c r="H20" s="412"/>
      <c r="I20" s="176"/>
      <c r="J20" s="177">
        <f>SUMIFS($J$5:$J$18,$H$5:$H$18,"yes",$F$5:$F$18,"harvest")+SUMPRODUCT(C9:C11,D9:D11)</f>
        <v>55145</v>
      </c>
      <c r="K20" s="176"/>
      <c r="L20" s="176"/>
      <c r="M20" s="177">
        <f>SUMIFS($M$5:$M$18,$H$5:$H$18,"yes",$F$5:$F$18,"harvest")</f>
        <v>2337.3999999999996</v>
      </c>
      <c r="N20" s="177">
        <f>SUMIFS($N$5:$N$18,$H$5:$H$18,"yes",$F$5:$F$18,"harvest")</f>
        <v>2073.4349999999999</v>
      </c>
      <c r="O20" s="178"/>
      <c r="P20" s="179">
        <f>SUMIFS($P$5:$P$18,$H$5:$H$18,"yes",$F$5:$F$18,"harvest")</f>
        <v>1639.9</v>
      </c>
    </row>
    <row r="21" spans="2:23" ht="16.5" thickBot="1" x14ac:dyDescent="0.45">
      <c r="B21" s="182" t="s">
        <v>389</v>
      </c>
      <c r="C21" s="183" t="s">
        <v>391</v>
      </c>
      <c r="D21" s="184">
        <f>_xlfn.MINIFS($B$41:$B$49,$C$41:$C$49,"&gt;"&amp;$D$20)</f>
        <v>1.5</v>
      </c>
      <c r="G21" s="194" t="s">
        <v>465</v>
      </c>
      <c r="H21" s="195"/>
      <c r="I21" s="195"/>
      <c r="J21" s="123">
        <f>SUM(J19:J20)</f>
        <v>157979</v>
      </c>
      <c r="K21" s="196"/>
      <c r="L21" s="196"/>
      <c r="M21" s="123">
        <f>M19+M20</f>
        <v>7134.0666666666666</v>
      </c>
      <c r="N21" s="123">
        <f>N19+N20</f>
        <v>6731.9349999999995</v>
      </c>
      <c r="O21" s="197"/>
      <c r="P21" s="198">
        <f>P19+P20</f>
        <v>4979.8999999999996</v>
      </c>
    </row>
    <row r="22" spans="2:23" ht="19" customHeight="1" x14ac:dyDescent="0.4">
      <c r="B22" s="144" t="s">
        <v>390</v>
      </c>
      <c r="C22" s="160" t="s">
        <v>391</v>
      </c>
      <c r="D22" s="186">
        <v>0.5</v>
      </c>
      <c r="G22" s="380"/>
      <c r="H22" s="169"/>
      <c r="I22" s="169"/>
      <c r="J22" s="381"/>
      <c r="K22" s="380"/>
      <c r="L22" s="380"/>
      <c r="M22" s="381"/>
      <c r="N22" s="381"/>
      <c r="O22" s="382"/>
      <c r="P22" s="381"/>
    </row>
    <row r="23" spans="2:23" ht="18.5" x14ac:dyDescent="0.45">
      <c r="B23" s="379" t="s">
        <v>392</v>
      </c>
      <c r="C23" s="118"/>
      <c r="D23" s="185"/>
      <c r="G23" s="379" t="s">
        <v>360</v>
      </c>
      <c r="H23" s="118"/>
      <c r="I23" s="118"/>
      <c r="J23" s="118"/>
      <c r="K23" s="118"/>
      <c r="L23" s="118"/>
      <c r="M23" s="118"/>
      <c r="N23" s="118"/>
      <c r="O23" s="118"/>
      <c r="P23" s="185"/>
    </row>
    <row r="24" spans="2:23" ht="18.75" customHeight="1" thickBot="1" x14ac:dyDescent="0.45">
      <c r="B24" s="144"/>
      <c r="C24" s="108" t="s">
        <v>141</v>
      </c>
      <c r="D24" s="384" t="s">
        <v>439</v>
      </c>
      <c r="F24" s="126" t="s">
        <v>469</v>
      </c>
      <c r="G24" s="139" t="s">
        <v>140</v>
      </c>
      <c r="H24" s="140" t="s">
        <v>509</v>
      </c>
      <c r="I24" s="141" t="s">
        <v>508</v>
      </c>
      <c r="J24" s="142" t="s">
        <v>362</v>
      </c>
      <c r="K24" s="142" t="s">
        <v>54</v>
      </c>
      <c r="L24" s="142" t="s">
        <v>366</v>
      </c>
      <c r="M24" s="142" t="s">
        <v>118</v>
      </c>
      <c r="N24" s="142" t="s">
        <v>119</v>
      </c>
      <c r="O24" s="142" t="s">
        <v>72</v>
      </c>
      <c r="P24" s="187" t="s">
        <v>359</v>
      </c>
    </row>
    <row r="25" spans="2:23" x14ac:dyDescent="0.4">
      <c r="B25" s="144" t="s">
        <v>403</v>
      </c>
      <c r="C25" s="189">
        <v>10400</v>
      </c>
      <c r="D25" s="173">
        <v>1</v>
      </c>
      <c r="F25" s="126" t="s">
        <v>469</v>
      </c>
      <c r="G25" s="144" t="s">
        <v>426</v>
      </c>
      <c r="H25" s="145" t="s">
        <v>335</v>
      </c>
      <c r="I25" s="133" t="s">
        <v>354</v>
      </c>
      <c r="J25" s="146">
        <v>10000</v>
      </c>
      <c r="K25" s="133">
        <v>10</v>
      </c>
      <c r="L25" s="147">
        <v>0.3</v>
      </c>
      <c r="M25" s="148">
        <f t="shared" ref="M25:M34" si="2">IF($H5=$K$134,(J25-(J25*L25))/K25,0)</f>
        <v>700</v>
      </c>
      <c r="N25" s="148">
        <f>IF($H5=$K$134,(J25+J25*L25)/2*Inputs!$H$22,0)</f>
        <v>455.00000000000006</v>
      </c>
      <c r="O25" s="147">
        <v>0.08</v>
      </c>
      <c r="P25" s="149">
        <f t="shared" ref="P25:P34" si="3">IF(H5=$K$134,O25*J25,0)</f>
        <v>800</v>
      </c>
    </row>
    <row r="26" spans="2:23" x14ac:dyDescent="0.4">
      <c r="B26" s="144" t="s">
        <v>295</v>
      </c>
      <c r="C26" s="190">
        <f>VLOOKUP(D21,B41:D49,3,FALSE)*MIN(C59:C60)</f>
        <v>523.6</v>
      </c>
      <c r="D26" s="173">
        <v>1</v>
      </c>
      <c r="F26" s="126" t="s">
        <v>469</v>
      </c>
      <c r="G26" s="144" t="s">
        <v>342</v>
      </c>
      <c r="H26" s="145" t="s">
        <v>335</v>
      </c>
      <c r="I26" s="133" t="s">
        <v>355</v>
      </c>
      <c r="J26" s="146">
        <v>8000</v>
      </c>
      <c r="K26" s="133">
        <v>5</v>
      </c>
      <c r="L26" s="147">
        <v>0.3</v>
      </c>
      <c r="M26" s="148">
        <f t="shared" si="2"/>
        <v>1120</v>
      </c>
      <c r="N26" s="148">
        <f>IF($H6=$K$134,(J26+J26*L26)/2*Inputs!$H$22,0)</f>
        <v>364.00000000000006</v>
      </c>
      <c r="O26" s="147">
        <v>0.08</v>
      </c>
      <c r="P26" s="149">
        <f t="shared" si="3"/>
        <v>640</v>
      </c>
      <c r="U26" s="188"/>
      <c r="V26" s="188"/>
      <c r="W26" s="188"/>
    </row>
    <row r="27" spans="2:23" x14ac:dyDescent="0.4">
      <c r="B27" s="144" t="s">
        <v>300</v>
      </c>
      <c r="C27" s="190">
        <f>VLOOKUP(D22,B41:D49,3,FALSE)*MAX(C59:C60)*D15</f>
        <v>980.09999999999991</v>
      </c>
      <c r="D27" s="173">
        <v>1</v>
      </c>
      <c r="F27" s="126" t="s">
        <v>469</v>
      </c>
      <c r="G27" s="144" t="s">
        <v>310</v>
      </c>
      <c r="H27" s="145" t="s">
        <v>335</v>
      </c>
      <c r="I27" s="133" t="s">
        <v>343</v>
      </c>
      <c r="J27" s="146">
        <v>3300</v>
      </c>
      <c r="K27" s="133">
        <v>10</v>
      </c>
      <c r="L27" s="147">
        <v>0.2</v>
      </c>
      <c r="M27" s="148">
        <f t="shared" si="2"/>
        <v>264</v>
      </c>
      <c r="N27" s="148">
        <f>IF($H7=$K$134,(J27+J27*L27)/2*Inputs!$H$22,0)</f>
        <v>138.60000000000002</v>
      </c>
      <c r="O27" s="147">
        <v>0.12</v>
      </c>
      <c r="P27" s="149">
        <f t="shared" si="3"/>
        <v>396</v>
      </c>
      <c r="U27" s="188"/>
      <c r="V27" s="188"/>
      <c r="W27" s="188"/>
    </row>
    <row r="28" spans="2:23" x14ac:dyDescent="0.4">
      <c r="B28" s="144" t="s">
        <v>301</v>
      </c>
      <c r="C28" s="190">
        <f>D15*VLOOKUP(D22,B41:E49,4,FALSE)</f>
        <v>11.99</v>
      </c>
      <c r="D28" s="173">
        <v>1</v>
      </c>
      <c r="F28" s="126" t="s">
        <v>469</v>
      </c>
      <c r="G28" s="144" t="s">
        <v>337</v>
      </c>
      <c r="H28" s="145" t="s">
        <v>335</v>
      </c>
      <c r="I28" s="133" t="s">
        <v>356</v>
      </c>
      <c r="J28" s="146">
        <v>700</v>
      </c>
      <c r="K28" s="133">
        <v>10</v>
      </c>
      <c r="L28" s="147">
        <v>0.2</v>
      </c>
      <c r="M28" s="148">
        <f t="shared" si="2"/>
        <v>56</v>
      </c>
      <c r="N28" s="148">
        <f>IF($H8=$K$134,(J28+J28*L28)/2*Inputs!$H$22,0)</f>
        <v>29.400000000000002</v>
      </c>
      <c r="O28" s="147">
        <v>0.15</v>
      </c>
      <c r="P28" s="149">
        <f t="shared" si="3"/>
        <v>105</v>
      </c>
      <c r="U28" s="188"/>
      <c r="V28" s="188"/>
      <c r="W28" s="188"/>
    </row>
    <row r="29" spans="2:23" x14ac:dyDescent="0.4">
      <c r="B29" s="144" t="s">
        <v>303</v>
      </c>
      <c r="C29" s="190">
        <f>ROUNDUP(D15/10,0)*VLOOKUP(D21,B41:E50,4,FALSE)</f>
        <v>9.7799999999999994</v>
      </c>
      <c r="D29" s="173">
        <v>1</v>
      </c>
      <c r="F29" s="126" t="s">
        <v>469</v>
      </c>
      <c r="G29" s="144" t="s">
        <v>427</v>
      </c>
      <c r="H29" s="145" t="s">
        <v>335</v>
      </c>
      <c r="I29" s="133" t="s">
        <v>351</v>
      </c>
      <c r="J29" s="146">
        <v>3000</v>
      </c>
      <c r="K29" s="133">
        <v>10</v>
      </c>
      <c r="L29" s="147">
        <v>0.3</v>
      </c>
      <c r="M29" s="148">
        <f t="shared" si="2"/>
        <v>210</v>
      </c>
      <c r="N29" s="148">
        <f>IF($H9=$K$134,(J29+J29*L29)/2*Inputs!$H$22,0)</f>
        <v>136.5</v>
      </c>
      <c r="O29" s="147">
        <v>0.1</v>
      </c>
      <c r="P29" s="149">
        <f t="shared" si="3"/>
        <v>300</v>
      </c>
      <c r="U29" s="188"/>
      <c r="V29" s="188"/>
      <c r="W29" s="188"/>
    </row>
    <row r="30" spans="2:23" x14ac:dyDescent="0.4">
      <c r="B30" s="144" t="s">
        <v>438</v>
      </c>
      <c r="C30" s="190">
        <f>C52*D52*(D15*D16)</f>
        <v>3773</v>
      </c>
      <c r="D30" s="173">
        <v>1</v>
      </c>
      <c r="F30" s="126" t="s">
        <v>469</v>
      </c>
      <c r="G30" s="144" t="s">
        <v>338</v>
      </c>
      <c r="H30" s="145" t="s">
        <v>335</v>
      </c>
      <c r="I30" s="133" t="s">
        <v>352</v>
      </c>
      <c r="J30" s="146">
        <v>2500</v>
      </c>
      <c r="K30" s="133">
        <v>10</v>
      </c>
      <c r="L30" s="147">
        <v>0.5</v>
      </c>
      <c r="M30" s="148">
        <f t="shared" si="2"/>
        <v>125</v>
      </c>
      <c r="N30" s="148">
        <f>IF($H10=$K$134,(J30+J30*L30)/2*Inputs!$H$22,0)</f>
        <v>131.25</v>
      </c>
      <c r="O30" s="147">
        <v>0.1</v>
      </c>
      <c r="P30" s="149">
        <f t="shared" si="3"/>
        <v>250</v>
      </c>
      <c r="U30" s="188"/>
      <c r="V30" s="188"/>
      <c r="W30" s="188"/>
    </row>
    <row r="31" spans="2:23" x14ac:dyDescent="0.4">
      <c r="B31" s="144" t="s">
        <v>304</v>
      </c>
      <c r="C31" s="190">
        <f>VLOOKUP(D22,B41:F44,5,FALSE)*(D16*D15)</f>
        <v>226.38</v>
      </c>
      <c r="D31" s="173">
        <v>1</v>
      </c>
      <c r="F31" s="126" t="s">
        <v>469</v>
      </c>
      <c r="G31" s="144" t="s">
        <v>339</v>
      </c>
      <c r="H31" s="145" t="s">
        <v>335</v>
      </c>
      <c r="I31" s="133" t="s">
        <v>347</v>
      </c>
      <c r="J31" s="146">
        <v>5000</v>
      </c>
      <c r="K31" s="133">
        <v>6</v>
      </c>
      <c r="L31" s="147">
        <v>0.4</v>
      </c>
      <c r="M31" s="148">
        <f t="shared" si="2"/>
        <v>500</v>
      </c>
      <c r="N31" s="148">
        <f>IF($H11=$K$134,(J31+J31*L31)/2*Inputs!$H$22,0)</f>
        <v>245.00000000000003</v>
      </c>
      <c r="O31" s="147">
        <v>0.1</v>
      </c>
      <c r="P31" s="149">
        <f t="shared" si="3"/>
        <v>500</v>
      </c>
      <c r="U31" s="188"/>
      <c r="V31" s="188"/>
      <c r="W31" s="188"/>
    </row>
    <row r="32" spans="2:23" x14ac:dyDescent="0.4">
      <c r="B32" s="144" t="s">
        <v>305</v>
      </c>
      <c r="C32" s="189">
        <v>4000</v>
      </c>
      <c r="D32" s="173">
        <v>1</v>
      </c>
      <c r="F32" s="126" t="s">
        <v>468</v>
      </c>
      <c r="G32" s="144" t="s">
        <v>340</v>
      </c>
      <c r="H32" s="145" t="s">
        <v>336</v>
      </c>
      <c r="I32" s="133" t="s">
        <v>363</v>
      </c>
      <c r="J32" s="146">
        <v>1500</v>
      </c>
      <c r="K32" s="133">
        <v>10</v>
      </c>
      <c r="L32" s="147">
        <v>0.3</v>
      </c>
      <c r="M32" s="148">
        <f t="shared" si="2"/>
        <v>0</v>
      </c>
      <c r="N32" s="148">
        <f>IF($H12=$K$134,(J32+J32*L32)/2*Inputs!$H$22,0)</f>
        <v>0</v>
      </c>
      <c r="O32" s="147">
        <v>0.05</v>
      </c>
      <c r="P32" s="149">
        <f t="shared" si="3"/>
        <v>0</v>
      </c>
      <c r="U32" s="188"/>
      <c r="V32" s="188"/>
      <c r="W32" s="188"/>
    </row>
    <row r="33" spans="2:23" x14ac:dyDescent="0.4">
      <c r="B33" s="144" t="s">
        <v>306</v>
      </c>
      <c r="C33" s="189">
        <v>50000</v>
      </c>
      <c r="D33" s="173">
        <v>0</v>
      </c>
      <c r="F33" s="126" t="s">
        <v>468</v>
      </c>
      <c r="G33" s="144" t="s">
        <v>428</v>
      </c>
      <c r="H33" s="145" t="s">
        <v>335</v>
      </c>
      <c r="I33" s="133" t="s">
        <v>433</v>
      </c>
      <c r="J33" s="146">
        <v>400</v>
      </c>
      <c r="K33" s="133">
        <v>10</v>
      </c>
      <c r="L33" s="147">
        <v>0.2</v>
      </c>
      <c r="M33" s="148">
        <f t="shared" si="2"/>
        <v>32</v>
      </c>
      <c r="N33" s="148">
        <f>IF($H13=$K$134,(J33+J33*L33)/2*Inputs!$H$22,0)</f>
        <v>16.8</v>
      </c>
      <c r="O33" s="147">
        <v>0.2</v>
      </c>
      <c r="P33" s="149">
        <f t="shared" si="3"/>
        <v>80</v>
      </c>
      <c r="U33" s="188"/>
      <c r="V33" s="188"/>
      <c r="W33" s="188"/>
    </row>
    <row r="34" spans="2:23" x14ac:dyDescent="0.4">
      <c r="B34" s="144" t="s">
        <v>307</v>
      </c>
      <c r="C34" s="189">
        <v>30000</v>
      </c>
      <c r="D34" s="173">
        <v>0.5</v>
      </c>
      <c r="F34" s="126" t="s">
        <v>468</v>
      </c>
      <c r="G34" s="144" t="s">
        <v>489</v>
      </c>
      <c r="H34" s="145" t="s">
        <v>335</v>
      </c>
      <c r="I34" s="133" t="s">
        <v>490</v>
      </c>
      <c r="J34" s="146">
        <v>450</v>
      </c>
      <c r="K34" s="133">
        <v>30</v>
      </c>
      <c r="L34" s="147">
        <v>0.25</v>
      </c>
      <c r="M34" s="148">
        <f t="shared" si="2"/>
        <v>11.25</v>
      </c>
      <c r="N34" s="148">
        <f>IF($H14=$K$134,(J34+J34*L34)/2*Inputs!$H$22,0)</f>
        <v>19.687500000000004</v>
      </c>
      <c r="O34" s="147">
        <v>0.02</v>
      </c>
      <c r="P34" s="149">
        <f t="shared" si="3"/>
        <v>9</v>
      </c>
      <c r="U34" s="188"/>
      <c r="V34" s="188"/>
      <c r="W34" s="188"/>
    </row>
    <row r="35" spans="2:23" x14ac:dyDescent="0.4">
      <c r="B35" s="191" t="s">
        <v>308</v>
      </c>
      <c r="C35" s="192">
        <v>7200</v>
      </c>
      <c r="D35" s="193">
        <v>1</v>
      </c>
      <c r="F35" s="126" t="s">
        <v>468</v>
      </c>
      <c r="G35" s="144" t="s">
        <v>430</v>
      </c>
      <c r="H35" s="145" t="s">
        <v>335</v>
      </c>
      <c r="I35" s="133" t="s">
        <v>434</v>
      </c>
      <c r="J35" s="156">
        <f>J53</f>
        <v>9750</v>
      </c>
      <c r="K35" s="133">
        <v>10</v>
      </c>
      <c r="L35" s="147">
        <v>0.25</v>
      </c>
      <c r="M35" s="148">
        <f>IF($H14=$K$134,(J35-(J35*L35))/K35,0)</f>
        <v>731.25</v>
      </c>
      <c r="N35" s="148">
        <f>IF($H14=$K$134,(J35+J35*L35)/2*Inputs!$H$22,0)</f>
        <v>426.56250000000006</v>
      </c>
      <c r="O35" s="147">
        <v>0.2</v>
      </c>
      <c r="P35" s="149">
        <f>IF(H14=$K$134,O35*J35,0)</f>
        <v>1950</v>
      </c>
      <c r="U35" s="188"/>
      <c r="V35" s="188"/>
      <c r="W35" s="188"/>
    </row>
    <row r="36" spans="2:23" ht="16.5" thickBot="1" x14ac:dyDescent="0.45">
      <c r="B36" s="385" t="s">
        <v>51</v>
      </c>
      <c r="C36" s="386">
        <f>SUMPRODUCT(C25:C35,D25:D35)</f>
        <v>42124.85</v>
      </c>
      <c r="D36" s="387"/>
      <c r="F36" s="126" t="s">
        <v>468</v>
      </c>
      <c r="G36" s="144" t="s">
        <v>431</v>
      </c>
      <c r="H36" s="145" t="s">
        <v>335</v>
      </c>
      <c r="I36" s="133" t="s">
        <v>435</v>
      </c>
      <c r="J36" s="146">
        <v>750</v>
      </c>
      <c r="K36" s="133">
        <v>10</v>
      </c>
      <c r="L36" s="147">
        <v>0.2</v>
      </c>
      <c r="M36" s="148">
        <f>IF($H16=$K$134,(J36-(J36*L36))/K36,0)</f>
        <v>60</v>
      </c>
      <c r="N36" s="148">
        <f>IF($H16=$K$134,(J36+J36*L36)/2*Inputs!$H$22,0)</f>
        <v>31.500000000000004</v>
      </c>
      <c r="O36" s="147">
        <v>0.05</v>
      </c>
      <c r="P36" s="149">
        <f>IF(H16=$K$134,O36*J36,0)</f>
        <v>37.5</v>
      </c>
      <c r="U36" s="188"/>
      <c r="V36" s="188"/>
      <c r="W36" s="188"/>
    </row>
    <row r="37" spans="2:23" x14ac:dyDescent="0.4">
      <c r="B37" s="388"/>
      <c r="C37" s="388"/>
      <c r="D37" s="388"/>
      <c r="F37" s="126" t="s">
        <v>468</v>
      </c>
      <c r="G37" s="144" t="s">
        <v>529</v>
      </c>
      <c r="H37" s="145" t="s">
        <v>335</v>
      </c>
      <c r="I37" s="133" t="s">
        <v>530</v>
      </c>
      <c r="J37" s="146">
        <v>170</v>
      </c>
      <c r="K37" s="133">
        <v>10</v>
      </c>
      <c r="L37" s="147">
        <v>0.05</v>
      </c>
      <c r="M37" s="148">
        <f>IF($H17=$K$134,(J37-(J37*L37))/K37,0)</f>
        <v>16.149999999999999</v>
      </c>
      <c r="N37" s="148">
        <f>IF($H17=$K$134,(J37+J37*L37)/2*Inputs!$H$22,0)</f>
        <v>6.2475000000000005</v>
      </c>
      <c r="O37" s="147">
        <v>0.02</v>
      </c>
      <c r="P37" s="149">
        <f>IF(H17=$K$134,O37*J37,0)</f>
        <v>3.4</v>
      </c>
      <c r="U37" s="188"/>
      <c r="V37" s="188"/>
      <c r="W37" s="188"/>
    </row>
    <row r="38" spans="2:23" ht="16.5" thickBot="1" x14ac:dyDescent="0.45">
      <c r="B38" s="126"/>
      <c r="C38" s="126"/>
      <c r="D38" s="126"/>
      <c r="G38" s="139" t="s">
        <v>341</v>
      </c>
      <c r="H38" s="163" t="s">
        <v>335</v>
      </c>
      <c r="I38" s="164" t="s">
        <v>345</v>
      </c>
      <c r="J38" s="165">
        <v>10000</v>
      </c>
      <c r="K38" s="164">
        <v>5</v>
      </c>
      <c r="L38" s="166">
        <v>0.1</v>
      </c>
      <c r="M38" s="167">
        <f>IF($H18=$K$134,(J38-(J38*L38))/K38,0)</f>
        <v>1800</v>
      </c>
      <c r="N38" s="167">
        <f>IF($H18=$K$134,(J38+J38*L38)/2*Inputs!$H$22,0)</f>
        <v>385.00000000000006</v>
      </c>
      <c r="O38" s="166">
        <v>0.1</v>
      </c>
      <c r="P38" s="168">
        <f>IF(H18=$K$134,O38*J38,0)</f>
        <v>1000</v>
      </c>
      <c r="U38" s="188"/>
      <c r="V38" s="188"/>
      <c r="W38" s="188"/>
    </row>
    <row r="39" spans="2:23" x14ac:dyDescent="0.4">
      <c r="B39" s="126" t="s">
        <v>291</v>
      </c>
      <c r="C39" s="126" t="s">
        <v>292</v>
      </c>
      <c r="D39" s="126"/>
      <c r="E39" s="138"/>
      <c r="G39" s="409" t="s">
        <v>466</v>
      </c>
      <c r="H39" s="410"/>
      <c r="J39" s="170">
        <f>SUMIFS($J$25:$J$38,$H$25:$H$38,"yes",$F$24:$F$37,"general")+SUMPRODUCT(C3:C8,D3:D8)</f>
        <v>34334</v>
      </c>
      <c r="M39" s="148">
        <f>SUMIFS($M$25:$M$38,$H$25:$H$38,"yes",$F$24:$F$37,"general")</f>
        <v>2975</v>
      </c>
      <c r="N39" s="148">
        <f>SUMIFS($N$25:$N$38,$H$25:$H$38,"yes",$F$24:$F$37,"general")</f>
        <v>1499.75</v>
      </c>
      <c r="O39" s="188"/>
      <c r="P39" s="149">
        <f>SUMIFS($P$25:$P$38,$H$25:$H$38,"yes",$F$24:$F$37,"general")</f>
        <v>2991</v>
      </c>
      <c r="U39" s="188"/>
      <c r="V39" s="188"/>
      <c r="W39" s="188"/>
    </row>
    <row r="40" spans="2:23" x14ac:dyDescent="0.4">
      <c r="B40" s="126" t="s">
        <v>293</v>
      </c>
      <c r="C40" s="126" t="s">
        <v>294</v>
      </c>
      <c r="D40" s="126" t="s">
        <v>298</v>
      </c>
      <c r="E40" s="126" t="s">
        <v>302</v>
      </c>
      <c r="F40" s="126" t="s">
        <v>304</v>
      </c>
      <c r="G40" s="411" t="s">
        <v>467</v>
      </c>
      <c r="H40" s="412"/>
      <c r="I40" s="176"/>
      <c r="J40" s="177">
        <f>SUMIFS($J$25:$J$38,$H$25:$H$38,"yes",$F$24:$F$37,"harvest")+SUMPRODUCT(C9:C11,D9:D11)</f>
        <v>27295</v>
      </c>
      <c r="K40" s="176"/>
      <c r="L40" s="176"/>
      <c r="M40" s="177">
        <f>SUMIFS($M$25:$M$38,$H$25:$H$38,"yes",$F$24:$F$37,"harvest")</f>
        <v>2650.65</v>
      </c>
      <c r="N40" s="177">
        <f>SUMIFS($N$25:$N$38,$H$25:$H$38,"yes",$F$24:$F$37,"harvest")</f>
        <v>885.79750000000013</v>
      </c>
      <c r="O40" s="178"/>
      <c r="P40" s="179">
        <f>SUMIFS($P$25:$P$38,$H$25:$H$38,"yes",$F$24:$F$37,"harvest")</f>
        <v>3079.9</v>
      </c>
      <c r="U40" s="188"/>
      <c r="V40" s="188"/>
      <c r="W40" s="188"/>
    </row>
    <row r="41" spans="2:23" ht="16.5" thickBot="1" x14ac:dyDescent="0.45">
      <c r="B41" s="200">
        <v>0.5</v>
      </c>
      <c r="C41" s="126">
        <v>840</v>
      </c>
      <c r="D41" s="126">
        <v>0.09</v>
      </c>
      <c r="E41" s="126">
        <v>1.0900000000000001</v>
      </c>
      <c r="F41" s="126">
        <v>0.42</v>
      </c>
      <c r="G41" s="194" t="s">
        <v>465</v>
      </c>
      <c r="H41" s="195"/>
      <c r="I41" s="195"/>
      <c r="J41" s="123">
        <f>SUM(J39:J40)</f>
        <v>61629</v>
      </c>
      <c r="K41" s="196"/>
      <c r="L41" s="196"/>
      <c r="M41" s="123">
        <f>M39+M40</f>
        <v>5625.65</v>
      </c>
      <c r="N41" s="123">
        <f>N39+N40</f>
        <v>2385.5475000000001</v>
      </c>
      <c r="O41" s="197"/>
      <c r="P41" s="198">
        <f>P39+P40</f>
        <v>6070.9</v>
      </c>
      <c r="U41" s="188"/>
      <c r="V41" s="188"/>
      <c r="W41" s="188"/>
    </row>
    <row r="42" spans="2:23" ht="16.5" thickBot="1" x14ac:dyDescent="0.45">
      <c r="B42" s="126">
        <v>0.75</v>
      </c>
      <c r="C42" s="126">
        <v>1410</v>
      </c>
      <c r="D42" s="126">
        <v>0.16</v>
      </c>
      <c r="E42" s="126">
        <v>1.69</v>
      </c>
      <c r="F42" s="126">
        <v>0.48</v>
      </c>
      <c r="G42" s="383"/>
      <c r="J42" s="181"/>
      <c r="M42" s="188"/>
      <c r="N42" s="188"/>
      <c r="O42" s="188"/>
      <c r="U42" s="188"/>
      <c r="V42" s="188"/>
      <c r="W42" s="188"/>
    </row>
    <row r="43" spans="2:23" ht="18.5" x14ac:dyDescent="0.45">
      <c r="B43" s="126">
        <v>1</v>
      </c>
      <c r="C43" s="126">
        <v>2200</v>
      </c>
      <c r="D43" s="126">
        <v>0.25</v>
      </c>
      <c r="E43" s="126">
        <v>2.4900000000000002</v>
      </c>
      <c r="F43" s="126">
        <v>0.9</v>
      </c>
      <c r="G43" s="413" t="s">
        <v>504</v>
      </c>
      <c r="H43" s="414"/>
      <c r="I43" s="414"/>
      <c r="J43" s="415"/>
      <c r="M43" s="126"/>
      <c r="N43" s="126" t="s">
        <v>360</v>
      </c>
      <c r="O43" s="126" t="s">
        <v>361</v>
      </c>
      <c r="U43" s="188"/>
      <c r="V43" s="188"/>
      <c r="W43" s="188"/>
    </row>
    <row r="44" spans="2:23" x14ac:dyDescent="0.4">
      <c r="B44" s="126">
        <v>1.5</v>
      </c>
      <c r="C44" s="126">
        <v>4830</v>
      </c>
      <c r="D44" s="126">
        <v>1.19</v>
      </c>
      <c r="E44" s="126">
        <v>4.8899999999999997</v>
      </c>
      <c r="G44" s="191" t="s">
        <v>140</v>
      </c>
      <c r="H44" s="176" t="s">
        <v>1</v>
      </c>
      <c r="I44" s="178" t="s">
        <v>474</v>
      </c>
      <c r="J44" s="199" t="s">
        <v>323</v>
      </c>
      <c r="M44" s="126" t="s">
        <v>205</v>
      </c>
      <c r="N44" s="202">
        <f>J40/J41</f>
        <v>0.44289214493176915</v>
      </c>
      <c r="O44" s="202">
        <f>J20/J21</f>
        <v>0.34906538210774851</v>
      </c>
      <c r="U44" s="188"/>
      <c r="V44" s="188"/>
      <c r="W44" s="188"/>
    </row>
    <row r="45" spans="2:23" x14ac:dyDescent="0.4">
      <c r="B45" s="126">
        <v>2</v>
      </c>
      <c r="C45" s="126">
        <v>7650</v>
      </c>
      <c r="D45" s="126">
        <v>1.89</v>
      </c>
      <c r="E45" s="126">
        <v>6.79</v>
      </c>
      <c r="G45" s="144" t="s">
        <v>491</v>
      </c>
      <c r="H45" s="133">
        <v>3</v>
      </c>
      <c r="I45" s="201">
        <v>50</v>
      </c>
      <c r="J45" s="149">
        <f>H45*I45</f>
        <v>150</v>
      </c>
      <c r="M45" s="126" t="s">
        <v>464</v>
      </c>
      <c r="N45" s="202">
        <f>J39/J41</f>
        <v>0.55710785506823091</v>
      </c>
      <c r="O45" s="202">
        <f>J19/J21</f>
        <v>0.65093461789225149</v>
      </c>
      <c r="U45" s="188"/>
      <c r="V45" s="188"/>
      <c r="W45" s="188"/>
    </row>
    <row r="46" spans="2:23" x14ac:dyDescent="0.4">
      <c r="B46" s="126">
        <v>2.5</v>
      </c>
      <c r="C46" s="126">
        <v>11400</v>
      </c>
      <c r="D46" s="126">
        <v>5.0599999999999996</v>
      </c>
      <c r="E46" s="126">
        <v>18.89</v>
      </c>
      <c r="G46" s="144" t="s">
        <v>479</v>
      </c>
      <c r="H46" s="133">
        <v>1</v>
      </c>
      <c r="I46" s="201">
        <v>250</v>
      </c>
      <c r="J46" s="149">
        <f t="shared" ref="J46:J47" si="4">H46*I46</f>
        <v>250</v>
      </c>
      <c r="O46" s="188"/>
      <c r="U46" s="188"/>
      <c r="V46" s="188"/>
      <c r="W46" s="188"/>
    </row>
    <row r="47" spans="2:23" x14ac:dyDescent="0.4">
      <c r="B47" s="126">
        <v>3</v>
      </c>
      <c r="C47" s="126">
        <v>16350</v>
      </c>
      <c r="D47" s="126">
        <v>6.07</v>
      </c>
      <c r="E47" s="126">
        <v>25</v>
      </c>
      <c r="G47" s="144" t="s">
        <v>480</v>
      </c>
      <c r="H47" s="133">
        <v>1</v>
      </c>
      <c r="I47" s="201">
        <v>2200</v>
      </c>
      <c r="J47" s="149">
        <f t="shared" si="4"/>
        <v>2200</v>
      </c>
      <c r="O47" s="188"/>
      <c r="U47" s="188"/>
      <c r="V47" s="188"/>
      <c r="W47" s="188"/>
    </row>
    <row r="48" spans="2:23" x14ac:dyDescent="0.4">
      <c r="B48" s="126">
        <v>4</v>
      </c>
      <c r="C48" s="126">
        <v>28800</v>
      </c>
      <c r="D48" s="126">
        <v>8.26</v>
      </c>
      <c r="E48" s="126">
        <v>56.09</v>
      </c>
      <c r="G48" s="144" t="s">
        <v>475</v>
      </c>
      <c r="H48" s="133">
        <v>1</v>
      </c>
      <c r="I48" s="201">
        <v>4000</v>
      </c>
      <c r="J48" s="149">
        <f t="shared" ref="J48:J52" si="5">H48*I48</f>
        <v>4000</v>
      </c>
      <c r="O48" s="188"/>
      <c r="U48" s="188"/>
      <c r="V48" s="188"/>
      <c r="W48" s="188"/>
    </row>
    <row r="49" spans="2:23" x14ac:dyDescent="0.4">
      <c r="B49" s="126">
        <v>6</v>
      </c>
      <c r="C49" s="126">
        <v>66000</v>
      </c>
      <c r="D49" s="126">
        <v>15.48</v>
      </c>
      <c r="E49" s="126">
        <v>196.99</v>
      </c>
      <c r="G49" s="144" t="s">
        <v>476</v>
      </c>
      <c r="H49" s="133">
        <v>1</v>
      </c>
      <c r="I49" s="201">
        <v>200</v>
      </c>
      <c r="J49" s="149">
        <f t="shared" si="5"/>
        <v>200</v>
      </c>
      <c r="O49" s="188"/>
      <c r="U49" s="188"/>
      <c r="V49" s="188"/>
      <c r="W49" s="188"/>
    </row>
    <row r="50" spans="2:23" x14ac:dyDescent="0.4">
      <c r="B50" s="126"/>
      <c r="C50" s="126"/>
      <c r="D50" s="126"/>
      <c r="E50" s="126"/>
      <c r="G50" s="144" t="s">
        <v>481</v>
      </c>
      <c r="H50" s="133">
        <v>1</v>
      </c>
      <c r="I50" s="201">
        <v>2000</v>
      </c>
      <c r="J50" s="149">
        <f t="shared" si="5"/>
        <v>2000</v>
      </c>
      <c r="O50" s="188"/>
      <c r="U50" s="188"/>
      <c r="V50" s="188"/>
      <c r="W50" s="188"/>
    </row>
    <row r="51" spans="2:23" x14ac:dyDescent="0.4">
      <c r="B51" s="126"/>
      <c r="C51" s="126" t="s">
        <v>298</v>
      </c>
      <c r="D51" s="126" t="s">
        <v>436</v>
      </c>
      <c r="E51" s="126"/>
      <c r="G51" s="144" t="s">
        <v>477</v>
      </c>
      <c r="H51" s="133">
        <v>15</v>
      </c>
      <c r="I51" s="201">
        <v>60</v>
      </c>
      <c r="J51" s="149">
        <f t="shared" si="5"/>
        <v>900</v>
      </c>
      <c r="O51" s="188"/>
      <c r="U51" s="188"/>
      <c r="V51" s="188"/>
      <c r="W51" s="188"/>
    </row>
    <row r="52" spans="2:23" x14ac:dyDescent="0.4">
      <c r="B52" s="126" t="s">
        <v>437</v>
      </c>
      <c r="C52" s="126">
        <v>0.35</v>
      </c>
      <c r="D52" s="126">
        <v>20</v>
      </c>
      <c r="E52" s="126"/>
      <c r="G52" s="191" t="s">
        <v>478</v>
      </c>
      <c r="H52" s="152">
        <v>2</v>
      </c>
      <c r="I52" s="203">
        <v>25</v>
      </c>
      <c r="J52" s="179">
        <f t="shared" si="5"/>
        <v>50</v>
      </c>
      <c r="O52" s="188"/>
      <c r="U52" s="188"/>
      <c r="V52" s="188"/>
      <c r="W52" s="188"/>
    </row>
    <row r="53" spans="2:23" ht="16.5" thickBot="1" x14ac:dyDescent="0.45">
      <c r="B53" s="126"/>
      <c r="C53" s="126"/>
      <c r="D53" s="126"/>
      <c r="E53" s="126"/>
      <c r="G53" s="204" t="s">
        <v>51</v>
      </c>
      <c r="H53" s="154"/>
      <c r="I53" s="205"/>
      <c r="J53" s="206">
        <f>SUM(J45:J52)</f>
        <v>9750</v>
      </c>
      <c r="O53" s="188"/>
      <c r="U53" s="188"/>
      <c r="V53" s="188"/>
      <c r="W53" s="188"/>
    </row>
    <row r="54" spans="2:23" ht="18.75" customHeight="1" x14ac:dyDescent="0.4">
      <c r="B54" s="126"/>
      <c r="C54" s="126"/>
      <c r="D54" s="126"/>
      <c r="E54" s="126"/>
      <c r="O54" s="188"/>
      <c r="U54" s="188"/>
      <c r="V54" s="188"/>
      <c r="W54" s="188"/>
    </row>
    <row r="55" spans="2:23" ht="18.75" customHeight="1" x14ac:dyDescent="0.4">
      <c r="B55" s="126"/>
      <c r="C55" s="126"/>
      <c r="D55" s="126"/>
      <c r="E55" s="126"/>
      <c r="O55" s="188"/>
      <c r="U55" s="188"/>
      <c r="V55" s="188"/>
      <c r="W55" s="188"/>
    </row>
    <row r="56" spans="2:23" hidden="1" x14ac:dyDescent="0.4">
      <c r="B56" s="126"/>
      <c r="C56" s="126"/>
      <c r="D56" s="126"/>
      <c r="E56" s="126"/>
      <c r="M56" s="188"/>
      <c r="N56" s="188"/>
      <c r="O56" s="188"/>
      <c r="U56" s="188"/>
      <c r="V56" s="188"/>
      <c r="W56" s="188"/>
    </row>
    <row r="57" spans="2:23" hidden="1" x14ac:dyDescent="0.4">
      <c r="B57" s="126"/>
      <c r="C57" s="126"/>
      <c r="D57" s="126"/>
      <c r="E57" s="126"/>
      <c r="M57" s="188"/>
      <c r="N57" s="188"/>
      <c r="O57" s="188"/>
      <c r="U57" s="188"/>
      <c r="V57" s="188"/>
      <c r="W57" s="188"/>
    </row>
    <row r="58" spans="2:23" hidden="1" x14ac:dyDescent="0.4">
      <c r="B58" s="126" t="s">
        <v>283</v>
      </c>
      <c r="C58" s="207">
        <f>Inputs!D3</f>
        <v>10</v>
      </c>
      <c r="D58" s="126"/>
      <c r="E58" s="126"/>
      <c r="M58" s="188"/>
      <c r="N58" s="188"/>
      <c r="O58" s="188"/>
      <c r="U58" s="188"/>
      <c r="V58" s="188"/>
      <c r="W58" s="188"/>
    </row>
    <row r="59" spans="2:23" hidden="1" x14ac:dyDescent="0.4">
      <c r="B59" s="126" t="s">
        <v>285</v>
      </c>
      <c r="C59" s="126">
        <f>SQRT(C58*43560)/1.5</f>
        <v>440</v>
      </c>
      <c r="D59" s="126"/>
      <c r="E59" s="126" t="s">
        <v>296</v>
      </c>
      <c r="M59" s="188"/>
      <c r="N59" s="188"/>
      <c r="O59" s="188"/>
      <c r="U59" s="188"/>
      <c r="V59" s="188"/>
      <c r="W59" s="188"/>
    </row>
    <row r="60" spans="2:23" hidden="1" x14ac:dyDescent="0.4">
      <c r="B60" s="126" t="s">
        <v>284</v>
      </c>
      <c r="C60" s="126">
        <f>43560*C58/C59</f>
        <v>990</v>
      </c>
      <c r="D60" s="126"/>
      <c r="E60" s="126"/>
      <c r="M60" s="188"/>
      <c r="N60" s="188"/>
      <c r="O60" s="188"/>
      <c r="U60" s="188"/>
      <c r="V60" s="188"/>
      <c r="W60" s="188"/>
    </row>
    <row r="61" spans="2:23" hidden="1" x14ac:dyDescent="0.4">
      <c r="B61" s="126" t="s">
        <v>286</v>
      </c>
      <c r="C61" s="126">
        <f>Inputs!D5</f>
        <v>54</v>
      </c>
      <c r="D61" s="126"/>
      <c r="E61" s="126" t="s">
        <v>297</v>
      </c>
      <c r="M61" s="188"/>
      <c r="N61" s="188"/>
      <c r="O61" s="188"/>
      <c r="U61" s="188"/>
      <c r="V61" s="188"/>
      <c r="W61" s="188"/>
    </row>
    <row r="62" spans="2:23" hidden="1" x14ac:dyDescent="0.4">
      <c r="B62" s="126"/>
      <c r="C62" s="126"/>
      <c r="D62" s="126"/>
      <c r="E62" s="126"/>
      <c r="M62" s="188"/>
      <c r="N62" s="188"/>
      <c r="O62" s="188"/>
      <c r="U62" s="188"/>
      <c r="V62" s="188"/>
      <c r="W62" s="188"/>
    </row>
    <row r="63" spans="2:23" hidden="1" x14ac:dyDescent="0.4">
      <c r="B63" s="126"/>
      <c r="C63" s="126"/>
      <c r="D63" s="126"/>
      <c r="E63" s="126"/>
      <c r="M63" s="188"/>
      <c r="N63" s="188"/>
      <c r="O63" s="188"/>
      <c r="U63" s="188"/>
      <c r="V63" s="188"/>
      <c r="W63" s="188"/>
    </row>
    <row r="64" spans="2:23" hidden="1" x14ac:dyDescent="0.4">
      <c r="E64" s="126"/>
      <c r="M64" s="188"/>
      <c r="N64" s="188"/>
      <c r="O64" s="188"/>
      <c r="U64" s="188"/>
      <c r="V64" s="188"/>
      <c r="W64" s="188"/>
    </row>
    <row r="65" spans="13:23" hidden="1" x14ac:dyDescent="0.4">
      <c r="M65" s="188"/>
      <c r="N65" s="188"/>
      <c r="O65" s="188"/>
      <c r="U65" s="188"/>
      <c r="V65" s="188"/>
      <c r="W65" s="188"/>
    </row>
    <row r="66" spans="13:23" hidden="1" x14ac:dyDescent="0.4">
      <c r="M66" s="188"/>
      <c r="N66" s="188"/>
      <c r="O66" s="188"/>
      <c r="U66" s="188"/>
      <c r="V66" s="188"/>
      <c r="W66" s="188"/>
    </row>
    <row r="67" spans="13:23" hidden="1" x14ac:dyDescent="0.4">
      <c r="M67" s="188"/>
      <c r="N67" s="188"/>
      <c r="O67" s="188"/>
      <c r="U67" s="188"/>
      <c r="V67" s="188"/>
      <c r="W67" s="188"/>
    </row>
    <row r="68" spans="13:23" hidden="1" x14ac:dyDescent="0.4">
      <c r="M68" s="188"/>
      <c r="N68" s="188"/>
      <c r="O68" s="188"/>
      <c r="U68" s="188"/>
      <c r="V68" s="188"/>
      <c r="W68" s="188"/>
    </row>
    <row r="69" spans="13:23" hidden="1" x14ac:dyDescent="0.4">
      <c r="M69" s="188"/>
      <c r="N69" s="188"/>
      <c r="O69" s="188"/>
      <c r="U69" s="188"/>
      <c r="V69" s="188"/>
      <c r="W69" s="188"/>
    </row>
    <row r="70" spans="13:23" hidden="1" x14ac:dyDescent="0.4">
      <c r="M70" s="188"/>
      <c r="N70" s="188"/>
      <c r="O70" s="188"/>
      <c r="U70" s="188"/>
      <c r="V70" s="188"/>
      <c r="W70" s="188"/>
    </row>
    <row r="71" spans="13:23" hidden="1" x14ac:dyDescent="0.4">
      <c r="M71" s="188"/>
      <c r="N71" s="188"/>
      <c r="O71" s="188"/>
      <c r="U71" s="188"/>
      <c r="V71" s="188"/>
      <c r="W71" s="188"/>
    </row>
    <row r="72" spans="13:23" hidden="1" x14ac:dyDescent="0.4">
      <c r="M72" s="188"/>
      <c r="N72" s="188"/>
      <c r="O72" s="188"/>
      <c r="U72" s="188"/>
      <c r="V72" s="188"/>
      <c r="W72" s="188"/>
    </row>
    <row r="73" spans="13:23" hidden="1" x14ac:dyDescent="0.4">
      <c r="M73" s="188"/>
      <c r="N73" s="188"/>
      <c r="O73" s="188"/>
      <c r="U73" s="188"/>
      <c r="V73" s="188"/>
      <c r="W73" s="188"/>
    </row>
    <row r="74" spans="13:23" hidden="1" x14ac:dyDescent="0.4">
      <c r="M74" s="188"/>
      <c r="N74" s="188"/>
      <c r="O74" s="188"/>
      <c r="U74" s="188"/>
      <c r="V74" s="188"/>
      <c r="W74" s="188"/>
    </row>
    <row r="75" spans="13:23" hidden="1" x14ac:dyDescent="0.4">
      <c r="M75" s="188"/>
      <c r="N75" s="188"/>
      <c r="O75" s="188"/>
      <c r="U75" s="188"/>
      <c r="V75" s="188"/>
      <c r="W75" s="188"/>
    </row>
    <row r="76" spans="13:23" hidden="1" x14ac:dyDescent="0.4">
      <c r="M76" s="188"/>
      <c r="N76" s="188"/>
      <c r="O76" s="188"/>
      <c r="U76" s="188"/>
      <c r="V76" s="188"/>
      <c r="W76" s="188"/>
    </row>
    <row r="77" spans="13:23" hidden="1" x14ac:dyDescent="0.4">
      <c r="M77" s="188"/>
      <c r="N77" s="188"/>
      <c r="O77" s="188"/>
      <c r="U77" s="188"/>
      <c r="V77" s="188"/>
      <c r="W77" s="188"/>
    </row>
    <row r="78" spans="13:23" hidden="1" x14ac:dyDescent="0.4">
      <c r="M78" s="188"/>
      <c r="N78" s="188"/>
      <c r="O78" s="188"/>
      <c r="U78" s="188"/>
      <c r="V78" s="188"/>
      <c r="W78" s="188"/>
    </row>
    <row r="79" spans="13:23" hidden="1" x14ac:dyDescent="0.4">
      <c r="M79" s="188"/>
      <c r="N79" s="188"/>
      <c r="O79" s="188"/>
      <c r="U79" s="188"/>
      <c r="V79" s="188"/>
      <c r="W79" s="188"/>
    </row>
    <row r="80" spans="13:23" hidden="1" x14ac:dyDescent="0.4">
      <c r="M80" s="188"/>
      <c r="N80" s="188"/>
      <c r="O80" s="188"/>
      <c r="U80" s="188"/>
      <c r="V80" s="188"/>
      <c r="W80" s="188"/>
    </row>
    <row r="81" spans="13:23" hidden="1" x14ac:dyDescent="0.4">
      <c r="M81" s="188"/>
      <c r="N81" s="188"/>
      <c r="O81" s="188"/>
      <c r="U81" s="188"/>
      <c r="V81" s="188"/>
      <c r="W81" s="188"/>
    </row>
    <row r="82" spans="13:23" hidden="1" x14ac:dyDescent="0.4">
      <c r="M82" s="188"/>
      <c r="N82" s="188"/>
      <c r="O82" s="188"/>
      <c r="U82" s="188"/>
      <c r="V82" s="188"/>
      <c r="W82" s="188"/>
    </row>
    <row r="83" spans="13:23" hidden="1" x14ac:dyDescent="0.4">
      <c r="M83" s="188"/>
      <c r="N83" s="188"/>
      <c r="O83" s="188"/>
      <c r="U83" s="188"/>
      <c r="V83" s="188"/>
      <c r="W83" s="188"/>
    </row>
    <row r="84" spans="13:23" hidden="1" x14ac:dyDescent="0.4">
      <c r="M84" s="188"/>
      <c r="N84" s="188"/>
      <c r="O84" s="188"/>
      <c r="U84" s="188"/>
      <c r="V84" s="188"/>
      <c r="W84" s="188"/>
    </row>
    <row r="85" spans="13:23" hidden="1" x14ac:dyDescent="0.4">
      <c r="M85" s="188"/>
      <c r="N85" s="188"/>
      <c r="O85" s="188"/>
      <c r="U85" s="188"/>
      <c r="V85" s="188"/>
      <c r="W85" s="188"/>
    </row>
    <row r="86" spans="13:23" hidden="1" x14ac:dyDescent="0.4">
      <c r="M86" s="188"/>
      <c r="N86" s="188"/>
      <c r="O86" s="188"/>
      <c r="U86" s="188"/>
      <c r="V86" s="188"/>
      <c r="W86" s="188"/>
    </row>
    <row r="87" spans="13:23" hidden="1" x14ac:dyDescent="0.4">
      <c r="M87" s="188"/>
      <c r="N87" s="188"/>
      <c r="O87" s="188"/>
      <c r="U87" s="188"/>
      <c r="V87" s="188"/>
      <c r="W87" s="188"/>
    </row>
    <row r="88" spans="13:23" hidden="1" x14ac:dyDescent="0.4">
      <c r="M88" s="188"/>
      <c r="N88" s="188"/>
      <c r="O88" s="188"/>
      <c r="U88" s="188"/>
      <c r="V88" s="188"/>
      <c r="W88" s="188"/>
    </row>
    <row r="89" spans="13:23" hidden="1" x14ac:dyDescent="0.4">
      <c r="M89" s="188"/>
      <c r="N89" s="188"/>
      <c r="O89" s="188"/>
      <c r="U89" s="188"/>
      <c r="V89" s="188"/>
      <c r="W89" s="188"/>
    </row>
    <row r="90" spans="13:23" hidden="1" x14ac:dyDescent="0.4">
      <c r="M90" s="188"/>
      <c r="N90" s="188"/>
      <c r="O90" s="188"/>
      <c r="U90" s="188"/>
      <c r="V90" s="188"/>
      <c r="W90" s="188"/>
    </row>
    <row r="91" spans="13:23" hidden="1" x14ac:dyDescent="0.4">
      <c r="M91" s="188"/>
      <c r="N91" s="188"/>
      <c r="O91" s="188"/>
      <c r="U91" s="188"/>
      <c r="V91" s="188"/>
      <c r="W91" s="188"/>
    </row>
    <row r="92" spans="13:23" hidden="1" x14ac:dyDescent="0.4">
      <c r="M92" s="188"/>
      <c r="N92" s="188"/>
      <c r="O92" s="188"/>
      <c r="U92" s="188"/>
      <c r="V92" s="188"/>
      <c r="W92" s="188"/>
    </row>
    <row r="93" spans="13:23" hidden="1" x14ac:dyDescent="0.4">
      <c r="M93" s="188"/>
      <c r="N93" s="188"/>
      <c r="O93" s="188"/>
      <c r="U93" s="188"/>
      <c r="V93" s="188"/>
      <c r="W93" s="188"/>
    </row>
    <row r="94" spans="13:23" hidden="1" x14ac:dyDescent="0.4">
      <c r="M94" s="188"/>
      <c r="N94" s="188"/>
      <c r="O94" s="188"/>
      <c r="U94" s="188"/>
      <c r="V94" s="188"/>
      <c r="W94" s="188"/>
    </row>
    <row r="95" spans="13:23" hidden="1" x14ac:dyDescent="0.4">
      <c r="M95" s="188"/>
      <c r="N95" s="188"/>
      <c r="O95" s="188"/>
      <c r="U95" s="188"/>
      <c r="V95" s="188"/>
      <c r="W95" s="188"/>
    </row>
    <row r="96" spans="13:23" hidden="1" x14ac:dyDescent="0.4">
      <c r="M96" s="188"/>
      <c r="N96" s="188"/>
      <c r="O96" s="188"/>
      <c r="U96" s="188"/>
      <c r="V96" s="188"/>
      <c r="W96" s="188"/>
    </row>
    <row r="97" spans="13:23" hidden="1" x14ac:dyDescent="0.4">
      <c r="M97" s="188"/>
      <c r="N97" s="188"/>
      <c r="O97" s="188"/>
      <c r="U97" s="188"/>
      <c r="V97" s="188"/>
      <c r="W97" s="188"/>
    </row>
    <row r="98" spans="13:23" hidden="1" x14ac:dyDescent="0.4">
      <c r="M98" s="188"/>
      <c r="N98" s="188"/>
      <c r="O98" s="188"/>
      <c r="U98" s="188"/>
      <c r="V98" s="188"/>
      <c r="W98" s="188"/>
    </row>
    <row r="99" spans="13:23" hidden="1" x14ac:dyDescent="0.4">
      <c r="M99" s="188"/>
      <c r="N99" s="188"/>
      <c r="O99" s="188"/>
      <c r="U99" s="188"/>
      <c r="V99" s="188"/>
      <c r="W99" s="188"/>
    </row>
    <row r="100" spans="13:23" hidden="1" x14ac:dyDescent="0.4">
      <c r="M100" s="188"/>
      <c r="N100" s="188"/>
      <c r="O100" s="188"/>
      <c r="U100" s="188"/>
      <c r="V100" s="188"/>
      <c r="W100" s="188"/>
    </row>
    <row r="101" spans="13:23" hidden="1" x14ac:dyDescent="0.4">
      <c r="M101" s="188"/>
      <c r="N101" s="188"/>
      <c r="O101" s="188"/>
      <c r="U101" s="188"/>
      <c r="V101" s="188"/>
      <c r="W101" s="188"/>
    </row>
    <row r="102" spans="13:23" hidden="1" x14ac:dyDescent="0.4">
      <c r="M102" s="188"/>
      <c r="N102" s="188"/>
      <c r="O102" s="188"/>
      <c r="U102" s="188"/>
      <c r="V102" s="188"/>
      <c r="W102" s="188"/>
    </row>
    <row r="103" spans="13:23" hidden="1" x14ac:dyDescent="0.4">
      <c r="M103" s="188"/>
      <c r="N103" s="188"/>
      <c r="O103" s="188"/>
      <c r="U103" s="188"/>
      <c r="V103" s="188"/>
      <c r="W103" s="188"/>
    </row>
    <row r="104" spans="13:23" hidden="1" x14ac:dyDescent="0.4">
      <c r="M104" s="188"/>
      <c r="N104" s="188"/>
      <c r="O104" s="188"/>
      <c r="U104" s="188"/>
      <c r="V104" s="188"/>
      <c r="W104" s="188"/>
    </row>
    <row r="105" spans="13:23" hidden="1" x14ac:dyDescent="0.4">
      <c r="M105" s="188"/>
      <c r="N105" s="188"/>
      <c r="O105" s="188"/>
      <c r="U105" s="188"/>
      <c r="V105" s="188"/>
      <c r="W105" s="188"/>
    </row>
    <row r="106" spans="13:23" hidden="1" x14ac:dyDescent="0.4">
      <c r="M106" s="188"/>
      <c r="N106" s="188"/>
      <c r="O106" s="188"/>
      <c r="U106" s="188"/>
      <c r="V106" s="188"/>
      <c r="W106" s="188"/>
    </row>
    <row r="107" spans="13:23" hidden="1" x14ac:dyDescent="0.4">
      <c r="M107" s="188"/>
      <c r="N107" s="188"/>
      <c r="O107" s="188"/>
      <c r="U107" s="188"/>
      <c r="V107" s="188"/>
      <c r="W107" s="188"/>
    </row>
    <row r="108" spans="13:23" hidden="1" x14ac:dyDescent="0.4">
      <c r="M108" s="188"/>
      <c r="N108" s="188"/>
      <c r="O108" s="188"/>
      <c r="U108" s="188"/>
      <c r="V108" s="188"/>
      <c r="W108" s="188"/>
    </row>
    <row r="109" spans="13:23" hidden="1" x14ac:dyDescent="0.4">
      <c r="M109" s="188"/>
      <c r="N109" s="188"/>
      <c r="O109" s="188"/>
      <c r="U109" s="188"/>
      <c r="V109" s="188"/>
      <c r="W109" s="188"/>
    </row>
    <row r="110" spans="13:23" hidden="1" x14ac:dyDescent="0.4">
      <c r="M110" s="188"/>
      <c r="N110" s="188"/>
      <c r="O110" s="188"/>
      <c r="U110" s="188"/>
      <c r="V110" s="188"/>
      <c r="W110" s="188"/>
    </row>
    <row r="111" spans="13:23" hidden="1" x14ac:dyDescent="0.4">
      <c r="M111" s="188"/>
      <c r="N111" s="188"/>
      <c r="O111" s="188"/>
      <c r="U111" s="188"/>
      <c r="V111" s="188"/>
      <c r="W111" s="188"/>
    </row>
    <row r="112" spans="13:23" hidden="1" x14ac:dyDescent="0.4">
      <c r="M112" s="188"/>
      <c r="N112" s="188"/>
      <c r="O112" s="188"/>
      <c r="U112" s="188"/>
      <c r="V112" s="188"/>
      <c r="W112" s="188"/>
    </row>
    <row r="113" spans="13:23" hidden="1" x14ac:dyDescent="0.4">
      <c r="M113" s="188"/>
      <c r="N113" s="188"/>
      <c r="O113" s="188"/>
      <c r="U113" s="188"/>
      <c r="V113" s="188"/>
      <c r="W113" s="188"/>
    </row>
    <row r="114" spans="13:23" hidden="1" x14ac:dyDescent="0.4">
      <c r="M114" s="188"/>
      <c r="N114" s="188"/>
      <c r="O114" s="188"/>
      <c r="U114" s="188"/>
      <c r="V114" s="188"/>
      <c r="W114" s="188"/>
    </row>
    <row r="115" spans="13:23" hidden="1" x14ac:dyDescent="0.4">
      <c r="M115" s="188"/>
      <c r="N115" s="188"/>
      <c r="O115" s="188"/>
      <c r="U115" s="188"/>
      <c r="V115" s="188"/>
      <c r="W115" s="188"/>
    </row>
    <row r="116" spans="13:23" hidden="1" x14ac:dyDescent="0.4">
      <c r="M116" s="188"/>
      <c r="N116" s="188"/>
      <c r="O116" s="188"/>
      <c r="U116" s="188"/>
      <c r="V116" s="188"/>
      <c r="W116" s="188"/>
    </row>
    <row r="117" spans="13:23" hidden="1" x14ac:dyDescent="0.4">
      <c r="M117" s="188"/>
      <c r="N117" s="188"/>
      <c r="O117" s="188"/>
      <c r="U117" s="188"/>
      <c r="V117" s="188"/>
      <c r="W117" s="188"/>
    </row>
    <row r="118" spans="13:23" hidden="1" x14ac:dyDescent="0.4">
      <c r="M118" s="188"/>
      <c r="N118" s="188"/>
      <c r="O118" s="188"/>
      <c r="U118" s="188"/>
      <c r="V118" s="188"/>
      <c r="W118" s="188"/>
    </row>
    <row r="119" spans="13:23" hidden="1" x14ac:dyDescent="0.4">
      <c r="M119" s="188"/>
      <c r="N119" s="188"/>
      <c r="O119" s="188"/>
      <c r="U119" s="188"/>
      <c r="V119" s="188"/>
      <c r="W119" s="188"/>
    </row>
    <row r="120" spans="13:23" hidden="1" x14ac:dyDescent="0.4">
      <c r="M120" s="188"/>
      <c r="N120" s="188"/>
      <c r="O120" s="188"/>
      <c r="U120" s="188"/>
      <c r="V120" s="188"/>
      <c r="W120" s="188"/>
    </row>
    <row r="121" spans="13:23" hidden="1" x14ac:dyDescent="0.4">
      <c r="M121" s="188"/>
      <c r="N121" s="188"/>
      <c r="O121" s="188"/>
      <c r="U121" s="188"/>
      <c r="V121" s="188"/>
      <c r="W121" s="188"/>
    </row>
    <row r="122" spans="13:23" hidden="1" x14ac:dyDescent="0.4">
      <c r="M122" s="188"/>
      <c r="N122" s="188"/>
      <c r="O122" s="188"/>
      <c r="U122" s="188"/>
      <c r="V122" s="188"/>
      <c r="W122" s="188"/>
    </row>
    <row r="123" spans="13:23" hidden="1" x14ac:dyDescent="0.4">
      <c r="M123" s="188"/>
      <c r="N123" s="188"/>
      <c r="O123" s="188"/>
      <c r="U123" s="188"/>
      <c r="V123" s="188"/>
      <c r="W123" s="188"/>
    </row>
    <row r="124" spans="13:23" hidden="1" x14ac:dyDescent="0.4">
      <c r="M124" s="188"/>
      <c r="N124" s="188"/>
      <c r="O124" s="188"/>
      <c r="U124" s="188"/>
      <c r="V124" s="188"/>
      <c r="W124" s="188"/>
    </row>
    <row r="125" spans="13:23" hidden="1" x14ac:dyDescent="0.4">
      <c r="M125" s="188"/>
      <c r="N125" s="188"/>
      <c r="O125" s="188"/>
      <c r="U125" s="188"/>
      <c r="V125" s="188"/>
      <c r="W125" s="188"/>
    </row>
    <row r="126" spans="13:23" hidden="1" x14ac:dyDescent="0.4">
      <c r="M126" s="188"/>
      <c r="N126" s="188"/>
      <c r="O126" s="188"/>
      <c r="U126" s="188"/>
      <c r="V126" s="188"/>
      <c r="W126" s="188"/>
    </row>
    <row r="127" spans="13:23" hidden="1" x14ac:dyDescent="0.4">
      <c r="M127" s="188"/>
      <c r="N127" s="188"/>
      <c r="O127" s="188"/>
      <c r="U127" s="188"/>
      <c r="V127" s="188"/>
      <c r="W127" s="188"/>
    </row>
    <row r="128" spans="13:23" hidden="1" x14ac:dyDescent="0.4">
      <c r="M128" s="188"/>
      <c r="N128" s="188"/>
      <c r="U128" s="188"/>
      <c r="V128" s="188"/>
      <c r="W128" s="188"/>
    </row>
    <row r="129" spans="9:23" hidden="1" x14ac:dyDescent="0.4">
      <c r="M129" s="188"/>
      <c r="N129" s="188"/>
      <c r="U129" s="188"/>
      <c r="V129" s="188"/>
      <c r="W129" s="188"/>
    </row>
    <row r="130" spans="9:23" hidden="1" x14ac:dyDescent="0.4">
      <c r="M130" s="188"/>
      <c r="N130" s="188"/>
      <c r="U130" s="188"/>
      <c r="V130" s="188"/>
      <c r="W130" s="188"/>
    </row>
    <row r="131" spans="9:23" hidden="1" x14ac:dyDescent="0.4">
      <c r="U131" s="188"/>
      <c r="V131" s="188"/>
      <c r="W131" s="188"/>
    </row>
    <row r="132" spans="9:23" hidden="1" x14ac:dyDescent="0.4">
      <c r="I132" s="108" t="s">
        <v>361</v>
      </c>
      <c r="J132" s="108" t="s">
        <v>367</v>
      </c>
      <c r="U132" s="188"/>
      <c r="V132" s="188"/>
      <c r="W132" s="188"/>
    </row>
    <row r="133" spans="9:23" hidden="1" x14ac:dyDescent="0.4">
      <c r="I133" s="108" t="s">
        <v>360</v>
      </c>
      <c r="J133" s="108" t="s">
        <v>368</v>
      </c>
      <c r="U133" s="188"/>
      <c r="V133" s="188"/>
      <c r="W133" s="188"/>
    </row>
    <row r="134" spans="9:23" hidden="1" x14ac:dyDescent="0.4">
      <c r="J134" s="108" t="s">
        <v>369</v>
      </c>
      <c r="K134" s="108" t="s">
        <v>335</v>
      </c>
      <c r="U134" s="188"/>
      <c r="V134" s="188"/>
      <c r="W134" s="188"/>
    </row>
    <row r="135" spans="9:23" hidden="1" x14ac:dyDescent="0.4">
      <c r="K135" s="108" t="s">
        <v>336</v>
      </c>
    </row>
    <row r="137" spans="9:23" hidden="1" x14ac:dyDescent="0.4">
      <c r="I137" s="108" t="s">
        <v>370</v>
      </c>
    </row>
  </sheetData>
  <sheetProtection sheet="1" objects="1" scenarios="1"/>
  <protectedRanges>
    <protectedRange sqref="J5:J13 J15:J18 K5:K18 L5:L18 O5:O18" name="equip price"/>
    <protectedRange sqref="H5:I18" name="equipment"/>
    <protectedRange sqref="D15" name="row quantity"/>
    <protectedRange sqref="C25 D25:D35 C32:C35 H25:I38 J25:L34 K35:L38 J36:J38 O25:O38 H45:I52" name="Edit cells"/>
    <protectedRange sqref="D17:D19" name="irrigation quantity"/>
    <protectedRange sqref="C3:D11" name="hand tools"/>
  </protectedRanges>
  <sortState xmlns:xlrd2="http://schemas.microsoft.com/office/spreadsheetml/2017/richdata2" ref="F23:P36">
    <sortCondition ref="F23:F36"/>
  </sortState>
  <mergeCells count="9">
    <mergeCell ref="H2:I2"/>
    <mergeCell ref="G19:H19"/>
    <mergeCell ref="G20:H20"/>
    <mergeCell ref="G39:H39"/>
    <mergeCell ref="G40:H40"/>
    <mergeCell ref="G43:J43"/>
    <mergeCell ref="C17:C18"/>
    <mergeCell ref="B17:B18"/>
    <mergeCell ref="D17:D18"/>
  </mergeCells>
  <dataValidations count="2">
    <dataValidation type="list" allowBlank="1" showInputMessage="1" showErrorMessage="1" sqref="H2" xr:uid="{73E96672-7A90-40BE-968A-D3C74FE40245}">
      <formula1>$I$132:$I$133</formula1>
    </dataValidation>
    <dataValidation type="list" allowBlank="1" showInputMessage="1" showErrorMessage="1" sqref="H5:H18 H25:H38" xr:uid="{F38559C4-8B01-4ADF-BAAF-60D952B36522}">
      <formula1>$O$1:$O$2</formula1>
    </dataValidation>
  </dataValidations>
  <pageMargins left="0.7" right="0.7" top="0.75" bottom="0.75" header="0.3" footer="0.3"/>
  <pageSetup scale="83" fitToHeight="2" orientation="landscape" r:id="rId1"/>
  <rowBreaks count="2" manualBreakCount="2">
    <brk id="22" min="6" max="15" man="1"/>
    <brk id="2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A32FB-C109-401F-87ED-707827516C17}">
  <sheetPr>
    <pageSetUpPr fitToPage="1"/>
  </sheetPr>
  <dimension ref="A1:AZ53"/>
  <sheetViews>
    <sheetView showGridLines="0" zoomScaleNormal="100" workbookViewId="0">
      <selection activeCell="N2" sqref="N2"/>
    </sheetView>
  </sheetViews>
  <sheetFormatPr defaultColWidth="0" defaultRowHeight="14.5" zeroHeight="1" x14ac:dyDescent="0.35"/>
  <cols>
    <col min="1" max="1" width="22.33203125" style="101" customWidth="1"/>
    <col min="2" max="2" width="18.75" style="101" customWidth="1"/>
    <col min="3" max="3" width="9.5" style="101" bestFit="1" customWidth="1"/>
    <col min="4" max="4" width="16.83203125" style="101" bestFit="1" customWidth="1"/>
    <col min="5" max="5" width="10.08203125" style="101" bestFit="1" customWidth="1"/>
    <col min="6" max="6" width="18.75" style="101" customWidth="1"/>
    <col min="7" max="7" width="15.1640625" style="101" bestFit="1" customWidth="1"/>
    <col min="8" max="8" width="11.6640625" style="101" bestFit="1" customWidth="1"/>
    <col min="9" max="9" width="13.4140625" style="101" customWidth="1"/>
    <col min="10" max="10" width="8.58203125" style="101" bestFit="1" customWidth="1"/>
    <col min="11" max="12" width="10.25" style="101" bestFit="1" customWidth="1"/>
    <col min="13" max="13" width="13" style="101" customWidth="1"/>
    <col min="14" max="14" width="12.58203125" style="101" bestFit="1" customWidth="1"/>
    <col min="15" max="15" width="11.58203125" style="101" bestFit="1" customWidth="1"/>
    <col min="16" max="16" width="10.4140625" style="101" bestFit="1" customWidth="1"/>
    <col min="17" max="35" width="10.33203125" style="101" bestFit="1" customWidth="1"/>
    <col min="36" max="51" width="12.58203125" style="101" customWidth="1"/>
    <col min="52" max="52" width="8.58203125" style="101" customWidth="1"/>
    <col min="53" max="16384" width="8.58203125" style="101" hidden="1"/>
  </cols>
  <sheetData>
    <row r="1" spans="1:51" ht="18.5" x14ac:dyDescent="0.45">
      <c r="A1" s="421" t="s">
        <v>515</v>
      </c>
      <c r="B1" s="421"/>
      <c r="C1" s="421"/>
      <c r="D1" s="421"/>
      <c r="F1" s="471" t="s">
        <v>516</v>
      </c>
      <c r="G1" s="471"/>
      <c r="H1" s="471"/>
      <c r="I1" s="471"/>
      <c r="J1" s="471"/>
      <c r="K1" s="471"/>
    </row>
    <row r="2" spans="1:51" ht="16" x14ac:dyDescent="0.4">
      <c r="A2" s="390" t="s">
        <v>201</v>
      </c>
      <c r="B2" s="390" t="s">
        <v>0</v>
      </c>
      <c r="C2" s="390" t="s">
        <v>1</v>
      </c>
      <c r="D2" s="393" t="s">
        <v>210</v>
      </c>
      <c r="F2" s="227" t="s">
        <v>417</v>
      </c>
      <c r="G2" s="394" t="s">
        <v>418</v>
      </c>
      <c r="H2" s="394" t="s">
        <v>419</v>
      </c>
      <c r="I2" s="394" t="s">
        <v>447</v>
      </c>
      <c r="J2" s="394" t="s">
        <v>420</v>
      </c>
      <c r="K2" s="394" t="s">
        <v>421</v>
      </c>
    </row>
    <row r="3" spans="1:51" ht="16" x14ac:dyDescent="0.4">
      <c r="A3" s="211" t="s">
        <v>202</v>
      </c>
      <c r="B3" s="221" t="s">
        <v>207</v>
      </c>
      <c r="C3" s="133">
        <v>15</v>
      </c>
      <c r="D3" s="212">
        <f>Inputs!AB4</f>
        <v>4.625</v>
      </c>
      <c r="E3" s="213" t="s">
        <v>317</v>
      </c>
      <c r="F3" s="138" t="s">
        <v>488</v>
      </c>
      <c r="G3" s="222" t="s">
        <v>329</v>
      </c>
      <c r="H3" s="214">
        <v>500</v>
      </c>
      <c r="I3" s="214">
        <v>2</v>
      </c>
      <c r="J3" s="215">
        <f>2000/H3*I3</f>
        <v>8</v>
      </c>
      <c r="K3" s="222" t="s">
        <v>422</v>
      </c>
    </row>
    <row r="4" spans="1:51" ht="16" x14ac:dyDescent="0.4">
      <c r="A4" s="211" t="s">
        <v>203</v>
      </c>
      <c r="B4" s="221" t="s">
        <v>207</v>
      </c>
      <c r="C4" s="133">
        <v>5</v>
      </c>
      <c r="D4" s="212">
        <f>Inputs!AB5</f>
        <v>1.5416666666666665</v>
      </c>
      <c r="E4" s="216">
        <f>Inputs!D23</f>
        <v>18.5</v>
      </c>
      <c r="F4" s="138" t="s">
        <v>423</v>
      </c>
      <c r="G4" s="222" t="s">
        <v>329</v>
      </c>
      <c r="H4" s="214">
        <v>2000</v>
      </c>
      <c r="I4" s="214">
        <v>1</v>
      </c>
      <c r="J4" s="215">
        <f t="shared" ref="J4" si="0">2000/H4*I4</f>
        <v>1</v>
      </c>
      <c r="K4" s="222" t="s">
        <v>422</v>
      </c>
    </row>
    <row r="5" spans="1:51" ht="16" x14ac:dyDescent="0.4">
      <c r="A5" s="211" t="s">
        <v>204</v>
      </c>
      <c r="B5" s="221" t="s">
        <v>207</v>
      </c>
      <c r="C5" s="133">
        <v>0</v>
      </c>
      <c r="D5" s="212">
        <f>Inputs!AB6</f>
        <v>0</v>
      </c>
      <c r="F5" s="420"/>
      <c r="G5" s="420"/>
      <c r="H5" s="420"/>
      <c r="I5" s="420"/>
      <c r="J5" s="420"/>
      <c r="K5" s="420"/>
    </row>
    <row r="6" spans="1:51" ht="18.5" x14ac:dyDescent="0.45">
      <c r="A6" s="211" t="s">
        <v>205</v>
      </c>
      <c r="B6" s="221" t="s">
        <v>484</v>
      </c>
      <c r="C6" s="217">
        <v>50</v>
      </c>
      <c r="D6" s="212">
        <f>Inputs!AB7</f>
        <v>25</v>
      </c>
      <c r="F6" s="351" t="s">
        <v>533</v>
      </c>
      <c r="G6" s="389"/>
      <c r="H6" s="389"/>
      <c r="I6" s="389"/>
      <c r="J6" s="389"/>
      <c r="K6" s="389"/>
      <c r="L6" s="389"/>
      <c r="M6" s="389"/>
      <c r="N6" s="389"/>
      <c r="O6" s="389"/>
      <c r="P6" s="389"/>
    </row>
    <row r="7" spans="1:51" ht="16" x14ac:dyDescent="0.4">
      <c r="A7" s="211" t="s">
        <v>328</v>
      </c>
      <c r="B7" s="221" t="s">
        <v>208</v>
      </c>
      <c r="C7" s="108">
        <f>E51</f>
        <v>0.27</v>
      </c>
      <c r="D7" s="212">
        <f>Inputs!AB8</f>
        <v>8.3250000000000005E-2</v>
      </c>
      <c r="F7" s="472" t="s">
        <v>193</v>
      </c>
      <c r="G7" s="473" t="s">
        <v>531</v>
      </c>
      <c r="H7" s="473" t="s">
        <v>532</v>
      </c>
      <c r="I7" s="473" t="s">
        <v>232</v>
      </c>
      <c r="J7" s="473" t="s">
        <v>237</v>
      </c>
      <c r="K7" s="473" t="s">
        <v>242</v>
      </c>
      <c r="L7" s="473" t="s">
        <v>247</v>
      </c>
      <c r="M7" s="473" t="s">
        <v>252</v>
      </c>
      <c r="N7" s="473" t="s">
        <v>257</v>
      </c>
      <c r="O7" s="473" t="s">
        <v>267</v>
      </c>
      <c r="P7" s="473" t="s">
        <v>277</v>
      </c>
    </row>
    <row r="8" spans="1:51" ht="16" x14ac:dyDescent="0.4">
      <c r="A8" s="211" t="s">
        <v>206</v>
      </c>
      <c r="B8" s="221" t="s">
        <v>380</v>
      </c>
      <c r="C8" s="133">
        <v>8</v>
      </c>
      <c r="D8" s="212">
        <f>Inputs!AB9</f>
        <v>148</v>
      </c>
      <c r="F8" s="108" t="s">
        <v>420</v>
      </c>
      <c r="G8" s="353">
        <f>B16</f>
        <v>30.5</v>
      </c>
      <c r="H8" s="353">
        <f>C16</f>
        <v>20.5</v>
      </c>
      <c r="I8" s="353">
        <f t="shared" ref="I8:P8" si="1">HLOOKUP(I$7,$B$11:$AY$17,6,FALSE)</f>
        <v>26.432575</v>
      </c>
      <c r="J8" s="353">
        <f t="shared" si="1"/>
        <v>35.262145023999992</v>
      </c>
      <c r="K8" s="353">
        <f t="shared" si="1"/>
        <v>79.658768336612809</v>
      </c>
      <c r="L8" s="353">
        <f t="shared" si="1"/>
        <v>82.079383635579759</v>
      </c>
      <c r="M8" s="353">
        <f t="shared" si="1"/>
        <v>92.60411629445133</v>
      </c>
      <c r="N8" s="353">
        <f t="shared" si="1"/>
        <v>104.8051660048196</v>
      </c>
      <c r="O8" s="353">
        <f t="shared" si="1"/>
        <v>135.34671716425086</v>
      </c>
      <c r="P8" s="353">
        <f t="shared" si="1"/>
        <v>135.34671716425086</v>
      </c>
    </row>
    <row r="9" spans="1:51" ht="32" x14ac:dyDescent="0.4">
      <c r="A9" s="223" t="s">
        <v>209</v>
      </c>
      <c r="B9" s="224" t="s">
        <v>381</v>
      </c>
      <c r="C9" s="225">
        <v>8</v>
      </c>
      <c r="D9" s="226">
        <f>Inputs!AB10</f>
        <v>148</v>
      </c>
      <c r="F9" s="176" t="s">
        <v>141</v>
      </c>
      <c r="G9" s="474">
        <f>B17</f>
        <v>564.25</v>
      </c>
      <c r="H9" s="474">
        <f>C17</f>
        <v>379.25</v>
      </c>
      <c r="I9" s="474">
        <f t="shared" ref="I9:P9" si="2">HLOOKUP(I$7,$B$11:$AY$17,7,FALSE)</f>
        <v>489.00263749999999</v>
      </c>
      <c r="J9" s="474">
        <f t="shared" si="2"/>
        <v>652.34968294399994</v>
      </c>
      <c r="K9" s="474">
        <f t="shared" si="2"/>
        <v>1473.6872142273369</v>
      </c>
      <c r="L9" s="474">
        <f t="shared" si="2"/>
        <v>1518.4685972582256</v>
      </c>
      <c r="M9" s="474">
        <f t="shared" si="2"/>
        <v>1713.1761514473496</v>
      </c>
      <c r="N9" s="474">
        <f t="shared" si="2"/>
        <v>1938.8955710891628</v>
      </c>
      <c r="O9" s="474">
        <f t="shared" si="2"/>
        <v>2503.9142675386411</v>
      </c>
      <c r="P9" s="474">
        <f t="shared" si="2"/>
        <v>2503.9142675386411</v>
      </c>
    </row>
    <row r="10" spans="1:51" ht="15" thickBot="1" x14ac:dyDescent="0.4">
      <c r="C10" s="213">
        <f>'Long-term Model Summary'!L2</f>
        <v>2025</v>
      </c>
    </row>
    <row r="11" spans="1:51" ht="55.5" x14ac:dyDescent="0.45">
      <c r="A11" s="376" t="s">
        <v>517</v>
      </c>
      <c r="B11" s="301" t="s">
        <v>228</v>
      </c>
      <c r="C11" s="301" t="s">
        <v>229</v>
      </c>
      <c r="D11" s="301" t="s">
        <v>230</v>
      </c>
      <c r="E11" s="301" t="s">
        <v>231</v>
      </c>
      <c r="F11" s="301" t="s">
        <v>232</v>
      </c>
      <c r="G11" s="301" t="s">
        <v>233</v>
      </c>
      <c r="H11" s="301" t="s">
        <v>234</v>
      </c>
      <c r="I11" s="301" t="s">
        <v>235</v>
      </c>
      <c r="J11" s="301" t="s">
        <v>236</v>
      </c>
      <c r="K11" s="301" t="s">
        <v>237</v>
      </c>
      <c r="L11" s="301" t="s">
        <v>238</v>
      </c>
      <c r="M11" s="301" t="s">
        <v>239</v>
      </c>
      <c r="N11" s="301" t="s">
        <v>240</v>
      </c>
      <c r="O11" s="301" t="s">
        <v>241</v>
      </c>
      <c r="P11" s="301" t="s">
        <v>242</v>
      </c>
      <c r="Q11" s="301" t="s">
        <v>243</v>
      </c>
      <c r="R11" s="301" t="s">
        <v>244</v>
      </c>
      <c r="S11" s="301" t="s">
        <v>245</v>
      </c>
      <c r="T11" s="301" t="s">
        <v>246</v>
      </c>
      <c r="U11" s="301" t="s">
        <v>247</v>
      </c>
      <c r="V11" s="301" t="s">
        <v>248</v>
      </c>
      <c r="W11" s="301" t="s">
        <v>249</v>
      </c>
      <c r="X11" s="301" t="s">
        <v>250</v>
      </c>
      <c r="Y11" s="301" t="s">
        <v>251</v>
      </c>
      <c r="Z11" s="301" t="s">
        <v>252</v>
      </c>
      <c r="AA11" s="301" t="s">
        <v>253</v>
      </c>
      <c r="AB11" s="301" t="s">
        <v>254</v>
      </c>
      <c r="AC11" s="301" t="s">
        <v>255</v>
      </c>
      <c r="AD11" s="301" t="s">
        <v>256</v>
      </c>
      <c r="AE11" s="301" t="s">
        <v>257</v>
      </c>
      <c r="AF11" s="301" t="s">
        <v>258</v>
      </c>
      <c r="AG11" s="301" t="s">
        <v>259</v>
      </c>
      <c r="AH11" s="301" t="s">
        <v>260</v>
      </c>
      <c r="AI11" s="301" t="s">
        <v>261</v>
      </c>
      <c r="AJ11" s="301" t="s">
        <v>262</v>
      </c>
      <c r="AK11" s="301" t="s">
        <v>263</v>
      </c>
      <c r="AL11" s="301" t="s">
        <v>264</v>
      </c>
      <c r="AM11" s="301" t="s">
        <v>265</v>
      </c>
      <c r="AN11" s="301" t="s">
        <v>266</v>
      </c>
      <c r="AO11" s="301" t="s">
        <v>267</v>
      </c>
      <c r="AP11" s="301" t="s">
        <v>268</v>
      </c>
      <c r="AQ11" s="301" t="s">
        <v>269</v>
      </c>
      <c r="AR11" s="301" t="s">
        <v>270</v>
      </c>
      <c r="AS11" s="301" t="s">
        <v>271</v>
      </c>
      <c r="AT11" s="301" t="s">
        <v>272</v>
      </c>
      <c r="AU11" s="301" t="s">
        <v>273</v>
      </c>
      <c r="AV11" s="301" t="s">
        <v>274</v>
      </c>
      <c r="AW11" s="301" t="s">
        <v>275</v>
      </c>
      <c r="AX11" s="301" t="s">
        <v>276</v>
      </c>
      <c r="AY11" s="301" t="s">
        <v>277</v>
      </c>
    </row>
    <row r="12" spans="1:51" ht="16" x14ac:dyDescent="0.4">
      <c r="A12" s="302"/>
      <c r="B12" s="302">
        <f>C10</f>
        <v>2025</v>
      </c>
      <c r="C12" s="302">
        <f>B12+1</f>
        <v>2026</v>
      </c>
      <c r="D12" s="302">
        <f t="shared" ref="D12:AY12" si="3">C12+1</f>
        <v>2027</v>
      </c>
      <c r="E12" s="302">
        <f t="shared" si="3"/>
        <v>2028</v>
      </c>
      <c r="F12" s="302">
        <f>E12+1</f>
        <v>2029</v>
      </c>
      <c r="G12" s="302">
        <f t="shared" si="3"/>
        <v>2030</v>
      </c>
      <c r="H12" s="302">
        <f t="shared" si="3"/>
        <v>2031</v>
      </c>
      <c r="I12" s="302">
        <f t="shared" si="3"/>
        <v>2032</v>
      </c>
      <c r="J12" s="302">
        <f t="shared" si="3"/>
        <v>2033</v>
      </c>
      <c r="K12" s="302">
        <f t="shared" si="3"/>
        <v>2034</v>
      </c>
      <c r="L12" s="302">
        <f t="shared" si="3"/>
        <v>2035</v>
      </c>
      <c r="M12" s="302">
        <f t="shared" si="3"/>
        <v>2036</v>
      </c>
      <c r="N12" s="302">
        <f>M12+1</f>
        <v>2037</v>
      </c>
      <c r="O12" s="302">
        <f>N12+1</f>
        <v>2038</v>
      </c>
      <c r="P12" s="302">
        <f t="shared" si="3"/>
        <v>2039</v>
      </c>
      <c r="Q12" s="302">
        <f t="shared" si="3"/>
        <v>2040</v>
      </c>
      <c r="R12" s="302">
        <f t="shared" si="3"/>
        <v>2041</v>
      </c>
      <c r="S12" s="302">
        <f t="shared" si="3"/>
        <v>2042</v>
      </c>
      <c r="T12" s="302">
        <f t="shared" si="3"/>
        <v>2043</v>
      </c>
      <c r="U12" s="302">
        <f t="shared" si="3"/>
        <v>2044</v>
      </c>
      <c r="V12" s="302">
        <f t="shared" si="3"/>
        <v>2045</v>
      </c>
      <c r="W12" s="302">
        <f t="shared" si="3"/>
        <v>2046</v>
      </c>
      <c r="X12" s="302">
        <f t="shared" si="3"/>
        <v>2047</v>
      </c>
      <c r="Y12" s="302">
        <f t="shared" si="3"/>
        <v>2048</v>
      </c>
      <c r="Z12" s="302">
        <f t="shared" si="3"/>
        <v>2049</v>
      </c>
      <c r="AA12" s="302">
        <f t="shared" si="3"/>
        <v>2050</v>
      </c>
      <c r="AB12" s="303">
        <f t="shared" si="3"/>
        <v>2051</v>
      </c>
      <c r="AC12" s="303">
        <f t="shared" si="3"/>
        <v>2052</v>
      </c>
      <c r="AD12" s="303">
        <f t="shared" si="3"/>
        <v>2053</v>
      </c>
      <c r="AE12" s="303">
        <f t="shared" si="3"/>
        <v>2054</v>
      </c>
      <c r="AF12" s="303">
        <f t="shared" si="3"/>
        <v>2055</v>
      </c>
      <c r="AG12" s="303">
        <f t="shared" si="3"/>
        <v>2056</v>
      </c>
      <c r="AH12" s="303">
        <f t="shared" si="3"/>
        <v>2057</v>
      </c>
      <c r="AI12" s="303">
        <f t="shared" si="3"/>
        <v>2058</v>
      </c>
      <c r="AJ12" s="303">
        <f t="shared" si="3"/>
        <v>2059</v>
      </c>
      <c r="AK12" s="303">
        <f t="shared" si="3"/>
        <v>2060</v>
      </c>
      <c r="AL12" s="303">
        <f t="shared" si="3"/>
        <v>2061</v>
      </c>
      <c r="AM12" s="303">
        <f t="shared" si="3"/>
        <v>2062</v>
      </c>
      <c r="AN12" s="303">
        <f t="shared" si="3"/>
        <v>2063</v>
      </c>
      <c r="AO12" s="303">
        <f t="shared" si="3"/>
        <v>2064</v>
      </c>
      <c r="AP12" s="303">
        <f t="shared" si="3"/>
        <v>2065</v>
      </c>
      <c r="AQ12" s="303">
        <f t="shared" si="3"/>
        <v>2066</v>
      </c>
      <c r="AR12" s="303">
        <f t="shared" si="3"/>
        <v>2067</v>
      </c>
      <c r="AS12" s="303">
        <f t="shared" si="3"/>
        <v>2068</v>
      </c>
      <c r="AT12" s="303">
        <f t="shared" si="3"/>
        <v>2069</v>
      </c>
      <c r="AU12" s="303">
        <f t="shared" si="3"/>
        <v>2070</v>
      </c>
      <c r="AV12" s="303">
        <f t="shared" si="3"/>
        <v>2071</v>
      </c>
      <c r="AW12" s="303">
        <f t="shared" si="3"/>
        <v>2072</v>
      </c>
      <c r="AX12" s="303">
        <f t="shared" si="3"/>
        <v>2073</v>
      </c>
      <c r="AY12" s="303">
        <f t="shared" si="3"/>
        <v>2074</v>
      </c>
    </row>
    <row r="13" spans="1:51" ht="16" x14ac:dyDescent="0.4">
      <c r="A13" s="108" t="str">
        <f>'Long-term Model Summary'!J12</f>
        <v>Average yield per tree</v>
      </c>
      <c r="B13" s="188">
        <f>'Long-term Model Summary'!K12</f>
        <v>0</v>
      </c>
      <c r="C13" s="188">
        <f>'Long-term Model Summary'!L12</f>
        <v>0</v>
      </c>
      <c r="D13" s="188">
        <f>'Long-term Model Summary'!M12</f>
        <v>0</v>
      </c>
      <c r="E13" s="188">
        <f>'Long-term Model Summary'!N12</f>
        <v>0.47000000000000003</v>
      </c>
      <c r="F13" s="188">
        <f>'Long-term Model Summary'!O12</f>
        <v>4.7</v>
      </c>
      <c r="G13" s="188">
        <f>'Long-term Model Summary'!P12</f>
        <v>5.64</v>
      </c>
      <c r="H13" s="188">
        <f>'Long-term Model Summary'!Q12</f>
        <v>6.7679999999999998</v>
      </c>
      <c r="I13" s="188">
        <f>'Long-term Model Summary'!R12</f>
        <v>8.121599999999999</v>
      </c>
      <c r="J13" s="188">
        <f>'Long-term Model Summary'!S12</f>
        <v>9.7459199999999981</v>
      </c>
      <c r="K13" s="188">
        <f>'Long-term Model Summary'!T12</f>
        <v>11.695103999999997</v>
      </c>
      <c r="L13" s="188">
        <f>'Long-term Model Summary'!U12</f>
        <v>15.437537279999997</v>
      </c>
      <c r="M13" s="188">
        <f>'Long-term Model Summary'!V12</f>
        <v>20.377549209599998</v>
      </c>
      <c r="N13" s="188">
        <f>'Long-term Model Summary'!W12</f>
        <v>26.898364956671998</v>
      </c>
      <c r="O13" s="188">
        <f>'Long-term Model Summary'!X12</f>
        <v>35.505841742807036</v>
      </c>
      <c r="P13" s="188">
        <f>'Long-term Model Summary'!Y12</f>
        <v>46.867711100505289</v>
      </c>
      <c r="Q13" s="188">
        <f>'Long-term Model Summary'!Z12</f>
        <v>61.865378652666983</v>
      </c>
      <c r="R13" s="188">
        <f>'Long-term Model Summary'!AA12</f>
        <v>81.662299821520421</v>
      </c>
      <c r="S13" s="188">
        <f>'Long-term Model Summary'!AB12</f>
        <v>84.112168816166033</v>
      </c>
      <c r="T13" s="188">
        <f>'Long-term Model Summary'!AC12</f>
        <v>86.63553388065101</v>
      </c>
      <c r="U13" s="188">
        <f>'Long-term Model Summary'!AD12</f>
        <v>104.70094456023729</v>
      </c>
      <c r="V13" s="188">
        <f>'Long-term Model Summary'!AE12</f>
        <v>107.84197289704441</v>
      </c>
      <c r="W13" s="188">
        <f>'Long-term Model Summary'!AF12</f>
        <v>111.07723208395575</v>
      </c>
      <c r="X13" s="188">
        <f>'Long-term Model Summary'!AG12</f>
        <v>114.40954904647442</v>
      </c>
      <c r="Y13" s="188">
        <f>'Long-term Model Summary'!AH12</f>
        <v>117.84183551786866</v>
      </c>
      <c r="Z13" s="188">
        <f>'Long-term Model Summary'!AI12</f>
        <v>121.37709058340472</v>
      </c>
      <c r="AA13" s="188">
        <f>'Long-term Model Summary'!AJ12</f>
        <v>125.01840330090687</v>
      </c>
      <c r="AB13" s="188">
        <f>'Long-term Model Summary'!AK12</f>
        <v>128.76895539993407</v>
      </c>
      <c r="AC13" s="188">
        <f>'Long-term Model Summary'!AL12</f>
        <v>132.6320240619321</v>
      </c>
      <c r="AD13" s="188">
        <f>'Long-term Model Summary'!AM12</f>
        <v>136.61098478379006</v>
      </c>
      <c r="AE13" s="188">
        <f>'Long-term Model Summary'!AN12</f>
        <v>140.70931432730376</v>
      </c>
      <c r="AF13" s="188">
        <f>'Long-term Model Summary'!AO12</f>
        <v>144.93059375712286</v>
      </c>
      <c r="AG13" s="188">
        <f>'Long-term Model Summary'!AP12</f>
        <v>149.27851156983655</v>
      </c>
      <c r="AH13" s="188">
        <f>'Long-term Model Summary'!AQ12</f>
        <v>153.75686691693164</v>
      </c>
      <c r="AI13" s="188">
        <f>'Long-term Model Summary'!AR12</f>
        <v>158.36957292443961</v>
      </c>
      <c r="AJ13" s="188">
        <f>'Long-term Model Summary'!AS12</f>
        <v>163.1206601121728</v>
      </c>
      <c r="AK13" s="188">
        <f>'Long-term Model Summary'!AT12</f>
        <v>168.014279915538</v>
      </c>
      <c r="AL13" s="188">
        <f>'Long-term Model Summary'!AU12</f>
        <v>173.05470831300414</v>
      </c>
      <c r="AM13" s="188">
        <f>'Long-term Model Summary'!AV12</f>
        <v>178.24634956239427</v>
      </c>
      <c r="AN13" s="188">
        <f>'Long-term Model Summary'!AW12</f>
        <v>183.5937400492661</v>
      </c>
      <c r="AO13" s="188">
        <f>'Long-term Model Summary'!AX12</f>
        <v>189.10155225074408</v>
      </c>
      <c r="AP13" s="188">
        <f>'Long-term Model Summary'!AY12</f>
        <v>189.10155225074408</v>
      </c>
      <c r="AQ13" s="188">
        <f>'Long-term Model Summary'!AZ12</f>
        <v>189.10155225074408</v>
      </c>
      <c r="AR13" s="188">
        <f>'Long-term Model Summary'!BA12</f>
        <v>189.10155225074408</v>
      </c>
      <c r="AS13" s="188">
        <f>'Long-term Model Summary'!BB12</f>
        <v>189.10155225074408</v>
      </c>
      <c r="AT13" s="188">
        <f>'Long-term Model Summary'!BC12</f>
        <v>189.10155225074408</v>
      </c>
      <c r="AU13" s="188">
        <f>'Long-term Model Summary'!BD12</f>
        <v>189.10155225074408</v>
      </c>
      <c r="AV13" s="188">
        <f>'Long-term Model Summary'!BE12</f>
        <v>189.10155225074408</v>
      </c>
      <c r="AW13" s="188">
        <f>'Long-term Model Summary'!BF12</f>
        <v>189.10155225074408</v>
      </c>
      <c r="AX13" s="188">
        <f>'Long-term Model Summary'!BG12</f>
        <v>189.10155225074408</v>
      </c>
      <c r="AY13" s="188">
        <f>'Long-term Model Summary'!BH12</f>
        <v>189.10155225074408</v>
      </c>
    </row>
    <row r="14" spans="1:51" ht="16" x14ac:dyDescent="0.4">
      <c r="A14" s="108" t="str">
        <f>'Long-term Model Summary'!J16</f>
        <v>Trees in production</v>
      </c>
      <c r="B14" s="188">
        <f>'Long-term Model Summary'!K16</f>
        <v>540</v>
      </c>
      <c r="C14" s="188">
        <f>'Long-term Model Summary'!L16</f>
        <v>540</v>
      </c>
      <c r="D14" s="188">
        <f>'Long-term Model Summary'!M16</f>
        <v>540</v>
      </c>
      <c r="E14" s="188">
        <f>'Long-term Model Summary'!N16</f>
        <v>540</v>
      </c>
      <c r="F14" s="188">
        <f>'Long-term Model Summary'!O16</f>
        <v>540</v>
      </c>
      <c r="G14" s="188">
        <f>'Long-term Model Summary'!P16</f>
        <v>540</v>
      </c>
      <c r="H14" s="188">
        <f>'Long-term Model Summary'!Q16</f>
        <v>540</v>
      </c>
      <c r="I14" s="188">
        <f>'Long-term Model Summary'!R16</f>
        <v>540</v>
      </c>
      <c r="J14" s="188">
        <f>'Long-term Model Summary'!S16</f>
        <v>540</v>
      </c>
      <c r="K14" s="188">
        <f>'Long-term Model Summary'!T16</f>
        <v>540</v>
      </c>
      <c r="L14" s="188">
        <f>'Long-term Model Summary'!U16</f>
        <v>540</v>
      </c>
      <c r="M14" s="188">
        <f>'Long-term Model Summary'!V16</f>
        <v>540</v>
      </c>
      <c r="N14" s="188">
        <f>'Long-term Model Summary'!W16</f>
        <v>540</v>
      </c>
      <c r="O14" s="188">
        <f>'Long-term Model Summary'!X16</f>
        <v>540</v>
      </c>
      <c r="P14" s="188">
        <f>'Long-term Model Summary'!Y16</f>
        <v>540</v>
      </c>
      <c r="Q14" s="188">
        <f>'Long-term Model Summary'!Z16</f>
        <v>270</v>
      </c>
      <c r="R14" s="188">
        <f>'Long-term Model Summary'!AA16</f>
        <v>270</v>
      </c>
      <c r="S14" s="188">
        <f>'Long-term Model Summary'!AB16</f>
        <v>270</v>
      </c>
      <c r="T14" s="188">
        <f>'Long-term Model Summary'!AC16</f>
        <v>270</v>
      </c>
      <c r="U14" s="188">
        <f>'Long-term Model Summary'!AD16</f>
        <v>270</v>
      </c>
      <c r="V14" s="188">
        <f>'Long-term Model Summary'!AE16</f>
        <v>270</v>
      </c>
      <c r="W14" s="188">
        <f>'Long-term Model Summary'!AF16</f>
        <v>270</v>
      </c>
      <c r="X14" s="188">
        <f>'Long-term Model Summary'!AG16</f>
        <v>270</v>
      </c>
      <c r="Y14" s="188">
        <f>'Long-term Model Summary'!AH16</f>
        <v>270</v>
      </c>
      <c r="Z14" s="188">
        <f>'Long-term Model Summary'!AI16</f>
        <v>270</v>
      </c>
      <c r="AA14" s="188">
        <f>'Long-term Model Summary'!AJ16</f>
        <v>270</v>
      </c>
      <c r="AB14" s="188">
        <f>'Long-term Model Summary'!AK16</f>
        <v>270</v>
      </c>
      <c r="AC14" s="188">
        <f>'Long-term Model Summary'!AL16</f>
        <v>270</v>
      </c>
      <c r="AD14" s="188">
        <f>'Long-term Model Summary'!AM16</f>
        <v>270</v>
      </c>
      <c r="AE14" s="188">
        <f>'Long-term Model Summary'!AN16</f>
        <v>270</v>
      </c>
      <c r="AF14" s="188">
        <f>'Long-term Model Summary'!AO16</f>
        <v>270</v>
      </c>
      <c r="AG14" s="188">
        <f>'Long-term Model Summary'!AP16</f>
        <v>270</v>
      </c>
      <c r="AH14" s="188">
        <f>'Long-term Model Summary'!AQ16</f>
        <v>270</v>
      </c>
      <c r="AI14" s="188">
        <f>'Long-term Model Summary'!AR16</f>
        <v>270</v>
      </c>
      <c r="AJ14" s="188">
        <f>'Long-term Model Summary'!AS16</f>
        <v>270</v>
      </c>
      <c r="AK14" s="188">
        <f>'Long-term Model Summary'!AT16</f>
        <v>270</v>
      </c>
      <c r="AL14" s="188">
        <f>'Long-term Model Summary'!AU16</f>
        <v>270</v>
      </c>
      <c r="AM14" s="188">
        <f>'Long-term Model Summary'!AV16</f>
        <v>270</v>
      </c>
      <c r="AN14" s="188">
        <f>'Long-term Model Summary'!AW16</f>
        <v>270</v>
      </c>
      <c r="AO14" s="188">
        <f>'Long-term Model Summary'!AX16</f>
        <v>270</v>
      </c>
      <c r="AP14" s="188">
        <f>'Long-term Model Summary'!AY16</f>
        <v>270</v>
      </c>
      <c r="AQ14" s="188">
        <f>'Long-term Model Summary'!AZ16</f>
        <v>270</v>
      </c>
      <c r="AR14" s="188">
        <f>'Long-term Model Summary'!BA16</f>
        <v>270</v>
      </c>
      <c r="AS14" s="188">
        <f>'Long-term Model Summary'!BB16</f>
        <v>270</v>
      </c>
      <c r="AT14" s="188">
        <f>'Long-term Model Summary'!BC16</f>
        <v>270</v>
      </c>
      <c r="AU14" s="188">
        <f>'Long-term Model Summary'!BD16</f>
        <v>270</v>
      </c>
      <c r="AV14" s="188">
        <f>'Long-term Model Summary'!BE16</f>
        <v>270</v>
      </c>
      <c r="AW14" s="188">
        <f>'Long-term Model Summary'!BF16</f>
        <v>270</v>
      </c>
      <c r="AX14" s="188">
        <f>'Long-term Model Summary'!BG16</f>
        <v>270</v>
      </c>
      <c r="AY14" s="304">
        <f>'Long-term Model Summary'!BH16</f>
        <v>270</v>
      </c>
    </row>
    <row r="15" spans="1:51" ht="16" x14ac:dyDescent="0.4">
      <c r="A15" s="176" t="str">
        <f>'Long-term Model Summary'!J20</f>
        <v>Yield by year (pounds)</v>
      </c>
      <c r="B15" s="178">
        <f>'Long-term Model Summary'!K20</f>
        <v>0</v>
      </c>
      <c r="C15" s="178">
        <f>'Long-term Model Summary'!L20</f>
        <v>0</v>
      </c>
      <c r="D15" s="178">
        <f>'Long-term Model Summary'!M20</f>
        <v>0</v>
      </c>
      <c r="E15" s="178">
        <f>'Long-term Model Summary'!N20</f>
        <v>0</v>
      </c>
      <c r="F15" s="178">
        <f>'Long-term Model Summary'!O20</f>
        <v>2538</v>
      </c>
      <c r="G15" s="178">
        <f>'Long-term Model Summary'!P20</f>
        <v>3045.6</v>
      </c>
      <c r="H15" s="178">
        <f>'Long-term Model Summary'!Q20</f>
        <v>3654.72</v>
      </c>
      <c r="I15" s="178">
        <f>'Long-term Model Summary'!R20</f>
        <v>4385.6639999999998</v>
      </c>
      <c r="J15" s="178">
        <f>'Long-term Model Summary'!S20</f>
        <v>5262.7967999999992</v>
      </c>
      <c r="K15" s="178">
        <f>'Long-term Model Summary'!T20</f>
        <v>6315.3561599999985</v>
      </c>
      <c r="L15" s="178">
        <f>'Long-term Model Summary'!U20</f>
        <v>8336.270131199999</v>
      </c>
      <c r="M15" s="178">
        <f>'Long-term Model Summary'!V20</f>
        <v>11003.876573183999</v>
      </c>
      <c r="N15" s="178">
        <f>'Long-term Model Summary'!W20</f>
        <v>14525.117076602879</v>
      </c>
      <c r="O15" s="178">
        <f>'Long-term Model Summary'!X20</f>
        <v>19173.1545411158</v>
      </c>
      <c r="P15" s="178">
        <f>'Long-term Model Summary'!Y20</f>
        <v>25308.563994272856</v>
      </c>
      <c r="Q15" s="178">
        <f>'Long-term Model Summary'!Z20</f>
        <v>16703.652236220085</v>
      </c>
      <c r="R15" s="178">
        <f>'Long-term Model Summary'!AA20</f>
        <v>22048.820951810514</v>
      </c>
      <c r="S15" s="178">
        <f>'Long-term Model Summary'!AB20</f>
        <v>22710.285580364827</v>
      </c>
      <c r="T15" s="178">
        <f>'Long-term Model Summary'!AC20</f>
        <v>23391.594147775773</v>
      </c>
      <c r="U15" s="178">
        <f>'Long-term Model Summary'!AD20</f>
        <v>28269.255031264067</v>
      </c>
      <c r="V15" s="178">
        <f>'Long-term Model Summary'!AE20</f>
        <v>29117.332682201992</v>
      </c>
      <c r="W15" s="178">
        <f>'Long-term Model Summary'!AF20</f>
        <v>29990.852662668054</v>
      </c>
      <c r="X15" s="178">
        <f>'Long-term Model Summary'!AG20</f>
        <v>30890.578242548094</v>
      </c>
      <c r="Y15" s="178">
        <f>'Long-term Model Summary'!AH20</f>
        <v>31817.295589824538</v>
      </c>
      <c r="Z15" s="178">
        <f>'Long-term Model Summary'!AI20</f>
        <v>32771.814457519278</v>
      </c>
      <c r="AA15" s="178">
        <f>'Long-term Model Summary'!AJ20</f>
        <v>33754.968891244855</v>
      </c>
      <c r="AB15" s="178">
        <f>'Long-term Model Summary'!AK20</f>
        <v>34767.617957982198</v>
      </c>
      <c r="AC15" s="178">
        <f>'Long-term Model Summary'!AL20</f>
        <v>35810.646496721667</v>
      </c>
      <c r="AD15" s="178">
        <f>'Long-term Model Summary'!AM20</f>
        <v>36884.965891623317</v>
      </c>
      <c r="AE15" s="178">
        <f>'Long-term Model Summary'!AN20</f>
        <v>37991.514868372018</v>
      </c>
      <c r="AF15" s="178">
        <f>'Long-term Model Summary'!AO20</f>
        <v>39131.260314423176</v>
      </c>
      <c r="AG15" s="178">
        <f>'Long-term Model Summary'!AP20</f>
        <v>40305.198123855873</v>
      </c>
      <c r="AH15" s="178">
        <f>'Long-term Model Summary'!AQ20</f>
        <v>41514.354067571541</v>
      </c>
      <c r="AI15" s="178">
        <f>'Long-term Model Summary'!AR20</f>
        <v>42759.784689598695</v>
      </c>
      <c r="AJ15" s="178">
        <f>'Long-term Model Summary'!AS20</f>
        <v>44042.578230286657</v>
      </c>
      <c r="AK15" s="178">
        <f>'Long-term Model Summary'!AT20</f>
        <v>45363.85557719526</v>
      </c>
      <c r="AL15" s="178">
        <f>'Long-term Model Summary'!AU20</f>
        <v>46724.771244511117</v>
      </c>
      <c r="AM15" s="178">
        <f>'Long-term Model Summary'!AV20</f>
        <v>48126.514381846457</v>
      </c>
      <c r="AN15" s="178">
        <f>'Long-term Model Summary'!AW20</f>
        <v>49570.30981330185</v>
      </c>
      <c r="AO15" s="178">
        <f>'Long-term Model Summary'!AX20</f>
        <v>51057.419107700902</v>
      </c>
      <c r="AP15" s="178">
        <f>'Long-term Model Summary'!AY20</f>
        <v>51057.419107700902</v>
      </c>
      <c r="AQ15" s="178">
        <f>'Long-term Model Summary'!AZ20</f>
        <v>51057.419107700902</v>
      </c>
      <c r="AR15" s="178">
        <f>'Long-term Model Summary'!BA20</f>
        <v>51057.419107700902</v>
      </c>
      <c r="AS15" s="178">
        <f>'Long-term Model Summary'!BB20</f>
        <v>51057.419107700902</v>
      </c>
      <c r="AT15" s="178">
        <f>'Long-term Model Summary'!BC20</f>
        <v>51057.419107700902</v>
      </c>
      <c r="AU15" s="178">
        <f>'Long-term Model Summary'!BD20</f>
        <v>51057.419107700902</v>
      </c>
      <c r="AV15" s="178">
        <f>'Long-term Model Summary'!BE20</f>
        <v>51057.419107700902</v>
      </c>
      <c r="AW15" s="178">
        <f>'Long-term Model Summary'!BF20</f>
        <v>51057.419107700902</v>
      </c>
      <c r="AX15" s="178">
        <f>'Long-term Model Summary'!BG20</f>
        <v>51057.419107700902</v>
      </c>
      <c r="AY15" s="305">
        <f>'Long-term Model Summary'!BH20</f>
        <v>51057.419107700902</v>
      </c>
    </row>
    <row r="16" spans="1:51" ht="16" x14ac:dyDescent="0.4">
      <c r="A16" s="110" t="s">
        <v>322</v>
      </c>
      <c r="B16" s="306">
        <f>SUM(B30,B28,B26,B22,B20,B24,)</f>
        <v>30.5</v>
      </c>
      <c r="C16" s="306">
        <f t="shared" ref="C16:AG16" si="4">SUM(C30,C28,C26,C22,C20,C24,)</f>
        <v>20.5</v>
      </c>
      <c r="D16" s="306">
        <f t="shared" si="4"/>
        <v>20.5</v>
      </c>
      <c r="E16" s="306">
        <f t="shared" si="4"/>
        <v>20.5</v>
      </c>
      <c r="F16" s="306">
        <f t="shared" si="4"/>
        <v>26.432575</v>
      </c>
      <c r="G16" s="306">
        <f t="shared" si="4"/>
        <v>27.61909</v>
      </c>
      <c r="H16" s="306">
        <f t="shared" si="4"/>
        <v>29.042907999999997</v>
      </c>
      <c r="I16" s="306">
        <f t="shared" si="4"/>
        <v>30.751489599999999</v>
      </c>
      <c r="J16" s="306">
        <f t="shared" si="4"/>
        <v>32.801787519999998</v>
      </c>
      <c r="K16" s="306">
        <f t="shared" si="4"/>
        <v>35.262145023999992</v>
      </c>
      <c r="L16" s="306">
        <f t="shared" si="4"/>
        <v>39.986031431679997</v>
      </c>
      <c r="M16" s="306">
        <f t="shared" si="4"/>
        <v>46.221561489817596</v>
      </c>
      <c r="N16" s="306">
        <f t="shared" si="4"/>
        <v>54.452461166559232</v>
      </c>
      <c r="O16" s="306">
        <f t="shared" si="4"/>
        <v>65.317248739858186</v>
      </c>
      <c r="P16" s="306">
        <f t="shared" si="4"/>
        <v>79.658768336612809</v>
      </c>
      <c r="Q16" s="306">
        <f t="shared" si="4"/>
        <v>55.044787102164449</v>
      </c>
      <c r="R16" s="306">
        <f t="shared" si="4"/>
        <v>67.539118974857075</v>
      </c>
      <c r="S16" s="306">
        <f t="shared" si="4"/>
        <v>69.085292544102785</v>
      </c>
      <c r="T16" s="306">
        <f t="shared" si="4"/>
        <v>70.677851320425873</v>
      </c>
      <c r="U16" s="306">
        <f t="shared" si="4"/>
        <v>82.079383635579759</v>
      </c>
      <c r="V16" s="306">
        <f t="shared" si="4"/>
        <v>84.061765144647154</v>
      </c>
      <c r="W16" s="306">
        <f t="shared" si="4"/>
        <v>86.103618098986573</v>
      </c>
      <c r="X16" s="306">
        <f t="shared" si="4"/>
        <v>88.20672664195618</v>
      </c>
      <c r="Y16" s="306">
        <f t="shared" si="4"/>
        <v>90.372928441214867</v>
      </c>
      <c r="Z16" s="306">
        <f t="shared" si="4"/>
        <v>92.60411629445133</v>
      </c>
      <c r="AA16" s="306">
        <f t="shared" si="4"/>
        <v>94.902239783284855</v>
      </c>
      <c r="AB16" s="306">
        <f t="shared" si="4"/>
        <v>97.269306976783383</v>
      </c>
      <c r="AC16" s="306">
        <f t="shared" si="4"/>
        <v>99.707386186086893</v>
      </c>
      <c r="AD16" s="306">
        <f t="shared" si="4"/>
        <v>102.2186077716695</v>
      </c>
      <c r="AE16" s="306">
        <f t="shared" si="4"/>
        <v>104.8051660048196</v>
      </c>
      <c r="AF16" s="306">
        <f t="shared" si="4"/>
        <v>107.46932098496418</v>
      </c>
      <c r="AG16" s="306">
        <f t="shared" si="4"/>
        <v>110.21340061451311</v>
      </c>
      <c r="AH16" s="306">
        <f t="shared" ref="AH16:AY16" si="5">SUM(AH30,AH28,AH26,AH22,AH20,AH24,)</f>
        <v>113.03980263294849</v>
      </c>
      <c r="AI16" s="306">
        <f t="shared" si="5"/>
        <v>115.95099671193695</v>
      </c>
      <c r="AJ16" s="306">
        <f t="shared" si="5"/>
        <v>118.94952661329506</v>
      </c>
      <c r="AK16" s="306">
        <f t="shared" si="5"/>
        <v>122.03801241169393</v>
      </c>
      <c r="AL16" s="306">
        <f t="shared" si="5"/>
        <v>125.21915278404474</v>
      </c>
      <c r="AM16" s="306">
        <f t="shared" si="5"/>
        <v>128.4957273675661</v>
      </c>
      <c r="AN16" s="306">
        <f t="shared" si="5"/>
        <v>131.87059918859308</v>
      </c>
      <c r="AO16" s="306">
        <f t="shared" si="5"/>
        <v>135.34671716425086</v>
      </c>
      <c r="AP16" s="306">
        <f t="shared" si="5"/>
        <v>135.34671716425086</v>
      </c>
      <c r="AQ16" s="306">
        <f t="shared" si="5"/>
        <v>135.34671716425086</v>
      </c>
      <c r="AR16" s="306">
        <f t="shared" si="5"/>
        <v>135.34671716425086</v>
      </c>
      <c r="AS16" s="306">
        <f t="shared" si="5"/>
        <v>135.34671716425086</v>
      </c>
      <c r="AT16" s="306">
        <f t="shared" si="5"/>
        <v>135.34671716425086</v>
      </c>
      <c r="AU16" s="306">
        <f t="shared" si="5"/>
        <v>135.34671716425086</v>
      </c>
      <c r="AV16" s="306">
        <f t="shared" si="5"/>
        <v>135.34671716425086</v>
      </c>
      <c r="AW16" s="306">
        <f t="shared" si="5"/>
        <v>135.34671716425086</v>
      </c>
      <c r="AX16" s="306">
        <f t="shared" si="5"/>
        <v>135.34671716425086</v>
      </c>
      <c r="AY16" s="307">
        <f t="shared" si="5"/>
        <v>135.34671716425086</v>
      </c>
    </row>
    <row r="17" spans="1:51" ht="16.5" thickBot="1" x14ac:dyDescent="0.45">
      <c r="A17" s="308" t="s">
        <v>323</v>
      </c>
      <c r="B17" s="309">
        <f t="shared" ref="B17:AG17" si="6">SUM(B31,B29,B27,B23,B21,B25,)</f>
        <v>564.25</v>
      </c>
      <c r="C17" s="309">
        <f t="shared" si="6"/>
        <v>379.25</v>
      </c>
      <c r="D17" s="309">
        <f t="shared" si="6"/>
        <v>379.25</v>
      </c>
      <c r="E17" s="309">
        <f t="shared" si="6"/>
        <v>379.25</v>
      </c>
      <c r="F17" s="309">
        <f t="shared" si="6"/>
        <v>489.00263749999999</v>
      </c>
      <c r="G17" s="309">
        <f t="shared" si="6"/>
        <v>510.95316500000001</v>
      </c>
      <c r="H17" s="309">
        <f t="shared" si="6"/>
        <v>537.29379800000004</v>
      </c>
      <c r="I17" s="309">
        <f t="shared" si="6"/>
        <v>568.90255760000002</v>
      </c>
      <c r="J17" s="309">
        <f t="shared" si="6"/>
        <v>606.83306911999989</v>
      </c>
      <c r="K17" s="309">
        <f t="shared" si="6"/>
        <v>652.34968294399994</v>
      </c>
      <c r="L17" s="309">
        <f t="shared" si="6"/>
        <v>739.74158148607989</v>
      </c>
      <c r="M17" s="309">
        <f t="shared" si="6"/>
        <v>855.09888756162559</v>
      </c>
      <c r="N17" s="309">
        <f t="shared" si="6"/>
        <v>1007.3705315813457</v>
      </c>
      <c r="O17" s="309">
        <f t="shared" si="6"/>
        <v>1208.3691016873763</v>
      </c>
      <c r="P17" s="309">
        <f t="shared" si="6"/>
        <v>1473.6872142273369</v>
      </c>
      <c r="Q17" s="309">
        <f t="shared" si="6"/>
        <v>1018.3285613900424</v>
      </c>
      <c r="R17" s="309">
        <f t="shared" si="6"/>
        <v>1249.4737010348558</v>
      </c>
      <c r="S17" s="309">
        <f t="shared" si="6"/>
        <v>1278.0779120659015</v>
      </c>
      <c r="T17" s="309">
        <f t="shared" si="6"/>
        <v>1307.5402494278787</v>
      </c>
      <c r="U17" s="309">
        <f t="shared" si="6"/>
        <v>1518.4685972582256</v>
      </c>
      <c r="V17" s="309">
        <f t="shared" si="6"/>
        <v>1555.1426551759723</v>
      </c>
      <c r="W17" s="309">
        <f t="shared" si="6"/>
        <v>1592.9169348312516</v>
      </c>
      <c r="X17" s="309">
        <f t="shared" si="6"/>
        <v>1631.8244428761891</v>
      </c>
      <c r="Y17" s="309">
        <f t="shared" si="6"/>
        <v>1671.8991761624748</v>
      </c>
      <c r="Z17" s="309">
        <f t="shared" si="6"/>
        <v>1713.1761514473496</v>
      </c>
      <c r="AA17" s="309">
        <f t="shared" si="6"/>
        <v>1755.6914359907701</v>
      </c>
      <c r="AB17" s="309">
        <f t="shared" si="6"/>
        <v>1799.4821790704927</v>
      </c>
      <c r="AC17" s="309">
        <f t="shared" si="6"/>
        <v>1844.5866444426076</v>
      </c>
      <c r="AD17" s="309">
        <f t="shared" si="6"/>
        <v>1891.0442437758859</v>
      </c>
      <c r="AE17" s="309">
        <f t="shared" si="6"/>
        <v>1938.8955710891628</v>
      </c>
      <c r="AF17" s="309">
        <f t="shared" si="6"/>
        <v>1988.1824382218374</v>
      </c>
      <c r="AG17" s="309">
        <f t="shared" si="6"/>
        <v>2038.9479113684924</v>
      </c>
      <c r="AH17" s="309">
        <f t="shared" ref="AH17:AY17" si="7">SUM(AH31,AH29,AH27,AH23,AH21,AH25,)</f>
        <v>2091.2363487095472</v>
      </c>
      <c r="AI17" s="309">
        <f t="shared" si="7"/>
        <v>2145.0934391708338</v>
      </c>
      <c r="AJ17" s="309">
        <f t="shared" si="7"/>
        <v>2200.5662423459589</v>
      </c>
      <c r="AK17" s="309">
        <f t="shared" si="7"/>
        <v>2257.7032296163379</v>
      </c>
      <c r="AL17" s="309">
        <f t="shared" si="7"/>
        <v>2316.5543265048277</v>
      </c>
      <c r="AM17" s="309">
        <f t="shared" si="7"/>
        <v>2377.1709562999731</v>
      </c>
      <c r="AN17" s="309">
        <f t="shared" si="7"/>
        <v>2439.6060849889718</v>
      </c>
      <c r="AO17" s="309">
        <f t="shared" si="7"/>
        <v>2503.9142675386411</v>
      </c>
      <c r="AP17" s="309">
        <f t="shared" si="7"/>
        <v>2503.9142675386411</v>
      </c>
      <c r="AQ17" s="309">
        <f t="shared" si="7"/>
        <v>2503.9142675386411</v>
      </c>
      <c r="AR17" s="309">
        <f t="shared" si="7"/>
        <v>2503.9142675386411</v>
      </c>
      <c r="AS17" s="309">
        <f t="shared" si="7"/>
        <v>2503.9142675386411</v>
      </c>
      <c r="AT17" s="309">
        <f t="shared" si="7"/>
        <v>2503.9142675386411</v>
      </c>
      <c r="AU17" s="309">
        <f t="shared" si="7"/>
        <v>2503.9142675386411</v>
      </c>
      <c r="AV17" s="309">
        <f t="shared" si="7"/>
        <v>2503.9142675386411</v>
      </c>
      <c r="AW17" s="309">
        <f t="shared" si="7"/>
        <v>2503.9142675386411</v>
      </c>
      <c r="AX17" s="309">
        <f t="shared" si="7"/>
        <v>2503.9142675386411</v>
      </c>
      <c r="AY17" s="310">
        <f t="shared" si="7"/>
        <v>2503.9142675386411</v>
      </c>
    </row>
    <row r="18" spans="1:51" ht="16" x14ac:dyDescent="0.4">
      <c r="A18" s="110"/>
      <c r="B18" s="311"/>
      <c r="C18" s="311"/>
      <c r="D18" s="311"/>
      <c r="E18" s="311"/>
      <c r="F18" s="311"/>
      <c r="G18" s="311"/>
      <c r="H18" s="311"/>
      <c r="I18" s="311"/>
      <c r="J18" s="311"/>
      <c r="K18" s="311"/>
      <c r="L18" s="311"/>
      <c r="M18" s="311"/>
      <c r="N18" s="311"/>
      <c r="O18" s="311"/>
      <c r="P18" s="311"/>
      <c r="Q18" s="311"/>
      <c r="R18" s="311"/>
      <c r="S18" s="311"/>
      <c r="T18" s="311"/>
      <c r="U18" s="311"/>
      <c r="V18" s="311"/>
      <c r="W18" s="311"/>
      <c r="X18" s="311"/>
      <c r="Y18" s="311"/>
      <c r="Z18" s="311"/>
      <c r="AA18" s="311"/>
      <c r="AB18" s="311"/>
      <c r="AC18" s="311"/>
      <c r="AD18" s="311"/>
      <c r="AE18" s="311"/>
      <c r="AF18" s="311"/>
      <c r="AG18" s="311"/>
      <c r="AH18" s="311"/>
      <c r="AI18" s="311"/>
      <c r="AJ18" s="311"/>
      <c r="AK18" s="311"/>
      <c r="AL18" s="311"/>
      <c r="AM18" s="311"/>
      <c r="AN18" s="311"/>
      <c r="AO18" s="311"/>
      <c r="AP18" s="311"/>
      <c r="AQ18" s="311"/>
      <c r="AR18" s="311"/>
      <c r="AS18" s="311"/>
      <c r="AT18" s="311"/>
      <c r="AU18" s="311"/>
      <c r="AV18" s="311"/>
      <c r="AW18" s="311"/>
      <c r="AX18" s="311"/>
      <c r="AY18" s="312"/>
    </row>
    <row r="19" spans="1:51" ht="16" x14ac:dyDescent="0.4">
      <c r="A19" s="110" t="s">
        <v>518</v>
      </c>
      <c r="B19" s="311"/>
      <c r="C19" s="311"/>
      <c r="D19" s="311"/>
      <c r="E19" s="311"/>
      <c r="F19" s="311"/>
      <c r="G19" s="311"/>
      <c r="H19" s="311"/>
      <c r="I19" s="311"/>
      <c r="J19" s="311"/>
      <c r="K19" s="311"/>
      <c r="L19" s="311"/>
      <c r="M19" s="311"/>
      <c r="N19" s="311"/>
      <c r="O19" s="311"/>
      <c r="P19" s="311"/>
      <c r="Q19" s="311"/>
      <c r="R19" s="311"/>
      <c r="S19" s="311"/>
      <c r="T19" s="311"/>
      <c r="U19" s="311"/>
      <c r="V19" s="311"/>
      <c r="W19" s="311"/>
      <c r="X19" s="311"/>
      <c r="Y19" s="311"/>
      <c r="Z19" s="311"/>
      <c r="AA19" s="311"/>
      <c r="AB19" s="311"/>
      <c r="AC19" s="311"/>
      <c r="AD19" s="311"/>
      <c r="AE19" s="311"/>
      <c r="AF19" s="311"/>
      <c r="AG19" s="311"/>
      <c r="AH19" s="311"/>
      <c r="AI19" s="311"/>
      <c r="AJ19" s="311"/>
      <c r="AK19" s="311"/>
      <c r="AL19" s="311"/>
      <c r="AM19" s="311"/>
      <c r="AN19" s="311"/>
      <c r="AO19" s="311"/>
      <c r="AP19" s="311"/>
      <c r="AQ19" s="311"/>
      <c r="AR19" s="311"/>
      <c r="AS19" s="311"/>
      <c r="AT19" s="311"/>
      <c r="AU19" s="311"/>
      <c r="AV19" s="311"/>
      <c r="AW19" s="311"/>
      <c r="AX19" s="311"/>
      <c r="AY19" s="312"/>
    </row>
    <row r="20" spans="1:51" ht="16" x14ac:dyDescent="0.4">
      <c r="A20" s="259" t="s">
        <v>316</v>
      </c>
      <c r="B20" s="188">
        <f>C3*B14/60/Inputs!$D$3</f>
        <v>13.5</v>
      </c>
      <c r="C20" s="188"/>
      <c r="D20" s="188"/>
      <c r="E20" s="188"/>
      <c r="F20" s="188"/>
      <c r="G20" s="188"/>
      <c r="H20" s="188"/>
      <c r="I20" s="188"/>
      <c r="J20" s="188"/>
      <c r="K20" s="188"/>
      <c r="L20" s="188"/>
      <c r="M20" s="188"/>
      <c r="N20" s="188"/>
      <c r="O20" s="188"/>
      <c r="P20" s="188"/>
      <c r="Q20" s="188"/>
      <c r="R20" s="188"/>
      <c r="S20" s="188"/>
      <c r="T20" s="188"/>
      <c r="U20" s="188"/>
      <c r="V20" s="188"/>
      <c r="W20" s="188"/>
      <c r="X20" s="188"/>
      <c r="Y20" s="188"/>
      <c r="Z20" s="188"/>
      <c r="AA20" s="188"/>
      <c r="AB20" s="188"/>
      <c r="AC20" s="188"/>
      <c r="AD20" s="188"/>
      <c r="AE20" s="188"/>
      <c r="AF20" s="188"/>
      <c r="AG20" s="188"/>
      <c r="AH20" s="188"/>
      <c r="AI20" s="188"/>
      <c r="AJ20" s="188"/>
      <c r="AK20" s="188"/>
      <c r="AL20" s="188"/>
      <c r="AM20" s="188"/>
      <c r="AN20" s="188"/>
      <c r="AO20" s="188"/>
      <c r="AP20" s="188"/>
      <c r="AQ20" s="188"/>
      <c r="AR20" s="188"/>
      <c r="AS20" s="188"/>
      <c r="AT20" s="188"/>
      <c r="AU20" s="188"/>
      <c r="AV20" s="188"/>
      <c r="AW20" s="188"/>
      <c r="AX20" s="188"/>
      <c r="AY20" s="304"/>
    </row>
    <row r="21" spans="1:51" ht="16" hidden="1" x14ac:dyDescent="0.4">
      <c r="A21" s="259" t="s">
        <v>319</v>
      </c>
      <c r="B21" s="148">
        <f>B20*$E$4</f>
        <v>249.75</v>
      </c>
      <c r="C21" s="188"/>
      <c r="D21" s="188"/>
      <c r="E21" s="188"/>
      <c r="F21" s="188"/>
      <c r="G21" s="188"/>
      <c r="H21" s="188"/>
      <c r="I21" s="188"/>
      <c r="J21" s="188"/>
      <c r="K21" s="188"/>
      <c r="L21" s="188"/>
      <c r="M21" s="188"/>
      <c r="N21" s="188"/>
      <c r="O21" s="188"/>
      <c r="P21" s="188"/>
      <c r="Q21" s="188"/>
      <c r="R21" s="188"/>
      <c r="S21" s="188"/>
      <c r="T21" s="188"/>
      <c r="U21" s="188"/>
      <c r="V21" s="188"/>
      <c r="W21" s="188"/>
      <c r="X21" s="188"/>
      <c r="Y21" s="188"/>
      <c r="Z21" s="188"/>
      <c r="AA21" s="188"/>
      <c r="AB21" s="188"/>
      <c r="AC21" s="188"/>
      <c r="AD21" s="188"/>
      <c r="AE21" s="188"/>
      <c r="AF21" s="188"/>
      <c r="AG21" s="188"/>
      <c r="AH21" s="188"/>
      <c r="AI21" s="188"/>
      <c r="AJ21" s="188"/>
      <c r="AK21" s="188"/>
      <c r="AL21" s="188"/>
      <c r="AM21" s="188"/>
      <c r="AN21" s="188"/>
      <c r="AO21" s="188"/>
      <c r="AP21" s="188"/>
      <c r="AQ21" s="188"/>
      <c r="AR21" s="188"/>
      <c r="AS21" s="188"/>
      <c r="AT21" s="188"/>
      <c r="AU21" s="188"/>
      <c r="AV21" s="188"/>
      <c r="AW21" s="188"/>
      <c r="AX21" s="188"/>
      <c r="AY21" s="304"/>
    </row>
    <row r="22" spans="1:51" ht="16" x14ac:dyDescent="0.4">
      <c r="A22" s="313" t="s">
        <v>496</v>
      </c>
      <c r="B22" s="188">
        <v>1</v>
      </c>
      <c r="C22" s="188">
        <f>IF(C14=$B$14,$C$4*C14,$C$5*C14)/60/Inputs!$D$3</f>
        <v>4.5</v>
      </c>
      <c r="D22" s="188">
        <f>IF(D14=$B$14,$C$4*D14,$C$5*D14)/60/Inputs!$D$3</f>
        <v>4.5</v>
      </c>
      <c r="E22" s="188">
        <f>IF(E14=$B$14,$C$4*E14,$C$5*E14)/60/Inputs!$D$3</f>
        <v>4.5</v>
      </c>
      <c r="F22" s="188">
        <f>IF(F14=$B$14,$C$4*F14,$C$5*F14)/60/Inputs!$D$3</f>
        <v>4.5</v>
      </c>
      <c r="G22" s="188">
        <f>IF(G14=$B$14,$C$4*G14,$C$5*G14)/60/Inputs!$D$3</f>
        <v>4.5</v>
      </c>
      <c r="H22" s="188">
        <f>IF(H14=$B$14,$C$4*H14,$C$5*H14)/60/Inputs!$D$3</f>
        <v>4.5</v>
      </c>
      <c r="I22" s="188">
        <f>IF(I14=$B$14,$C$4*I14,$C$5*I14)/60/Inputs!$D$3</f>
        <v>4.5</v>
      </c>
      <c r="J22" s="188">
        <f>IF(J14=$B$14,$C$4*J14,$C$5*J14)/60/Inputs!$D$3</f>
        <v>4.5</v>
      </c>
      <c r="K22" s="188">
        <f>IF(K14=$B$14,$C$4*K14,$C$5*K14)/60/Inputs!$D$3</f>
        <v>4.5</v>
      </c>
      <c r="L22" s="188">
        <f>IF(L14=$B$14,$C$4*L14,$C$5*L14)/60/Inputs!$D$3</f>
        <v>4.5</v>
      </c>
      <c r="M22" s="188">
        <f>IF(M14=$B$14,$C$4*M14,$C$5*M14)/60/Inputs!$D$3</f>
        <v>4.5</v>
      </c>
      <c r="N22" s="188">
        <f>IF(N14=$B$14,$C$4*N14,$C$5*N14)/60/Inputs!$D$3</f>
        <v>4.5</v>
      </c>
      <c r="O22" s="188">
        <f>IF(O14=$B$14,$C$4*O14,$C$5*O14)/60/Inputs!$D$3</f>
        <v>4.5</v>
      </c>
      <c r="P22" s="188">
        <f>IF(P14=$B$14,$C$4*P14,$C$5*P14)/60/Inputs!$D$3</f>
        <v>4.5</v>
      </c>
      <c r="Q22" s="188">
        <f>IF(Q14=$B$14,$C$4*Q14,$C$5*Q14)/60/Inputs!$D$3</f>
        <v>0</v>
      </c>
      <c r="R22" s="188">
        <f>IF(R14=$B$14,$C$4*R14,$C$5*R14)/60/Inputs!$D$3</f>
        <v>0</v>
      </c>
      <c r="S22" s="188">
        <f>IF(S14=$B$14,$C$4*S14,$C$5*S14)/60/Inputs!$D$3</f>
        <v>0</v>
      </c>
      <c r="T22" s="188">
        <f>IF(T14=$B$14,$C$4*T14,$C$5*T14)/60/Inputs!$D$3</f>
        <v>0</v>
      </c>
      <c r="U22" s="188">
        <f>IF(U14=$B$14,$C$4*U14,$C$5*U14)/60/Inputs!$D$3</f>
        <v>0</v>
      </c>
      <c r="V22" s="188">
        <f>IF(V14=$B$14,$C$4*V14,$C$5*V14)/60/Inputs!$D$3</f>
        <v>0</v>
      </c>
      <c r="W22" s="188">
        <f>IF(W14=$B$14,$C$4*W14,$C$5*W14)/60/Inputs!$D$3</f>
        <v>0</v>
      </c>
      <c r="X22" s="188">
        <f>IF(X14=$B$14,$C$4*X14,$C$5*X14)/60/Inputs!$D$3</f>
        <v>0</v>
      </c>
      <c r="Y22" s="188">
        <f>IF(Y14=$B$14,$C$4*Y14,$C$5*Y14)/60/Inputs!$D$3</f>
        <v>0</v>
      </c>
      <c r="Z22" s="188">
        <f>IF(Z14=$B$14,$C$4*Z14,$C$5*Z14)/60/Inputs!$D$3</f>
        <v>0</v>
      </c>
      <c r="AA22" s="188">
        <f>IF(AA14=$B$14,$C$4*AA14,$C$5*AA14)/60/Inputs!$D$3</f>
        <v>0</v>
      </c>
      <c r="AB22" s="188">
        <f>IF(AB14=$B$14,$C$4*AB14,$C$5*AB14)/60/Inputs!$D$3</f>
        <v>0</v>
      </c>
      <c r="AC22" s="188">
        <f>IF(AC14=$B$14,$C$4*AC14,$C$5*AC14)/60/Inputs!$D$3</f>
        <v>0</v>
      </c>
      <c r="AD22" s="188">
        <f>IF(AD14=$B$14,$C$4*AD14,$C$5*AD14)/60/Inputs!$D$3</f>
        <v>0</v>
      </c>
      <c r="AE22" s="188">
        <f>IF(AE14=$B$14,$C$4*AE14,$C$5*AE14)/60/Inputs!$D$3</f>
        <v>0</v>
      </c>
      <c r="AF22" s="188">
        <f>IF(AF14=$B$14,$C$4*AF14,$C$5*AF14)/60/Inputs!$D$3</f>
        <v>0</v>
      </c>
      <c r="AG22" s="188">
        <f>IF(AG14=$B$14,$C$4*AG14,$C$5*AG14)/60/Inputs!$D$3</f>
        <v>0</v>
      </c>
      <c r="AH22" s="188">
        <f>IF(AH14=$B$14,$C$4*AH14,$C$5*AH14)/60/Inputs!$D$3</f>
        <v>0</v>
      </c>
      <c r="AI22" s="188">
        <f>IF(AI14=$B$14,$C$4*AI14,$C$5*AI14)/60/Inputs!$D$3</f>
        <v>0</v>
      </c>
      <c r="AJ22" s="188">
        <f>IF(AJ14=$B$14,$C$4*AJ14,$C$5*AJ14)/60/Inputs!$D$3</f>
        <v>0</v>
      </c>
      <c r="AK22" s="188">
        <f>IF(AK14=$B$14,$C$4*AK14,$C$5*AK14)/60/Inputs!$D$3</f>
        <v>0</v>
      </c>
      <c r="AL22" s="188">
        <f>IF(AL14=$B$14,$C$4*AL14,$C$5*AL14)/60/Inputs!$D$3</f>
        <v>0</v>
      </c>
      <c r="AM22" s="188">
        <f>IF(AM14=$B$14,$C$4*AM14,$C$5*AM14)/60/Inputs!$D$3</f>
        <v>0</v>
      </c>
      <c r="AN22" s="188">
        <f>IF(AN14=$B$14,$C$4*AN14,$C$5*AN14)/60/Inputs!$D$3</f>
        <v>0</v>
      </c>
      <c r="AO22" s="188">
        <f>IF(AO14=$B$14,$C$4*AO14,$C$5*AO14)/60/Inputs!$D$3</f>
        <v>0</v>
      </c>
      <c r="AP22" s="188">
        <f>IF(AP14=$B$14,$C$4*AP14,$C$5*AP14)/60/Inputs!$D$3</f>
        <v>0</v>
      </c>
      <c r="AQ22" s="188">
        <f>IF(AQ14=$B$14,$C$4*AQ14,$C$5*AQ14)/60/Inputs!$D$3</f>
        <v>0</v>
      </c>
      <c r="AR22" s="188">
        <f>IF(AR14=$B$14,$C$4*AR14,$C$5*AR14)/60/Inputs!$D$3</f>
        <v>0</v>
      </c>
      <c r="AS22" s="188">
        <f>IF(AS14=$B$14,$C$4*AS14,$C$5*AS14)/60/Inputs!$D$3</f>
        <v>0</v>
      </c>
      <c r="AT22" s="188">
        <f>IF(AT14=$B$14,$C$4*AT14,$C$5*AT14)/60/Inputs!$D$3</f>
        <v>0</v>
      </c>
      <c r="AU22" s="188">
        <f>IF(AU14=$B$14,$C$4*AU14,$C$5*AU14)/60/Inputs!$D$3</f>
        <v>0</v>
      </c>
      <c r="AV22" s="188">
        <f>IF(AV14=$B$14,$C$4*AV14,$C$5*AV14)/60/Inputs!$D$3</f>
        <v>0</v>
      </c>
      <c r="AW22" s="188">
        <f>IF(AW14=$B$14,$C$4*AW14,$C$5*AW14)/60/Inputs!$D$3</f>
        <v>0</v>
      </c>
      <c r="AX22" s="188">
        <f>IF(AX14=$B$14,$C$4*AX14,$C$5*AX14)/60/Inputs!$D$3</f>
        <v>0</v>
      </c>
      <c r="AY22" s="304">
        <f>IF(AY14=$B$14,$C$4*AY14,$C$5*AY14)/60/Inputs!$D$3</f>
        <v>0</v>
      </c>
    </row>
    <row r="23" spans="1:51" ht="16" hidden="1" x14ac:dyDescent="0.4">
      <c r="A23" s="259" t="s">
        <v>320</v>
      </c>
      <c r="B23" s="148">
        <f t="shared" ref="B23:AG23" si="8">B22*$E$4</f>
        <v>18.5</v>
      </c>
      <c r="C23" s="148">
        <f t="shared" si="8"/>
        <v>83.25</v>
      </c>
      <c r="D23" s="148">
        <f t="shared" si="8"/>
        <v>83.25</v>
      </c>
      <c r="E23" s="148">
        <f t="shared" si="8"/>
        <v>83.25</v>
      </c>
      <c r="F23" s="148">
        <f t="shared" si="8"/>
        <v>83.25</v>
      </c>
      <c r="G23" s="148">
        <f t="shared" si="8"/>
        <v>83.25</v>
      </c>
      <c r="H23" s="148">
        <f t="shared" si="8"/>
        <v>83.25</v>
      </c>
      <c r="I23" s="148">
        <f t="shared" si="8"/>
        <v>83.25</v>
      </c>
      <c r="J23" s="148">
        <f t="shared" si="8"/>
        <v>83.25</v>
      </c>
      <c r="K23" s="148">
        <f t="shared" si="8"/>
        <v>83.25</v>
      </c>
      <c r="L23" s="148">
        <f t="shared" si="8"/>
        <v>83.25</v>
      </c>
      <c r="M23" s="148">
        <f t="shared" si="8"/>
        <v>83.25</v>
      </c>
      <c r="N23" s="148">
        <f t="shared" si="8"/>
        <v>83.25</v>
      </c>
      <c r="O23" s="148">
        <f t="shared" si="8"/>
        <v>83.25</v>
      </c>
      <c r="P23" s="148">
        <f t="shared" si="8"/>
        <v>83.25</v>
      </c>
      <c r="Q23" s="148">
        <f t="shared" si="8"/>
        <v>0</v>
      </c>
      <c r="R23" s="148">
        <f t="shared" si="8"/>
        <v>0</v>
      </c>
      <c r="S23" s="148">
        <f t="shared" si="8"/>
        <v>0</v>
      </c>
      <c r="T23" s="148">
        <f t="shared" si="8"/>
        <v>0</v>
      </c>
      <c r="U23" s="148">
        <f t="shared" si="8"/>
        <v>0</v>
      </c>
      <c r="V23" s="148">
        <f t="shared" si="8"/>
        <v>0</v>
      </c>
      <c r="W23" s="148">
        <f t="shared" si="8"/>
        <v>0</v>
      </c>
      <c r="X23" s="148">
        <f t="shared" si="8"/>
        <v>0</v>
      </c>
      <c r="Y23" s="148">
        <f t="shared" si="8"/>
        <v>0</v>
      </c>
      <c r="Z23" s="148">
        <f t="shared" si="8"/>
        <v>0</v>
      </c>
      <c r="AA23" s="148">
        <f t="shared" si="8"/>
        <v>0</v>
      </c>
      <c r="AB23" s="148">
        <f t="shared" si="8"/>
        <v>0</v>
      </c>
      <c r="AC23" s="148">
        <f t="shared" si="8"/>
        <v>0</v>
      </c>
      <c r="AD23" s="148">
        <f t="shared" si="8"/>
        <v>0</v>
      </c>
      <c r="AE23" s="148">
        <f t="shared" si="8"/>
        <v>0</v>
      </c>
      <c r="AF23" s="148">
        <f t="shared" si="8"/>
        <v>0</v>
      </c>
      <c r="AG23" s="148">
        <f t="shared" si="8"/>
        <v>0</v>
      </c>
      <c r="AH23" s="148">
        <f t="shared" ref="AH23:AY23" si="9">AH22*$E$4</f>
        <v>0</v>
      </c>
      <c r="AI23" s="148">
        <f t="shared" si="9"/>
        <v>0</v>
      </c>
      <c r="AJ23" s="148">
        <f t="shared" si="9"/>
        <v>0</v>
      </c>
      <c r="AK23" s="148">
        <f t="shared" si="9"/>
        <v>0</v>
      </c>
      <c r="AL23" s="148">
        <f t="shared" si="9"/>
        <v>0</v>
      </c>
      <c r="AM23" s="148">
        <f t="shared" si="9"/>
        <v>0</v>
      </c>
      <c r="AN23" s="148">
        <f t="shared" si="9"/>
        <v>0</v>
      </c>
      <c r="AO23" s="148">
        <f t="shared" si="9"/>
        <v>0</v>
      </c>
      <c r="AP23" s="148">
        <f t="shared" si="9"/>
        <v>0</v>
      </c>
      <c r="AQ23" s="148">
        <f t="shared" si="9"/>
        <v>0</v>
      </c>
      <c r="AR23" s="148">
        <f t="shared" si="9"/>
        <v>0</v>
      </c>
      <c r="AS23" s="148">
        <f t="shared" si="9"/>
        <v>0</v>
      </c>
      <c r="AT23" s="148">
        <f t="shared" si="9"/>
        <v>0</v>
      </c>
      <c r="AU23" s="148">
        <f t="shared" si="9"/>
        <v>0</v>
      </c>
      <c r="AV23" s="148">
        <f t="shared" si="9"/>
        <v>0</v>
      </c>
      <c r="AW23" s="148">
        <f t="shared" si="9"/>
        <v>0</v>
      </c>
      <c r="AX23" s="148">
        <f t="shared" si="9"/>
        <v>0</v>
      </c>
      <c r="AY23" s="314">
        <f t="shared" si="9"/>
        <v>0</v>
      </c>
    </row>
    <row r="24" spans="1:51" ht="16" x14ac:dyDescent="0.4">
      <c r="A24" s="259" t="s">
        <v>497</v>
      </c>
      <c r="B24" s="188">
        <f>IF(B15&gt;0,B15/$C$6/Inputs!$D$3,0)</f>
        <v>0</v>
      </c>
      <c r="C24" s="188">
        <f>IF(C15&gt;0,C15/$C$6/Inputs!$D$3,0)</f>
        <v>0</v>
      </c>
      <c r="D24" s="188">
        <f>IF(D15&gt;0,D15/$C$6/Inputs!$D$3,0)</f>
        <v>0</v>
      </c>
      <c r="E24" s="188">
        <f>IF(E15&gt;0,E15/$C$6/Inputs!$D$3,0)</f>
        <v>0</v>
      </c>
      <c r="F24" s="188">
        <f>IF(F15&gt;0,F15/$C$6/Inputs!$D$3,0)</f>
        <v>5.0759999999999996</v>
      </c>
      <c r="G24" s="188">
        <f>IF(G15&gt;0,G15/$C$6/Inputs!$D$3,0)</f>
        <v>6.0911999999999997</v>
      </c>
      <c r="H24" s="188">
        <f>IF(H15&gt;0,H15/$C$6/Inputs!$D$3,0)</f>
        <v>7.3094399999999995</v>
      </c>
      <c r="I24" s="188">
        <f>IF(I15&gt;0,I15/$C$6/Inputs!$D$3,0)</f>
        <v>8.7713280000000005</v>
      </c>
      <c r="J24" s="188">
        <f>IF(J15&gt;0,J15/$C$6/Inputs!$D$3,0)</f>
        <v>10.525593599999997</v>
      </c>
      <c r="K24" s="188">
        <f>IF(K15&gt;0,K15/$C$6/Inputs!$D$3,0)</f>
        <v>12.630712319999997</v>
      </c>
      <c r="L24" s="188">
        <f>IF(L15&gt;0,L15/$C$6/Inputs!$D$3,0)</f>
        <v>16.672540262399998</v>
      </c>
      <c r="M24" s="188">
        <f>IF(M15&gt;0,M15/$C$6/Inputs!$D$3,0)</f>
        <v>22.007753146367996</v>
      </c>
      <c r="N24" s="188">
        <f>IF(N15&gt;0,N15/$C$6/Inputs!$D$3,0)</f>
        <v>29.050234153205757</v>
      </c>
      <c r="O24" s="188">
        <f>IF(O15&gt;0,O15/$C$6/Inputs!$D$3,0)</f>
        <v>38.346309082231599</v>
      </c>
      <c r="P24" s="188">
        <f>IF(P15&gt;0,P15/$C$6/Inputs!$D$3,0)</f>
        <v>50.617127988545711</v>
      </c>
      <c r="Q24" s="188">
        <f>IF(Q15&gt;0,Q15/$C$6/Inputs!$D$3,0)</f>
        <v>33.407304472440174</v>
      </c>
      <c r="R24" s="188">
        <f>IF(R15&gt;0,R15/$C$6/Inputs!$D$3,0)</f>
        <v>44.097641903621032</v>
      </c>
      <c r="S24" s="188">
        <f>IF(S15&gt;0,S15/$C$6/Inputs!$D$3,0)</f>
        <v>45.420571160729658</v>
      </c>
      <c r="T24" s="188">
        <f>IF(T15&gt;0,T15/$C$6/Inputs!$D$3,0)</f>
        <v>46.783188295551547</v>
      </c>
      <c r="U24" s="188">
        <f>IF(U15&gt;0,U15/$C$6/Inputs!$D$3,0)</f>
        <v>56.538510062528132</v>
      </c>
      <c r="V24" s="188">
        <f>IF(V15&gt;0,V15/$C$6/Inputs!$D$3,0)</f>
        <v>58.234665364403988</v>
      </c>
      <c r="W24" s="188">
        <f>IF(W15&gt;0,W15/$C$6/Inputs!$D$3,0)</f>
        <v>59.981705325336108</v>
      </c>
      <c r="X24" s="188">
        <f>IF(X15&gt;0,X15/$C$6/Inputs!$D$3,0)</f>
        <v>61.78115648509619</v>
      </c>
      <c r="Y24" s="188">
        <f>IF(Y15&gt;0,Y15/$C$6/Inputs!$D$3,0)</f>
        <v>63.634591179649078</v>
      </c>
      <c r="Z24" s="188">
        <f>IF(Z15&gt;0,Z15/$C$6/Inputs!$D$3,0)</f>
        <v>65.543628915038568</v>
      </c>
      <c r="AA24" s="188">
        <f>IF(AA15&gt;0,AA15/$C$6/Inputs!$D$3,0)</f>
        <v>67.509937782489715</v>
      </c>
      <c r="AB24" s="188">
        <f>IF(AB15&gt;0,AB15/$C$6/Inputs!$D$3,0)</f>
        <v>69.535235915964392</v>
      </c>
      <c r="AC24" s="188">
        <f>IF(AC15&gt;0,AC15/$C$6/Inputs!$D$3,0)</f>
        <v>71.621292993443333</v>
      </c>
      <c r="AD24" s="188">
        <f>IF(AD15&gt;0,AD15/$C$6/Inputs!$D$3,0)</f>
        <v>73.769931783246633</v>
      </c>
      <c r="AE24" s="188">
        <f>IF(AE15&gt;0,AE15/$C$6/Inputs!$D$3,0)</f>
        <v>75.983029736744044</v>
      </c>
      <c r="AF24" s="188">
        <f>IF(AF15&gt;0,AF15/$C$6/Inputs!$D$3,0)</f>
        <v>78.26252062884636</v>
      </c>
      <c r="AG24" s="188">
        <f>IF(AG15&gt;0,AG15/$C$6/Inputs!$D$3,0)</f>
        <v>80.610396247711748</v>
      </c>
      <c r="AH24" s="188">
        <f>IF(AH15&gt;0,AH15/$C$6/Inputs!$D$3,0)</f>
        <v>83.028708135143091</v>
      </c>
      <c r="AI24" s="188">
        <f>IF(AI15&gt;0,AI15/$C$6/Inputs!$D$3,0)</f>
        <v>85.519569379197392</v>
      </c>
      <c r="AJ24" s="188">
        <f>IF(AJ15&gt;0,AJ15/$C$6/Inputs!$D$3,0)</f>
        <v>88.085156460573316</v>
      </c>
      <c r="AK24" s="188">
        <f>IF(AK15&gt;0,AK15/$C$6/Inputs!$D$3,0)</f>
        <v>90.727711154390519</v>
      </c>
      <c r="AL24" s="188">
        <f>IF(AL15&gt;0,AL15/$C$6/Inputs!$D$3,0)</f>
        <v>93.449542489022235</v>
      </c>
      <c r="AM24" s="188">
        <f>IF(AM15&gt;0,AM15/$C$6/Inputs!$D$3,0)</f>
        <v>96.253028763692924</v>
      </c>
      <c r="AN24" s="188">
        <f>IF(AN15&gt;0,AN15/$C$6/Inputs!$D$3,0)</f>
        <v>99.140619626603694</v>
      </c>
      <c r="AO24" s="188">
        <f>IF(AO15&gt;0,AO15/$C$6/Inputs!$D$3,0)</f>
        <v>102.1148382154018</v>
      </c>
      <c r="AP24" s="188">
        <f>IF(AP15&gt;0,AP15/$C$6/Inputs!$D$3,0)</f>
        <v>102.1148382154018</v>
      </c>
      <c r="AQ24" s="188">
        <f>IF(AQ15&gt;0,AQ15/$C$6/Inputs!$D$3,0)</f>
        <v>102.1148382154018</v>
      </c>
      <c r="AR24" s="188">
        <f>IF(AR15&gt;0,AR15/$C$6/Inputs!$D$3,0)</f>
        <v>102.1148382154018</v>
      </c>
      <c r="AS24" s="188">
        <f>IF(AS15&gt;0,AS15/$C$6/Inputs!$D$3,0)</f>
        <v>102.1148382154018</v>
      </c>
      <c r="AT24" s="188">
        <f>IF(AT15&gt;0,AT15/$C$6/Inputs!$D$3,0)</f>
        <v>102.1148382154018</v>
      </c>
      <c r="AU24" s="188">
        <f>IF(AU15&gt;0,AU15/$C$6/Inputs!$D$3,0)</f>
        <v>102.1148382154018</v>
      </c>
      <c r="AV24" s="188">
        <f>IF(AV15&gt;0,AV15/$C$6/Inputs!$D$3,0)</f>
        <v>102.1148382154018</v>
      </c>
      <c r="AW24" s="188">
        <f>IF(AW15&gt;0,AW15/$C$6/Inputs!$D$3,0)</f>
        <v>102.1148382154018</v>
      </c>
      <c r="AX24" s="188">
        <f>IF(AX15&gt;0,AX15/$C$6/Inputs!$D$3,0)</f>
        <v>102.1148382154018</v>
      </c>
      <c r="AY24" s="304">
        <f>IF(AY15&gt;0,AY15/$C$6/Inputs!$D$3,0)</f>
        <v>102.1148382154018</v>
      </c>
    </row>
    <row r="25" spans="1:51" ht="16" hidden="1" x14ac:dyDescent="0.4">
      <c r="A25" s="259" t="s">
        <v>321</v>
      </c>
      <c r="B25" s="148">
        <f t="shared" ref="B25:AG25" si="10">B24*$E$4</f>
        <v>0</v>
      </c>
      <c r="C25" s="148">
        <f t="shared" si="10"/>
        <v>0</v>
      </c>
      <c r="D25" s="148">
        <f t="shared" si="10"/>
        <v>0</v>
      </c>
      <c r="E25" s="148">
        <f t="shared" si="10"/>
        <v>0</v>
      </c>
      <c r="F25" s="148">
        <f t="shared" si="10"/>
        <v>93.905999999999992</v>
      </c>
      <c r="G25" s="148">
        <f t="shared" si="10"/>
        <v>112.68719999999999</v>
      </c>
      <c r="H25" s="148">
        <f t="shared" si="10"/>
        <v>135.22463999999999</v>
      </c>
      <c r="I25" s="148">
        <f t="shared" si="10"/>
        <v>162.26956800000002</v>
      </c>
      <c r="J25" s="148">
        <f t="shared" si="10"/>
        <v>194.72348159999996</v>
      </c>
      <c r="K25" s="148">
        <f t="shared" si="10"/>
        <v>233.66817791999995</v>
      </c>
      <c r="L25" s="148">
        <f t="shared" si="10"/>
        <v>308.44199485439998</v>
      </c>
      <c r="M25" s="148">
        <f t="shared" si="10"/>
        <v>407.1434332078079</v>
      </c>
      <c r="N25" s="148">
        <f t="shared" si="10"/>
        <v>537.42933183430648</v>
      </c>
      <c r="O25" s="148">
        <f t="shared" si="10"/>
        <v>709.40671802128463</v>
      </c>
      <c r="P25" s="148">
        <f t="shared" si="10"/>
        <v>936.4168677880956</v>
      </c>
      <c r="Q25" s="148">
        <f t="shared" si="10"/>
        <v>618.03513274014324</v>
      </c>
      <c r="R25" s="148">
        <f t="shared" si="10"/>
        <v>815.80637521698907</v>
      </c>
      <c r="S25" s="148">
        <f t="shared" si="10"/>
        <v>840.28056647349865</v>
      </c>
      <c r="T25" s="148">
        <f t="shared" si="10"/>
        <v>865.48898346770363</v>
      </c>
      <c r="U25" s="148">
        <f t="shared" si="10"/>
        <v>1045.9624361567705</v>
      </c>
      <c r="V25" s="148">
        <f t="shared" si="10"/>
        <v>1077.3413092414737</v>
      </c>
      <c r="W25" s="148">
        <f t="shared" si="10"/>
        <v>1109.6615485187181</v>
      </c>
      <c r="X25" s="148">
        <f t="shared" si="10"/>
        <v>1142.9513949742795</v>
      </c>
      <c r="Y25" s="148">
        <f t="shared" si="10"/>
        <v>1177.2399368235078</v>
      </c>
      <c r="Z25" s="148">
        <f t="shared" si="10"/>
        <v>1212.5571349282136</v>
      </c>
      <c r="AA25" s="148">
        <f t="shared" si="10"/>
        <v>1248.9338489760598</v>
      </c>
      <c r="AB25" s="148">
        <f t="shared" si="10"/>
        <v>1286.4018644453413</v>
      </c>
      <c r="AC25" s="148">
        <f t="shared" si="10"/>
        <v>1324.9939203787017</v>
      </c>
      <c r="AD25" s="148">
        <f t="shared" si="10"/>
        <v>1364.7437379900628</v>
      </c>
      <c r="AE25" s="148">
        <f t="shared" si="10"/>
        <v>1405.6860501297649</v>
      </c>
      <c r="AF25" s="148">
        <f t="shared" si="10"/>
        <v>1447.8566316336576</v>
      </c>
      <c r="AG25" s="148">
        <f t="shared" si="10"/>
        <v>1491.2923305826673</v>
      </c>
      <c r="AH25" s="148">
        <f t="shared" ref="AH25:AY25" si="11">AH24*$E$4</f>
        <v>1536.0311005001472</v>
      </c>
      <c r="AI25" s="148">
        <f t="shared" si="11"/>
        <v>1582.1120335151518</v>
      </c>
      <c r="AJ25" s="148">
        <f t="shared" si="11"/>
        <v>1629.5753945206063</v>
      </c>
      <c r="AK25" s="148">
        <f t="shared" si="11"/>
        <v>1678.4626563562247</v>
      </c>
      <c r="AL25" s="148">
        <f t="shared" si="11"/>
        <v>1728.8165360469113</v>
      </c>
      <c r="AM25" s="148">
        <f t="shared" si="11"/>
        <v>1780.6810321283192</v>
      </c>
      <c r="AN25" s="148">
        <f t="shared" si="11"/>
        <v>1834.1014630921684</v>
      </c>
      <c r="AO25" s="148">
        <f t="shared" si="11"/>
        <v>1889.1245069849333</v>
      </c>
      <c r="AP25" s="148">
        <f t="shared" si="11"/>
        <v>1889.1245069849333</v>
      </c>
      <c r="AQ25" s="148">
        <f t="shared" si="11"/>
        <v>1889.1245069849333</v>
      </c>
      <c r="AR25" s="148">
        <f t="shared" si="11"/>
        <v>1889.1245069849333</v>
      </c>
      <c r="AS25" s="148">
        <f t="shared" si="11"/>
        <v>1889.1245069849333</v>
      </c>
      <c r="AT25" s="148">
        <f t="shared" si="11"/>
        <v>1889.1245069849333</v>
      </c>
      <c r="AU25" s="148">
        <f t="shared" si="11"/>
        <v>1889.1245069849333</v>
      </c>
      <c r="AV25" s="148">
        <f t="shared" si="11"/>
        <v>1889.1245069849333</v>
      </c>
      <c r="AW25" s="148">
        <f t="shared" si="11"/>
        <v>1889.1245069849333</v>
      </c>
      <c r="AX25" s="148">
        <f t="shared" si="11"/>
        <v>1889.1245069849333</v>
      </c>
      <c r="AY25" s="314">
        <f t="shared" si="11"/>
        <v>1889.1245069849333</v>
      </c>
    </row>
    <row r="26" spans="1:51" ht="16" x14ac:dyDescent="0.4">
      <c r="A26" s="259" t="s">
        <v>498</v>
      </c>
      <c r="B26" s="188">
        <f>$C$7*B15*Inputs!$D$30/60/Inputs!$D$3</f>
        <v>0</v>
      </c>
      <c r="C26" s="188">
        <f>$C$7*C15*Inputs!$D$30/60/Inputs!$D$3</f>
        <v>0</v>
      </c>
      <c r="D26" s="188">
        <f>$C$7*D15*Inputs!$D$30/60/Inputs!$D$3</f>
        <v>0</v>
      </c>
      <c r="E26" s="188">
        <f>$C$7*E15*Inputs!$D$30/60/Inputs!$D$3</f>
        <v>0</v>
      </c>
      <c r="F26" s="188">
        <f>$C$7*F15*Inputs!$D$30/60/Inputs!$D$3</f>
        <v>0.85657499999999998</v>
      </c>
      <c r="G26" s="188">
        <f>$C$7*G15*Inputs!$D$30/60/Inputs!$D$3</f>
        <v>1.02789</v>
      </c>
      <c r="H26" s="188">
        <f>$C$7*H15*Inputs!$D$30/60/Inputs!$D$3</f>
        <v>1.2334679999999998</v>
      </c>
      <c r="I26" s="188">
        <f>$C$7*I15*Inputs!$D$30/60/Inputs!$D$3</f>
        <v>1.4801616000000002</v>
      </c>
      <c r="J26" s="188">
        <f>$C$7*J15*Inputs!$D$30/60/Inputs!$D$3</f>
        <v>1.7761939199999996</v>
      </c>
      <c r="K26" s="188">
        <f>$C$7*K15*Inputs!$D$30/60/Inputs!$D$3</f>
        <v>2.1314327039999998</v>
      </c>
      <c r="L26" s="188">
        <f>$C$7*L15*Inputs!$D$30/60/Inputs!$D$3</f>
        <v>2.8134911692799998</v>
      </c>
      <c r="M26" s="188">
        <f>$C$7*M15*Inputs!$D$30/60/Inputs!$D$3</f>
        <v>3.7138083434496005</v>
      </c>
      <c r="N26" s="188">
        <f>$C$7*N15*Inputs!$D$30/60/Inputs!$D$3</f>
        <v>4.902227013353472</v>
      </c>
      <c r="O26" s="188">
        <f>$C$7*O15*Inputs!$D$30/60/Inputs!$D$3</f>
        <v>6.470939657626583</v>
      </c>
      <c r="P26" s="188">
        <f>$C$7*P15*Inputs!$D$30/60/Inputs!$D$3</f>
        <v>8.5416403480670891</v>
      </c>
      <c r="Q26" s="188">
        <f>$C$7*Q15*Inputs!$D$30/60/Inputs!$D$3</f>
        <v>5.6374826297242793</v>
      </c>
      <c r="R26" s="188">
        <f>$C$7*R15*Inputs!$D$30/60/Inputs!$D$3</f>
        <v>7.4414770712360481</v>
      </c>
      <c r="S26" s="188">
        <f>$C$7*S15*Inputs!$D$30/60/Inputs!$D$3</f>
        <v>7.6647213833731289</v>
      </c>
      <c r="T26" s="188">
        <f>$C$7*T15*Inputs!$D$30/60/Inputs!$D$3</f>
        <v>7.8946630248743235</v>
      </c>
      <c r="U26" s="188">
        <f>$C$7*U15*Inputs!$D$30/60/Inputs!$D$3</f>
        <v>9.5408735730516234</v>
      </c>
      <c r="V26" s="188">
        <f>$C$7*V15*Inputs!$D$30/60/Inputs!$D$3</f>
        <v>9.8270997802431737</v>
      </c>
      <c r="W26" s="188">
        <f>$C$7*W15*Inputs!$D$30/60/Inputs!$D$3</f>
        <v>10.121912773650468</v>
      </c>
      <c r="X26" s="188">
        <f>$C$7*X15*Inputs!$D$30/60/Inputs!$D$3</f>
        <v>10.425570156859981</v>
      </c>
      <c r="Y26" s="188">
        <f>$C$7*Y15*Inputs!$D$30/60/Inputs!$D$3</f>
        <v>10.738337261565782</v>
      </c>
      <c r="Z26" s="188">
        <f>$C$7*Z15*Inputs!$D$30/60/Inputs!$D$3</f>
        <v>11.060487379412757</v>
      </c>
      <c r="AA26" s="188">
        <f>$C$7*AA15*Inputs!$D$30/60/Inputs!$D$3</f>
        <v>11.392302000795139</v>
      </c>
      <c r="AB26" s="188">
        <f>$C$7*AB15*Inputs!$D$30/60/Inputs!$D$3</f>
        <v>11.734071060818993</v>
      </c>
      <c r="AC26" s="188">
        <f>$C$7*AC15*Inputs!$D$30/60/Inputs!$D$3</f>
        <v>12.086093192643563</v>
      </c>
      <c r="AD26" s="188">
        <f>$C$7*AD15*Inputs!$D$30/60/Inputs!$D$3</f>
        <v>12.448675988422869</v>
      </c>
      <c r="AE26" s="188">
        <f>$C$7*AE15*Inputs!$D$30/60/Inputs!$D$3</f>
        <v>12.822136268075559</v>
      </c>
      <c r="AF26" s="188">
        <f>$C$7*AF15*Inputs!$D$30/60/Inputs!$D$3</f>
        <v>13.206800356117824</v>
      </c>
      <c r="AG26" s="188">
        <f>$C$7*AG15*Inputs!$D$30/60/Inputs!$D$3</f>
        <v>13.603004366801358</v>
      </c>
      <c r="AH26" s="188">
        <f>$C$7*AH15*Inputs!$D$30/60/Inputs!$D$3</f>
        <v>14.011094497805393</v>
      </c>
      <c r="AI26" s="188">
        <f>$C$7*AI15*Inputs!$D$30/60/Inputs!$D$3</f>
        <v>14.431427332739563</v>
      </c>
      <c r="AJ26" s="188">
        <f>$C$7*AJ15*Inputs!$D$30/60/Inputs!$D$3</f>
        <v>14.864370152721747</v>
      </c>
      <c r="AK26" s="188">
        <f>$C$7*AK15*Inputs!$D$30/60/Inputs!$D$3</f>
        <v>15.310301257303403</v>
      </c>
      <c r="AL26" s="188">
        <f>$C$7*AL15*Inputs!$D$30/60/Inputs!$D$3</f>
        <v>15.769610295022503</v>
      </c>
      <c r="AM26" s="188">
        <f>$C$7*AM15*Inputs!$D$30/60/Inputs!$D$3</f>
        <v>16.24269860387318</v>
      </c>
      <c r="AN26" s="188">
        <f>$C$7*AN15*Inputs!$D$30/60/Inputs!$D$3</f>
        <v>16.729979561989374</v>
      </c>
      <c r="AO26" s="188">
        <f>$C$7*AO15*Inputs!$D$30/60/Inputs!$D$3</f>
        <v>17.231878948849054</v>
      </c>
      <c r="AP26" s="188">
        <f>$C$7*AP15*Inputs!$D$30/60/Inputs!$D$3</f>
        <v>17.231878948849054</v>
      </c>
      <c r="AQ26" s="188">
        <f>$C$7*AQ15*Inputs!$D$30/60/Inputs!$D$3</f>
        <v>17.231878948849054</v>
      </c>
      <c r="AR26" s="188">
        <f>$C$7*AR15*Inputs!$D$30/60/Inputs!$D$3</f>
        <v>17.231878948849054</v>
      </c>
      <c r="AS26" s="188">
        <f>$C$7*AS15*Inputs!$D$30/60/Inputs!$D$3</f>
        <v>17.231878948849054</v>
      </c>
      <c r="AT26" s="188">
        <f>$C$7*AT15*Inputs!$D$30/60/Inputs!$D$3</f>
        <v>17.231878948849054</v>
      </c>
      <c r="AU26" s="188">
        <f>$C$7*AU15*Inputs!$D$30/60/Inputs!$D$3</f>
        <v>17.231878948849054</v>
      </c>
      <c r="AV26" s="188">
        <f>$C$7*AV15*Inputs!$D$30/60/Inputs!$D$3</f>
        <v>17.231878948849054</v>
      </c>
      <c r="AW26" s="188">
        <f>$C$7*AW15*Inputs!$D$30/60/Inputs!$D$3</f>
        <v>17.231878948849054</v>
      </c>
      <c r="AX26" s="188">
        <f>$C$7*AX15*Inputs!$D$30/60/Inputs!$D$3</f>
        <v>17.231878948849054</v>
      </c>
      <c r="AY26" s="304">
        <f>$C$7*AY15*Inputs!$D$30/60/Inputs!$D$3</f>
        <v>17.231878948849054</v>
      </c>
    </row>
    <row r="27" spans="1:51" ht="16" hidden="1" x14ac:dyDescent="0.4">
      <c r="A27" s="259" t="s">
        <v>333</v>
      </c>
      <c r="B27" s="148">
        <f t="shared" ref="B27:AG27" si="12">B26*$E$4</f>
        <v>0</v>
      </c>
      <c r="C27" s="148">
        <f t="shared" si="12"/>
        <v>0</v>
      </c>
      <c r="D27" s="148">
        <f t="shared" si="12"/>
        <v>0</v>
      </c>
      <c r="E27" s="148">
        <f t="shared" si="12"/>
        <v>0</v>
      </c>
      <c r="F27" s="148">
        <f t="shared" si="12"/>
        <v>15.8466375</v>
      </c>
      <c r="G27" s="148">
        <f t="shared" si="12"/>
        <v>19.015964999999998</v>
      </c>
      <c r="H27" s="148">
        <f t="shared" si="12"/>
        <v>22.819157999999995</v>
      </c>
      <c r="I27" s="148">
        <f>I26*$E$4</f>
        <v>27.382989600000002</v>
      </c>
      <c r="J27" s="148">
        <f t="shared" si="12"/>
        <v>32.859587519999991</v>
      </c>
      <c r="K27" s="148">
        <f t="shared" si="12"/>
        <v>39.431505023999996</v>
      </c>
      <c r="L27" s="148">
        <f t="shared" si="12"/>
        <v>52.049586631679993</v>
      </c>
      <c r="M27" s="148">
        <f t="shared" si="12"/>
        <v>68.705454353817615</v>
      </c>
      <c r="N27" s="148">
        <f t="shared" si="12"/>
        <v>90.691199747039235</v>
      </c>
      <c r="O27" s="148">
        <f t="shared" si="12"/>
        <v>119.71238366609178</v>
      </c>
      <c r="P27" s="148">
        <f t="shared" si="12"/>
        <v>158.02034643924114</v>
      </c>
      <c r="Q27" s="148">
        <f t="shared" si="12"/>
        <v>104.29342864989917</v>
      </c>
      <c r="R27" s="148">
        <f t="shared" si="12"/>
        <v>137.6673258178669</v>
      </c>
      <c r="S27" s="148">
        <f t="shared" si="12"/>
        <v>141.79734559240288</v>
      </c>
      <c r="T27" s="148">
        <f t="shared" si="12"/>
        <v>146.05126596017499</v>
      </c>
      <c r="U27" s="148">
        <f t="shared" si="12"/>
        <v>176.50616110145504</v>
      </c>
      <c r="V27" s="148">
        <f t="shared" si="12"/>
        <v>181.80134593449873</v>
      </c>
      <c r="W27" s="148">
        <f t="shared" si="12"/>
        <v>187.25538631253366</v>
      </c>
      <c r="X27" s="148">
        <f t="shared" si="12"/>
        <v>192.87304790190964</v>
      </c>
      <c r="Y27" s="148">
        <f t="shared" si="12"/>
        <v>198.65923933896696</v>
      </c>
      <c r="Z27" s="148">
        <f t="shared" si="12"/>
        <v>204.61901651913601</v>
      </c>
      <c r="AA27" s="148">
        <f t="shared" si="12"/>
        <v>210.75758701471008</v>
      </c>
      <c r="AB27" s="148">
        <f t="shared" si="12"/>
        <v>217.08031462515137</v>
      </c>
      <c r="AC27" s="148">
        <f t="shared" si="12"/>
        <v>223.59272406390593</v>
      </c>
      <c r="AD27" s="148">
        <f t="shared" si="12"/>
        <v>230.30050578582308</v>
      </c>
      <c r="AE27" s="148">
        <f t="shared" si="12"/>
        <v>237.20952095939782</v>
      </c>
      <c r="AF27" s="148">
        <f t="shared" si="12"/>
        <v>244.32580658817974</v>
      </c>
      <c r="AG27" s="148">
        <f t="shared" si="12"/>
        <v>251.65558078582512</v>
      </c>
      <c r="AH27" s="148">
        <f t="shared" ref="AH27:AY27" si="13">AH26*$E$4</f>
        <v>259.20524820939977</v>
      </c>
      <c r="AI27" s="148">
        <f t="shared" si="13"/>
        <v>266.9814056556819</v>
      </c>
      <c r="AJ27" s="148">
        <f t="shared" si="13"/>
        <v>274.99084782535232</v>
      </c>
      <c r="AK27" s="148">
        <f t="shared" si="13"/>
        <v>283.24057326011297</v>
      </c>
      <c r="AL27" s="148">
        <f t="shared" si="13"/>
        <v>291.73779045791628</v>
      </c>
      <c r="AM27" s="148">
        <f t="shared" si="13"/>
        <v>300.4899241716538</v>
      </c>
      <c r="AN27" s="148">
        <f t="shared" si="13"/>
        <v>309.50462189680343</v>
      </c>
      <c r="AO27" s="148">
        <f t="shared" si="13"/>
        <v>318.78976055370748</v>
      </c>
      <c r="AP27" s="148">
        <f t="shared" si="13"/>
        <v>318.78976055370748</v>
      </c>
      <c r="AQ27" s="148">
        <f t="shared" si="13"/>
        <v>318.78976055370748</v>
      </c>
      <c r="AR27" s="148">
        <f t="shared" si="13"/>
        <v>318.78976055370748</v>
      </c>
      <c r="AS27" s="148">
        <f t="shared" si="13"/>
        <v>318.78976055370748</v>
      </c>
      <c r="AT27" s="148">
        <f t="shared" si="13"/>
        <v>318.78976055370748</v>
      </c>
      <c r="AU27" s="148">
        <f t="shared" si="13"/>
        <v>318.78976055370748</v>
      </c>
      <c r="AV27" s="148">
        <f t="shared" si="13"/>
        <v>318.78976055370748</v>
      </c>
      <c r="AW27" s="148">
        <f t="shared" si="13"/>
        <v>318.78976055370748</v>
      </c>
      <c r="AX27" s="148">
        <f t="shared" si="13"/>
        <v>318.78976055370748</v>
      </c>
      <c r="AY27" s="314">
        <f t="shared" si="13"/>
        <v>318.78976055370748</v>
      </c>
    </row>
    <row r="28" spans="1:51" ht="32" x14ac:dyDescent="0.4">
      <c r="A28" s="313" t="s">
        <v>499</v>
      </c>
      <c r="B28" s="188">
        <f t="shared" ref="B28:AG28" si="14">$C$8</f>
        <v>8</v>
      </c>
      <c r="C28" s="188">
        <f t="shared" si="14"/>
        <v>8</v>
      </c>
      <c r="D28" s="188">
        <f t="shared" si="14"/>
        <v>8</v>
      </c>
      <c r="E28" s="188">
        <f t="shared" si="14"/>
        <v>8</v>
      </c>
      <c r="F28" s="188">
        <f t="shared" si="14"/>
        <v>8</v>
      </c>
      <c r="G28" s="188">
        <f t="shared" si="14"/>
        <v>8</v>
      </c>
      <c r="H28" s="188">
        <f t="shared" si="14"/>
        <v>8</v>
      </c>
      <c r="I28" s="188">
        <f t="shared" si="14"/>
        <v>8</v>
      </c>
      <c r="J28" s="188">
        <f t="shared" si="14"/>
        <v>8</v>
      </c>
      <c r="K28" s="188">
        <f t="shared" si="14"/>
        <v>8</v>
      </c>
      <c r="L28" s="188">
        <f t="shared" si="14"/>
        <v>8</v>
      </c>
      <c r="M28" s="188">
        <f t="shared" si="14"/>
        <v>8</v>
      </c>
      <c r="N28" s="188">
        <f t="shared" si="14"/>
        <v>8</v>
      </c>
      <c r="O28" s="188">
        <f t="shared" si="14"/>
        <v>8</v>
      </c>
      <c r="P28" s="188">
        <f t="shared" si="14"/>
        <v>8</v>
      </c>
      <c r="Q28" s="188">
        <f t="shared" si="14"/>
        <v>8</v>
      </c>
      <c r="R28" s="188">
        <f t="shared" si="14"/>
        <v>8</v>
      </c>
      <c r="S28" s="188">
        <f t="shared" si="14"/>
        <v>8</v>
      </c>
      <c r="T28" s="188">
        <f t="shared" si="14"/>
        <v>8</v>
      </c>
      <c r="U28" s="188">
        <f t="shared" si="14"/>
        <v>8</v>
      </c>
      <c r="V28" s="188">
        <f t="shared" si="14"/>
        <v>8</v>
      </c>
      <c r="W28" s="188">
        <f t="shared" si="14"/>
        <v>8</v>
      </c>
      <c r="X28" s="188">
        <f t="shared" si="14"/>
        <v>8</v>
      </c>
      <c r="Y28" s="188">
        <f t="shared" si="14"/>
        <v>8</v>
      </c>
      <c r="Z28" s="188">
        <f t="shared" si="14"/>
        <v>8</v>
      </c>
      <c r="AA28" s="188">
        <f t="shared" si="14"/>
        <v>8</v>
      </c>
      <c r="AB28" s="188">
        <f t="shared" si="14"/>
        <v>8</v>
      </c>
      <c r="AC28" s="188">
        <f t="shared" si="14"/>
        <v>8</v>
      </c>
      <c r="AD28" s="188">
        <f t="shared" si="14"/>
        <v>8</v>
      </c>
      <c r="AE28" s="188">
        <f t="shared" si="14"/>
        <v>8</v>
      </c>
      <c r="AF28" s="188">
        <f t="shared" si="14"/>
        <v>8</v>
      </c>
      <c r="AG28" s="188">
        <f t="shared" si="14"/>
        <v>8</v>
      </c>
      <c r="AH28" s="188">
        <f t="shared" ref="AH28:AY28" si="15">$C$8</f>
        <v>8</v>
      </c>
      <c r="AI28" s="188">
        <f t="shared" si="15"/>
        <v>8</v>
      </c>
      <c r="AJ28" s="188">
        <f t="shared" si="15"/>
        <v>8</v>
      </c>
      <c r="AK28" s="188">
        <f t="shared" si="15"/>
        <v>8</v>
      </c>
      <c r="AL28" s="188">
        <f t="shared" si="15"/>
        <v>8</v>
      </c>
      <c r="AM28" s="188">
        <f t="shared" si="15"/>
        <v>8</v>
      </c>
      <c r="AN28" s="188">
        <f t="shared" si="15"/>
        <v>8</v>
      </c>
      <c r="AO28" s="188">
        <f t="shared" si="15"/>
        <v>8</v>
      </c>
      <c r="AP28" s="188">
        <f t="shared" si="15"/>
        <v>8</v>
      </c>
      <c r="AQ28" s="188">
        <f t="shared" si="15"/>
        <v>8</v>
      </c>
      <c r="AR28" s="188">
        <f t="shared" si="15"/>
        <v>8</v>
      </c>
      <c r="AS28" s="188">
        <f t="shared" si="15"/>
        <v>8</v>
      </c>
      <c r="AT28" s="188">
        <f t="shared" si="15"/>
        <v>8</v>
      </c>
      <c r="AU28" s="188">
        <f t="shared" si="15"/>
        <v>8</v>
      </c>
      <c r="AV28" s="188">
        <f t="shared" si="15"/>
        <v>8</v>
      </c>
      <c r="AW28" s="188">
        <f t="shared" si="15"/>
        <v>8</v>
      </c>
      <c r="AX28" s="188">
        <f t="shared" si="15"/>
        <v>8</v>
      </c>
      <c r="AY28" s="304">
        <f t="shared" si="15"/>
        <v>8</v>
      </c>
    </row>
    <row r="29" spans="1:51" ht="32" hidden="1" x14ac:dyDescent="0.4">
      <c r="A29" s="313" t="s">
        <v>459</v>
      </c>
      <c r="B29" s="148">
        <f>B28*$E$4</f>
        <v>148</v>
      </c>
      <c r="C29" s="148">
        <f t="shared" ref="C29:AG29" si="16">C28*$E$4</f>
        <v>148</v>
      </c>
      <c r="D29" s="148">
        <f t="shared" si="16"/>
        <v>148</v>
      </c>
      <c r="E29" s="148">
        <f t="shared" si="16"/>
        <v>148</v>
      </c>
      <c r="F29" s="148">
        <f t="shared" si="16"/>
        <v>148</v>
      </c>
      <c r="G29" s="148">
        <f t="shared" si="16"/>
        <v>148</v>
      </c>
      <c r="H29" s="148">
        <f t="shared" si="16"/>
        <v>148</v>
      </c>
      <c r="I29" s="148">
        <f t="shared" si="16"/>
        <v>148</v>
      </c>
      <c r="J29" s="148">
        <f t="shared" si="16"/>
        <v>148</v>
      </c>
      <c r="K29" s="148">
        <f t="shared" si="16"/>
        <v>148</v>
      </c>
      <c r="L29" s="148">
        <f t="shared" si="16"/>
        <v>148</v>
      </c>
      <c r="M29" s="148">
        <f t="shared" si="16"/>
        <v>148</v>
      </c>
      <c r="N29" s="148">
        <f t="shared" si="16"/>
        <v>148</v>
      </c>
      <c r="O29" s="148">
        <f t="shared" si="16"/>
        <v>148</v>
      </c>
      <c r="P29" s="148">
        <f t="shared" si="16"/>
        <v>148</v>
      </c>
      <c r="Q29" s="148">
        <f t="shared" si="16"/>
        <v>148</v>
      </c>
      <c r="R29" s="148">
        <f t="shared" si="16"/>
        <v>148</v>
      </c>
      <c r="S29" s="148">
        <f t="shared" si="16"/>
        <v>148</v>
      </c>
      <c r="T29" s="148">
        <f t="shared" si="16"/>
        <v>148</v>
      </c>
      <c r="U29" s="148">
        <f t="shared" si="16"/>
        <v>148</v>
      </c>
      <c r="V29" s="148">
        <f t="shared" si="16"/>
        <v>148</v>
      </c>
      <c r="W29" s="148">
        <f t="shared" si="16"/>
        <v>148</v>
      </c>
      <c r="X29" s="148">
        <f t="shared" si="16"/>
        <v>148</v>
      </c>
      <c r="Y29" s="148">
        <f t="shared" si="16"/>
        <v>148</v>
      </c>
      <c r="Z29" s="148">
        <f t="shared" si="16"/>
        <v>148</v>
      </c>
      <c r="AA29" s="148">
        <f t="shared" si="16"/>
        <v>148</v>
      </c>
      <c r="AB29" s="148">
        <f t="shared" si="16"/>
        <v>148</v>
      </c>
      <c r="AC29" s="148">
        <f t="shared" si="16"/>
        <v>148</v>
      </c>
      <c r="AD29" s="148">
        <f t="shared" si="16"/>
        <v>148</v>
      </c>
      <c r="AE29" s="148">
        <f t="shared" si="16"/>
        <v>148</v>
      </c>
      <c r="AF29" s="148">
        <f t="shared" si="16"/>
        <v>148</v>
      </c>
      <c r="AG29" s="148">
        <f t="shared" si="16"/>
        <v>148</v>
      </c>
      <c r="AH29" s="148">
        <f t="shared" ref="AH29:AY29" si="17">AH28*$E$4</f>
        <v>148</v>
      </c>
      <c r="AI29" s="148">
        <f t="shared" si="17"/>
        <v>148</v>
      </c>
      <c r="AJ29" s="148">
        <f t="shared" si="17"/>
        <v>148</v>
      </c>
      <c r="AK29" s="148">
        <f t="shared" si="17"/>
        <v>148</v>
      </c>
      <c r="AL29" s="148">
        <f t="shared" si="17"/>
        <v>148</v>
      </c>
      <c r="AM29" s="148">
        <f t="shared" si="17"/>
        <v>148</v>
      </c>
      <c r="AN29" s="148">
        <f t="shared" si="17"/>
        <v>148</v>
      </c>
      <c r="AO29" s="148">
        <f t="shared" si="17"/>
        <v>148</v>
      </c>
      <c r="AP29" s="148">
        <f t="shared" si="17"/>
        <v>148</v>
      </c>
      <c r="AQ29" s="148">
        <f t="shared" si="17"/>
        <v>148</v>
      </c>
      <c r="AR29" s="148">
        <f t="shared" si="17"/>
        <v>148</v>
      </c>
      <c r="AS29" s="148">
        <f t="shared" si="17"/>
        <v>148</v>
      </c>
      <c r="AT29" s="148">
        <f t="shared" si="17"/>
        <v>148</v>
      </c>
      <c r="AU29" s="148">
        <f t="shared" si="17"/>
        <v>148</v>
      </c>
      <c r="AV29" s="148">
        <f t="shared" si="17"/>
        <v>148</v>
      </c>
      <c r="AW29" s="148">
        <f t="shared" si="17"/>
        <v>148</v>
      </c>
      <c r="AX29" s="148">
        <f t="shared" si="17"/>
        <v>148</v>
      </c>
      <c r="AY29" s="314">
        <f t="shared" si="17"/>
        <v>148</v>
      </c>
    </row>
    <row r="30" spans="1:51" ht="34" customHeight="1" x14ac:dyDescent="0.4">
      <c r="A30" s="313" t="s">
        <v>500</v>
      </c>
      <c r="B30" s="188">
        <f t="shared" ref="B30:H30" si="18">$C$9</f>
        <v>8</v>
      </c>
      <c r="C30" s="188">
        <f t="shared" si="18"/>
        <v>8</v>
      </c>
      <c r="D30" s="188">
        <f t="shared" si="18"/>
        <v>8</v>
      </c>
      <c r="E30" s="188">
        <f t="shared" si="18"/>
        <v>8</v>
      </c>
      <c r="F30" s="188">
        <f t="shared" si="18"/>
        <v>8</v>
      </c>
      <c r="G30" s="188">
        <f t="shared" si="18"/>
        <v>8</v>
      </c>
      <c r="H30" s="188">
        <f t="shared" si="18"/>
        <v>8</v>
      </c>
      <c r="I30" s="188">
        <f>IF(Inputs!$D$11=Investment!$K$134,$C$9,0)</f>
        <v>8</v>
      </c>
      <c r="J30" s="188">
        <f>IF(Inputs!$D$11=Investment!$K$134,$C$9,0)</f>
        <v>8</v>
      </c>
      <c r="K30" s="188">
        <f>IF(Inputs!$D$11=Investment!$K$134,$C$9,0)</f>
        <v>8</v>
      </c>
      <c r="L30" s="188">
        <f>IF(Inputs!$D$11=Investment!$K$134,$C$9,0)</f>
        <v>8</v>
      </c>
      <c r="M30" s="188">
        <f>IF(Inputs!$D$11=Investment!$K$134,$C$9,0)</f>
        <v>8</v>
      </c>
      <c r="N30" s="188">
        <f>IF(Inputs!$D$11=Investment!$K$134,$C$9,0)</f>
        <v>8</v>
      </c>
      <c r="O30" s="188">
        <f>IF(Inputs!$D$11=Investment!$K$134,$C$9,0)</f>
        <v>8</v>
      </c>
      <c r="P30" s="188">
        <f>IF(Inputs!$D$11=Investment!$K$134,$C$9,0)</f>
        <v>8</v>
      </c>
      <c r="Q30" s="188">
        <f>IF(Inputs!$D$11=Investment!$K$134,$C$9,0)</f>
        <v>8</v>
      </c>
      <c r="R30" s="188">
        <f>IF(Inputs!$D$11=Investment!$K$134,$C$9,0)</f>
        <v>8</v>
      </c>
      <c r="S30" s="188">
        <f>IF(Inputs!$D$11=Investment!$K$134,$C$9,0)</f>
        <v>8</v>
      </c>
      <c r="T30" s="188">
        <f>IF(Inputs!$D$11=Investment!$K$134,$C$9,0)</f>
        <v>8</v>
      </c>
      <c r="U30" s="188">
        <f>IF(Inputs!$D$11=Investment!$K$134,$C$9,0)</f>
        <v>8</v>
      </c>
      <c r="V30" s="188">
        <f>IF(Inputs!$D$11=Investment!$K$134,$C$9,0)</f>
        <v>8</v>
      </c>
      <c r="W30" s="188">
        <f>IF(Inputs!$D$11=Investment!$K$134,$C$9,0)</f>
        <v>8</v>
      </c>
      <c r="X30" s="188">
        <f>IF(Inputs!$D$11=Investment!$K$134,$C$9,0)</f>
        <v>8</v>
      </c>
      <c r="Y30" s="188">
        <f>IF(Inputs!$D$11=Investment!$K$134,$C$9,0)</f>
        <v>8</v>
      </c>
      <c r="Z30" s="188">
        <f>IF(Inputs!$D$11=Investment!$K$134,$C$9,0)</f>
        <v>8</v>
      </c>
      <c r="AA30" s="188">
        <f>IF(Inputs!$D$11=Investment!$K$134,$C$9,0)</f>
        <v>8</v>
      </c>
      <c r="AB30" s="188">
        <f>IF(Inputs!$D$11=Investment!$K$134,$C$9,0)</f>
        <v>8</v>
      </c>
      <c r="AC30" s="188">
        <f>IF(Inputs!$D$11=Investment!$K$134,$C$9,0)</f>
        <v>8</v>
      </c>
      <c r="AD30" s="188">
        <f>IF(Inputs!$D$11=Investment!$K$134,$C$9,0)</f>
        <v>8</v>
      </c>
      <c r="AE30" s="188">
        <f>IF(Inputs!$D$11=Investment!$K$134,$C$9,0)</f>
        <v>8</v>
      </c>
      <c r="AF30" s="188">
        <f>IF(Inputs!$D$11=Investment!$K$134,$C$9,0)</f>
        <v>8</v>
      </c>
      <c r="AG30" s="188">
        <f>IF(Inputs!$D$11=Investment!$K$134,$C$9,0)</f>
        <v>8</v>
      </c>
      <c r="AH30" s="188">
        <f>IF(Inputs!$D$11=Investment!$K$134,$C$9,0)</f>
        <v>8</v>
      </c>
      <c r="AI30" s="188">
        <f>IF(Inputs!$D$11=Investment!$K$134,$C$9,0)</f>
        <v>8</v>
      </c>
      <c r="AJ30" s="188">
        <f>IF(Inputs!$D$11=Investment!$K$134,$C$9,0)</f>
        <v>8</v>
      </c>
      <c r="AK30" s="188">
        <f>IF(Inputs!$D$11=Investment!$K$134,$C$9,0)</f>
        <v>8</v>
      </c>
      <c r="AL30" s="188">
        <f>IF(Inputs!$D$11=Investment!$K$134,$C$9,0)</f>
        <v>8</v>
      </c>
      <c r="AM30" s="188">
        <f>IF(Inputs!$D$11=Investment!$K$134,$C$9,0)</f>
        <v>8</v>
      </c>
      <c r="AN30" s="188">
        <f>IF(Inputs!$D$11=Investment!$K$134,$C$9,0)</f>
        <v>8</v>
      </c>
      <c r="AO30" s="188">
        <f>IF(Inputs!$D$11=Investment!$K$134,$C$9,0)</f>
        <v>8</v>
      </c>
      <c r="AP30" s="188">
        <f>IF(Inputs!$D$11=Investment!$K$134,$C$9,0)</f>
        <v>8</v>
      </c>
      <c r="AQ30" s="188">
        <f>IF(Inputs!$D$11=Investment!$K$134,$C$9,0)</f>
        <v>8</v>
      </c>
      <c r="AR30" s="188">
        <f>IF(Inputs!$D$11=Investment!$K$134,$C$9,0)</f>
        <v>8</v>
      </c>
      <c r="AS30" s="188">
        <f>IF(Inputs!$D$11=Investment!$K$134,$C$9,0)</f>
        <v>8</v>
      </c>
      <c r="AT30" s="188">
        <f>IF(Inputs!$D$11=Investment!$K$134,$C$9,0)</f>
        <v>8</v>
      </c>
      <c r="AU30" s="188">
        <f>IF(Inputs!$D$11=Investment!$K$134,$C$9,0)</f>
        <v>8</v>
      </c>
      <c r="AV30" s="188">
        <f>IF(Inputs!$D$11=Investment!$K$134,$C$9,0)</f>
        <v>8</v>
      </c>
      <c r="AW30" s="188">
        <f>IF(Inputs!$D$11=Investment!$K$134,$C$9,0)</f>
        <v>8</v>
      </c>
      <c r="AX30" s="188">
        <f>IF(Inputs!$D$11=Investment!$K$134,$C$9,0)</f>
        <v>8</v>
      </c>
      <c r="AY30" s="304">
        <f>IF(Inputs!$D$11=Investment!$K$134,$C$9,0)</f>
        <v>8</v>
      </c>
    </row>
    <row r="31" spans="1:51" ht="43.5" hidden="1" x14ac:dyDescent="0.35">
      <c r="A31" s="218" t="s">
        <v>460</v>
      </c>
      <c r="B31" s="219">
        <f t="shared" ref="B31:AG31" si="19">B30*$E$4</f>
        <v>148</v>
      </c>
      <c r="C31" s="219">
        <f t="shared" si="19"/>
        <v>148</v>
      </c>
      <c r="D31" s="219">
        <f t="shared" si="19"/>
        <v>148</v>
      </c>
      <c r="E31" s="219">
        <f t="shared" si="19"/>
        <v>148</v>
      </c>
      <c r="F31" s="219">
        <f t="shared" si="19"/>
        <v>148</v>
      </c>
      <c r="G31" s="219">
        <f t="shared" si="19"/>
        <v>148</v>
      </c>
      <c r="H31" s="219">
        <f t="shared" si="19"/>
        <v>148</v>
      </c>
      <c r="I31" s="219">
        <f t="shared" si="19"/>
        <v>148</v>
      </c>
      <c r="J31" s="219">
        <f t="shared" si="19"/>
        <v>148</v>
      </c>
      <c r="K31" s="219">
        <f t="shared" si="19"/>
        <v>148</v>
      </c>
      <c r="L31" s="219">
        <f t="shared" si="19"/>
        <v>148</v>
      </c>
      <c r="M31" s="219">
        <f t="shared" si="19"/>
        <v>148</v>
      </c>
      <c r="N31" s="219">
        <f t="shared" si="19"/>
        <v>148</v>
      </c>
      <c r="O31" s="219">
        <f t="shared" si="19"/>
        <v>148</v>
      </c>
      <c r="P31" s="219">
        <f t="shared" si="19"/>
        <v>148</v>
      </c>
      <c r="Q31" s="219">
        <f t="shared" si="19"/>
        <v>148</v>
      </c>
      <c r="R31" s="219">
        <f t="shared" si="19"/>
        <v>148</v>
      </c>
      <c r="S31" s="219">
        <f t="shared" si="19"/>
        <v>148</v>
      </c>
      <c r="T31" s="219">
        <f t="shared" si="19"/>
        <v>148</v>
      </c>
      <c r="U31" s="219">
        <f t="shared" si="19"/>
        <v>148</v>
      </c>
      <c r="V31" s="219">
        <f t="shared" si="19"/>
        <v>148</v>
      </c>
      <c r="W31" s="219">
        <f t="shared" si="19"/>
        <v>148</v>
      </c>
      <c r="X31" s="219">
        <f t="shared" si="19"/>
        <v>148</v>
      </c>
      <c r="Y31" s="219">
        <f t="shared" si="19"/>
        <v>148</v>
      </c>
      <c r="Z31" s="219">
        <f t="shared" si="19"/>
        <v>148</v>
      </c>
      <c r="AA31" s="219">
        <f t="shared" si="19"/>
        <v>148</v>
      </c>
      <c r="AB31" s="219">
        <f t="shared" si="19"/>
        <v>148</v>
      </c>
      <c r="AC31" s="219">
        <f t="shared" si="19"/>
        <v>148</v>
      </c>
      <c r="AD31" s="219">
        <f t="shared" si="19"/>
        <v>148</v>
      </c>
      <c r="AE31" s="219">
        <f t="shared" si="19"/>
        <v>148</v>
      </c>
      <c r="AF31" s="219">
        <f t="shared" si="19"/>
        <v>148</v>
      </c>
      <c r="AG31" s="219">
        <f t="shared" si="19"/>
        <v>148</v>
      </c>
      <c r="AH31" s="219">
        <f t="shared" ref="AH31:AY31" si="20">AH30*$E$4</f>
        <v>148</v>
      </c>
      <c r="AI31" s="219">
        <f t="shared" si="20"/>
        <v>148</v>
      </c>
      <c r="AJ31" s="219">
        <f t="shared" si="20"/>
        <v>148</v>
      </c>
      <c r="AK31" s="219">
        <f t="shared" si="20"/>
        <v>148</v>
      </c>
      <c r="AL31" s="219">
        <f t="shared" si="20"/>
        <v>148</v>
      </c>
      <c r="AM31" s="219">
        <f t="shared" si="20"/>
        <v>148</v>
      </c>
      <c r="AN31" s="219">
        <f t="shared" si="20"/>
        <v>148</v>
      </c>
      <c r="AO31" s="219">
        <f t="shared" si="20"/>
        <v>148</v>
      </c>
      <c r="AP31" s="219">
        <f t="shared" si="20"/>
        <v>148</v>
      </c>
      <c r="AQ31" s="219">
        <f t="shared" si="20"/>
        <v>148</v>
      </c>
      <c r="AR31" s="219">
        <f t="shared" si="20"/>
        <v>148</v>
      </c>
      <c r="AS31" s="219">
        <f t="shared" si="20"/>
        <v>148</v>
      </c>
      <c r="AT31" s="219">
        <f t="shared" si="20"/>
        <v>148</v>
      </c>
      <c r="AU31" s="219">
        <f t="shared" si="20"/>
        <v>148</v>
      </c>
      <c r="AV31" s="219">
        <f t="shared" si="20"/>
        <v>148</v>
      </c>
      <c r="AW31" s="219">
        <f t="shared" si="20"/>
        <v>148</v>
      </c>
      <c r="AX31" s="219">
        <f t="shared" si="20"/>
        <v>148</v>
      </c>
      <c r="AY31" s="220">
        <f t="shared" si="20"/>
        <v>148</v>
      </c>
    </row>
    <row r="32" spans="1:51" x14ac:dyDescent="0.35"/>
    <row r="33" spans="1:6" x14ac:dyDescent="0.35"/>
    <row r="47" spans="1:6" hidden="1" x14ac:dyDescent="0.35">
      <c r="A47" s="101" t="s">
        <v>205</v>
      </c>
      <c r="B47" s="101" t="s">
        <v>473</v>
      </c>
    </row>
    <row r="48" spans="1:6" hidden="1" x14ac:dyDescent="0.35">
      <c r="A48" s="101" t="s">
        <v>327</v>
      </c>
      <c r="B48" s="101">
        <f>C6*60</f>
        <v>3000</v>
      </c>
      <c r="E48" s="101">
        <f>SUMPRODUCT(B48:C48,B49:C49)</f>
        <v>3000</v>
      </c>
      <c r="F48" s="101" t="s">
        <v>331</v>
      </c>
    </row>
    <row r="49" spans="1:6" hidden="1" x14ac:dyDescent="0.35">
      <c r="A49" s="101" t="s">
        <v>330</v>
      </c>
      <c r="B49" s="101">
        <v>1</v>
      </c>
      <c r="C49" s="101">
        <v>1</v>
      </c>
    </row>
    <row r="50" spans="1:6" hidden="1" x14ac:dyDescent="0.35">
      <c r="A50" s="101" t="s">
        <v>328</v>
      </c>
      <c r="B50" s="101" t="s">
        <v>482</v>
      </c>
      <c r="C50" s="101" t="s">
        <v>423</v>
      </c>
      <c r="D50" s="101" t="s">
        <v>372</v>
      </c>
    </row>
    <row r="51" spans="1:6" hidden="1" x14ac:dyDescent="0.35">
      <c r="A51" s="101" t="s">
        <v>329</v>
      </c>
      <c r="B51" s="101">
        <v>500</v>
      </c>
      <c r="C51" s="101">
        <f>H4</f>
        <v>2000</v>
      </c>
      <c r="D51" s="101">
        <f>2000/B51*B52+2000/C51*C52</f>
        <v>9</v>
      </c>
      <c r="E51" s="101">
        <f>D51*60/2000</f>
        <v>0.27</v>
      </c>
      <c r="F51" s="101" t="s">
        <v>332</v>
      </c>
    </row>
    <row r="52" spans="1:6" hidden="1" x14ac:dyDescent="0.35">
      <c r="A52" s="101" t="s">
        <v>330</v>
      </c>
      <c r="B52" s="101">
        <f>I3</f>
        <v>2</v>
      </c>
      <c r="C52" s="101">
        <f>I4</f>
        <v>1</v>
      </c>
    </row>
    <row r="53" spans="1:6" x14ac:dyDescent="0.35"/>
  </sheetData>
  <sheetProtection sheet="1" objects="1" scenarios="1"/>
  <protectedRanges>
    <protectedRange sqref="A3:A9 C3:D6 D7:D9 C8:C9 H3:I4" name="Edit cells"/>
  </protectedRanges>
  <mergeCells count="3">
    <mergeCell ref="F5:K5"/>
    <mergeCell ref="A1:D1"/>
    <mergeCell ref="F1:K1"/>
  </mergeCells>
  <pageMargins left="0.7" right="0.7" top="0.75" bottom="0.75" header="0.3" footer="0.3"/>
  <pageSetup scale="84" fitToHeight="0" orientation="landscape" r:id="rId1"/>
  <ignoredErrors>
    <ignoredError sqref="F28:M28 B28:E28 N28:Q28"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DB1AA-DA6F-4AB4-8B57-688FDF2185A8}">
  <sheetPr>
    <pageSetUpPr fitToPage="1"/>
  </sheetPr>
  <dimension ref="A1:S55"/>
  <sheetViews>
    <sheetView showGridLines="0" topLeftCell="A5" zoomScaleNormal="100" workbookViewId="0">
      <selection activeCell="F36" sqref="F36"/>
    </sheetView>
  </sheetViews>
  <sheetFormatPr defaultColWidth="0" defaultRowHeight="16" zeroHeight="1" x14ac:dyDescent="0.4"/>
  <cols>
    <col min="1" max="1" width="2.5" style="108" customWidth="1"/>
    <col min="2" max="2" width="23.83203125" style="108" customWidth="1"/>
    <col min="3" max="3" width="11.58203125" style="108" bestFit="1" customWidth="1"/>
    <col min="4" max="4" width="10.25" style="108" customWidth="1"/>
    <col min="5" max="5" width="8.5" style="108" customWidth="1"/>
    <col min="6" max="6" width="11.33203125" style="108" customWidth="1"/>
    <col min="7" max="7" width="8.5" style="282" customWidth="1"/>
    <col min="8" max="8" width="8.75" style="282" bestFit="1" customWidth="1"/>
    <col min="9" max="9" width="12.1640625" style="282" customWidth="1"/>
    <col min="10" max="10" width="9.08203125" style="108" customWidth="1"/>
    <col min="11" max="11" width="4.83203125" style="108" customWidth="1"/>
    <col min="12" max="12" width="62.25" style="266" hidden="1" customWidth="1"/>
    <col min="13" max="13" width="4.83203125" style="266" hidden="1" customWidth="1"/>
    <col min="14" max="14" width="35.25" style="108" hidden="1" customWidth="1"/>
    <col min="15" max="15" width="15.58203125" style="108" hidden="1" customWidth="1"/>
    <col min="16" max="16" width="17.83203125" style="108" hidden="1" customWidth="1"/>
    <col min="17" max="17" width="15.83203125" style="108" hidden="1" customWidth="1"/>
    <col min="18" max="19" width="12.58203125" style="108" hidden="1" customWidth="1"/>
    <col min="20" max="16384" width="9" style="108" hidden="1"/>
  </cols>
  <sheetData>
    <row r="1" spans="2:15" ht="21" x14ac:dyDescent="0.5">
      <c r="B1" s="475" t="str">
        <f>"Missouri Chinese Chestnut Budget - Establishment (years 1-"&amp;'Long-term Model Summary'!L3-'Long-term Model Summary'!L2&amp;")"</f>
        <v>Missouri Chinese Chestnut Budget - Establishment (years 1-4)</v>
      </c>
      <c r="C1" s="476"/>
      <c r="D1" s="476"/>
      <c r="E1" s="476"/>
      <c r="F1" s="476"/>
      <c r="G1" s="476"/>
      <c r="H1" s="476"/>
      <c r="I1" s="476"/>
      <c r="J1" s="477"/>
      <c r="L1" s="108"/>
      <c r="M1" s="108"/>
    </row>
    <row r="2" spans="2:15" ht="16.5" customHeight="1" x14ac:dyDescent="0.4">
      <c r="B2" s="234"/>
      <c r="C2" s="231"/>
      <c r="D2" s="231"/>
      <c r="E2" s="426" t="s">
        <v>395</v>
      </c>
      <c r="F2" s="426"/>
      <c r="G2" s="426"/>
      <c r="H2" s="427" t="str">
        <f>"Maintenance phase (years 2-"&amp;'Long-term Model Summary'!L3-'Long-term Model Summary'!L2&amp;")"</f>
        <v>Maintenance phase (years 2-4)</v>
      </c>
      <c r="I2" s="428"/>
      <c r="J2" s="429"/>
      <c r="L2" s="108"/>
      <c r="M2" s="108"/>
    </row>
    <row r="3" spans="2:15" ht="32.5" customHeight="1" x14ac:dyDescent="0.4">
      <c r="B3" s="234" t="s">
        <v>114</v>
      </c>
      <c r="C3" s="235" t="s">
        <v>111</v>
      </c>
      <c r="D3" s="283" t="s">
        <v>17</v>
      </c>
      <c r="E3" s="235" t="s">
        <v>1</v>
      </c>
      <c r="F3" s="283" t="s">
        <v>393</v>
      </c>
      <c r="G3" s="283" t="s">
        <v>394</v>
      </c>
      <c r="H3" s="284" t="s">
        <v>1</v>
      </c>
      <c r="I3" s="283" t="s">
        <v>393</v>
      </c>
      <c r="J3" s="285" t="s">
        <v>394</v>
      </c>
      <c r="L3" s="108"/>
      <c r="M3" s="108"/>
    </row>
    <row r="4" spans="2:15" ht="16.5" customHeight="1" x14ac:dyDescent="0.4">
      <c r="B4" s="240" t="s">
        <v>126</v>
      </c>
      <c r="C4" s="221" t="s">
        <v>159</v>
      </c>
      <c r="D4" s="455">
        <f>O25</f>
        <v>284.65000000000003</v>
      </c>
      <c r="E4" s="251"/>
      <c r="F4" s="450">
        <f>D4</f>
        <v>284.65000000000003</v>
      </c>
      <c r="G4" s="450">
        <f>F4/SUM($E$5:$E$6)</f>
        <v>5.2712962962962973</v>
      </c>
      <c r="H4" s="286"/>
      <c r="I4" s="243"/>
      <c r="J4" s="249"/>
      <c r="L4" s="108"/>
      <c r="M4" s="108"/>
      <c r="O4" s="108" t="s">
        <v>169</v>
      </c>
    </row>
    <row r="5" spans="2:15" ht="16.5" customHeight="1" x14ac:dyDescent="0.4">
      <c r="B5" s="240" t="s">
        <v>440</v>
      </c>
      <c r="C5" s="221" t="s">
        <v>187</v>
      </c>
      <c r="D5" s="455">
        <v>30</v>
      </c>
      <c r="E5" s="251">
        <f>Inputs!D5-E6</f>
        <v>40</v>
      </c>
      <c r="F5" s="450">
        <f>D5*E5</f>
        <v>1200</v>
      </c>
      <c r="G5" s="450">
        <f t="shared" ref="G5:G24" si="0">F5/SUM($E$5:$E$6)</f>
        <v>22.222222222222221</v>
      </c>
      <c r="H5" s="286"/>
      <c r="I5" s="340"/>
      <c r="J5" s="447"/>
      <c r="L5" s="108"/>
      <c r="M5" s="108"/>
    </row>
    <row r="6" spans="2:15" ht="16.5" customHeight="1" x14ac:dyDescent="0.4">
      <c r="B6" s="240" t="s">
        <v>501</v>
      </c>
      <c r="C6" s="221" t="s">
        <v>187</v>
      </c>
      <c r="D6" s="455">
        <v>30</v>
      </c>
      <c r="E6" s="251">
        <f>ROUNDUP(Inputs!D5*Inputs!D6,0)</f>
        <v>14</v>
      </c>
      <c r="F6" s="450">
        <f t="shared" ref="F6:F24" si="1">D6*E6</f>
        <v>420</v>
      </c>
      <c r="G6" s="450">
        <f t="shared" si="0"/>
        <v>7.7777777777777777</v>
      </c>
      <c r="H6" s="286"/>
      <c r="I6" s="340"/>
      <c r="J6" s="447"/>
      <c r="L6" s="108"/>
      <c r="M6" s="108"/>
    </row>
    <row r="7" spans="2:15" ht="16.5" customHeight="1" x14ac:dyDescent="0.4">
      <c r="B7" s="240" t="s">
        <v>213</v>
      </c>
      <c r="C7" s="221" t="s">
        <v>212</v>
      </c>
      <c r="D7" s="450">
        <f>Inputs!D23</f>
        <v>18.5</v>
      </c>
      <c r="E7" s="251">
        <f>Labor!B20</f>
        <v>13.5</v>
      </c>
      <c r="F7" s="450">
        <f t="shared" si="1"/>
        <v>249.75</v>
      </c>
      <c r="G7" s="450">
        <f t="shared" si="0"/>
        <v>4.625</v>
      </c>
      <c r="H7" s="286"/>
      <c r="I7" s="340"/>
      <c r="J7" s="447"/>
      <c r="L7" s="108"/>
      <c r="M7" s="108"/>
    </row>
    <row r="8" spans="2:15" ht="16.5" customHeight="1" x14ac:dyDescent="0.4">
      <c r="B8" s="240" t="s">
        <v>134</v>
      </c>
      <c r="C8" s="221"/>
      <c r="D8" s="450"/>
      <c r="E8" s="254"/>
      <c r="F8" s="450">
        <f>SUM(F9:F15)</f>
        <v>355.29999999999995</v>
      </c>
      <c r="G8" s="450">
        <f t="shared" si="0"/>
        <v>6.5796296296296291</v>
      </c>
      <c r="H8" s="286"/>
      <c r="I8" s="450">
        <f>SUM(I9:I15)</f>
        <v>254.9</v>
      </c>
      <c r="J8" s="459">
        <f t="shared" ref="J8:J17" si="2">I8/SUM($E$5:$E$6)</f>
        <v>4.7203703703703708</v>
      </c>
      <c r="L8" s="108"/>
      <c r="M8" s="108"/>
    </row>
    <row r="9" spans="2:15" ht="16.5" customHeight="1" x14ac:dyDescent="0.4">
      <c r="B9" s="253" t="s">
        <v>133</v>
      </c>
      <c r="C9" s="221" t="s">
        <v>135</v>
      </c>
      <c r="D9" s="450">
        <f>Inputs!D21</f>
        <v>25</v>
      </c>
      <c r="E9" s="254">
        <v>4</v>
      </c>
      <c r="F9" s="456">
        <f t="shared" si="1"/>
        <v>100</v>
      </c>
      <c r="G9" s="456">
        <f t="shared" si="0"/>
        <v>1.8518518518518519</v>
      </c>
      <c r="H9" s="287">
        <v>1</v>
      </c>
      <c r="I9" s="460">
        <f>D9*H9</f>
        <v>25</v>
      </c>
      <c r="J9" s="461">
        <f t="shared" si="2"/>
        <v>0.46296296296296297</v>
      </c>
      <c r="L9" s="108"/>
      <c r="M9" s="108"/>
    </row>
    <row r="10" spans="2:15" ht="16.5" customHeight="1" x14ac:dyDescent="0.4">
      <c r="B10" s="253" t="s">
        <v>505</v>
      </c>
      <c r="C10" s="221" t="s">
        <v>506</v>
      </c>
      <c r="D10" s="450">
        <v>20</v>
      </c>
      <c r="E10" s="254">
        <v>3</v>
      </c>
      <c r="F10" s="456">
        <f t="shared" si="1"/>
        <v>60</v>
      </c>
      <c r="G10" s="456"/>
      <c r="H10" s="287">
        <v>3</v>
      </c>
      <c r="I10" s="460">
        <f>D10*H10</f>
        <v>60</v>
      </c>
      <c r="J10" s="461"/>
      <c r="L10" s="108"/>
      <c r="M10" s="108"/>
    </row>
    <row r="11" spans="2:15" ht="16.5" customHeight="1" x14ac:dyDescent="0.4">
      <c r="B11" s="253" t="s">
        <v>130</v>
      </c>
      <c r="C11" s="221" t="s">
        <v>136</v>
      </c>
      <c r="D11" s="450">
        <f>Inputs!D16</f>
        <v>0.48</v>
      </c>
      <c r="E11" s="254">
        <v>40</v>
      </c>
      <c r="F11" s="456">
        <f t="shared" si="1"/>
        <v>19.2</v>
      </c>
      <c r="G11" s="456">
        <f t="shared" si="0"/>
        <v>0.35555555555555557</v>
      </c>
      <c r="H11" s="287">
        <v>100</v>
      </c>
      <c r="I11" s="460">
        <f t="shared" ref="I11:I24" si="3">D11*H11</f>
        <v>48</v>
      </c>
      <c r="J11" s="461">
        <f t="shared" si="2"/>
        <v>0.88888888888888884</v>
      </c>
      <c r="L11" s="108"/>
      <c r="M11" s="108"/>
    </row>
    <row r="12" spans="2:15" ht="16.5" customHeight="1" x14ac:dyDescent="0.4">
      <c r="B12" s="253" t="s">
        <v>131</v>
      </c>
      <c r="C12" s="221" t="s">
        <v>136</v>
      </c>
      <c r="D12" s="450">
        <f>Inputs!D17</f>
        <v>0.61</v>
      </c>
      <c r="E12" s="254">
        <v>60</v>
      </c>
      <c r="F12" s="456">
        <f t="shared" si="1"/>
        <v>36.6</v>
      </c>
      <c r="G12" s="456">
        <f t="shared" si="0"/>
        <v>0.67777777777777781</v>
      </c>
      <c r="H12" s="287">
        <v>30</v>
      </c>
      <c r="I12" s="460">
        <f t="shared" si="3"/>
        <v>18.3</v>
      </c>
      <c r="J12" s="461">
        <f t="shared" si="2"/>
        <v>0.33888888888888891</v>
      </c>
      <c r="L12" s="108"/>
      <c r="M12" s="108"/>
    </row>
    <row r="13" spans="2:15" ht="16.5" customHeight="1" x14ac:dyDescent="0.4">
      <c r="B13" s="253" t="s">
        <v>132</v>
      </c>
      <c r="C13" s="221" t="s">
        <v>136</v>
      </c>
      <c r="D13" s="450">
        <f>Inputs!D18</f>
        <v>0.62</v>
      </c>
      <c r="E13" s="254">
        <v>100</v>
      </c>
      <c r="F13" s="456">
        <f t="shared" si="1"/>
        <v>62</v>
      </c>
      <c r="G13" s="456">
        <f t="shared" si="0"/>
        <v>1.1481481481481481</v>
      </c>
      <c r="H13" s="287">
        <v>30</v>
      </c>
      <c r="I13" s="460">
        <f t="shared" si="3"/>
        <v>18.600000000000001</v>
      </c>
      <c r="J13" s="461">
        <f t="shared" si="2"/>
        <v>0.3444444444444445</v>
      </c>
      <c r="L13" s="108"/>
      <c r="M13" s="108"/>
    </row>
    <row r="14" spans="2:15" ht="16.5" customHeight="1" x14ac:dyDescent="0.4">
      <c r="B14" s="253" t="s">
        <v>137</v>
      </c>
      <c r="C14" s="221" t="s">
        <v>136</v>
      </c>
      <c r="D14" s="450">
        <f>Inputs!H15</f>
        <v>1.75</v>
      </c>
      <c r="E14" s="254">
        <v>10</v>
      </c>
      <c r="F14" s="456">
        <f t="shared" si="1"/>
        <v>17.5</v>
      </c>
      <c r="G14" s="456">
        <f t="shared" si="0"/>
        <v>0.32407407407407407</v>
      </c>
      <c r="H14" s="287">
        <v>40</v>
      </c>
      <c r="I14" s="460">
        <f t="shared" si="3"/>
        <v>70</v>
      </c>
      <c r="J14" s="461">
        <f t="shared" si="2"/>
        <v>1.2962962962962963</v>
      </c>
      <c r="L14" s="288"/>
      <c r="M14" s="108"/>
    </row>
    <row r="15" spans="2:15" ht="16.5" customHeight="1" x14ac:dyDescent="0.4">
      <c r="B15" s="253" t="s">
        <v>127</v>
      </c>
      <c r="C15" s="221" t="s">
        <v>129</v>
      </c>
      <c r="D15" s="450">
        <f>Inputs!D19</f>
        <v>30</v>
      </c>
      <c r="E15" s="256">
        <v>2</v>
      </c>
      <c r="F15" s="456">
        <f t="shared" si="1"/>
        <v>60</v>
      </c>
      <c r="G15" s="456">
        <f t="shared" si="0"/>
        <v>1.1111111111111112</v>
      </c>
      <c r="H15" s="289">
        <v>0.5</v>
      </c>
      <c r="I15" s="460">
        <f t="shared" si="3"/>
        <v>15</v>
      </c>
      <c r="J15" s="461">
        <f t="shared" si="2"/>
        <v>0.27777777777777779</v>
      </c>
      <c r="L15" s="288"/>
      <c r="M15" s="108"/>
    </row>
    <row r="16" spans="2:15" ht="16.5" customHeight="1" x14ac:dyDescent="0.4">
      <c r="B16" s="253" t="s">
        <v>511</v>
      </c>
      <c r="C16" s="221" t="s">
        <v>136</v>
      </c>
      <c r="D16" s="450">
        <f>Inputs!D20</f>
        <v>4.5</v>
      </c>
      <c r="E16" s="256">
        <v>0</v>
      </c>
      <c r="F16" s="456"/>
      <c r="G16" s="456"/>
      <c r="H16" s="289">
        <v>0</v>
      </c>
      <c r="I16" s="460"/>
      <c r="J16" s="461"/>
      <c r="L16" s="288"/>
      <c r="M16" s="108"/>
    </row>
    <row r="17" spans="2:17" ht="16.5" customHeight="1" x14ac:dyDescent="0.4">
      <c r="B17" s="240" t="s">
        <v>176</v>
      </c>
      <c r="C17" s="221"/>
      <c r="D17" s="450"/>
      <c r="E17" s="241"/>
      <c r="F17" s="450">
        <f>SUM(F18:F21)</f>
        <v>90</v>
      </c>
      <c r="G17" s="450">
        <f t="shared" si="0"/>
        <v>1.6666666666666667</v>
      </c>
      <c r="H17" s="290"/>
      <c r="I17" s="450">
        <f>SUM(I18:I21)</f>
        <v>85</v>
      </c>
      <c r="J17" s="459">
        <f t="shared" si="2"/>
        <v>1.5740740740740742</v>
      </c>
      <c r="L17" s="288"/>
      <c r="M17" s="108"/>
      <c r="N17" s="108" t="s">
        <v>404</v>
      </c>
      <c r="P17" s="108" t="s">
        <v>414</v>
      </c>
    </row>
    <row r="18" spans="2:17" ht="16.5" customHeight="1" x14ac:dyDescent="0.4">
      <c r="B18" s="253" t="str">
        <f>Inputs!F16</f>
        <v>Broadcast herbicide</v>
      </c>
      <c r="C18" s="221" t="s">
        <v>158</v>
      </c>
      <c r="D18" s="450">
        <f>Inputs!H16</f>
        <v>15</v>
      </c>
      <c r="E18" s="256">
        <v>2</v>
      </c>
      <c r="F18" s="456">
        <f t="shared" si="1"/>
        <v>30</v>
      </c>
      <c r="G18" s="456">
        <f t="shared" si="0"/>
        <v>0.55555555555555558</v>
      </c>
      <c r="H18" s="289">
        <v>1</v>
      </c>
      <c r="I18" s="456">
        <f t="shared" si="3"/>
        <v>15</v>
      </c>
      <c r="J18" s="462">
        <f t="shared" ref="J18:J24" si="4">I18/SUM($E$5:$E$6)</f>
        <v>0.27777777777777779</v>
      </c>
      <c r="L18" s="108"/>
      <c r="M18" s="108"/>
      <c r="N18" s="108" t="s">
        <v>405</v>
      </c>
      <c r="O18" s="108">
        <v>27.1</v>
      </c>
    </row>
    <row r="19" spans="2:17" ht="16.5" customHeight="1" x14ac:dyDescent="0.4">
      <c r="B19" s="253" t="s">
        <v>226</v>
      </c>
      <c r="C19" s="221" t="s">
        <v>158</v>
      </c>
      <c r="D19" s="450">
        <f>Inputs!H17</f>
        <v>10</v>
      </c>
      <c r="E19" s="256">
        <v>2</v>
      </c>
      <c r="F19" s="456">
        <f t="shared" si="1"/>
        <v>20</v>
      </c>
      <c r="G19" s="456">
        <f t="shared" si="0"/>
        <v>0.37037037037037035</v>
      </c>
      <c r="H19" s="289">
        <v>3</v>
      </c>
      <c r="I19" s="456">
        <f t="shared" si="3"/>
        <v>30</v>
      </c>
      <c r="J19" s="462">
        <f t="shared" si="4"/>
        <v>0.55555555555555558</v>
      </c>
      <c r="L19" s="108"/>
      <c r="M19" s="108"/>
      <c r="N19" s="108" t="s">
        <v>406</v>
      </c>
      <c r="O19" s="108">
        <v>23.81</v>
      </c>
    </row>
    <row r="20" spans="2:17" ht="16.5" customHeight="1" x14ac:dyDescent="0.4">
      <c r="B20" s="253" t="str">
        <f>Inputs!F19</f>
        <v>Fungicide</v>
      </c>
      <c r="C20" s="221" t="s">
        <v>121</v>
      </c>
      <c r="D20" s="450">
        <f>Inputs!H19</f>
        <v>25</v>
      </c>
      <c r="E20" s="254">
        <v>0</v>
      </c>
      <c r="F20" s="456">
        <f t="shared" si="1"/>
        <v>0</v>
      </c>
      <c r="G20" s="456">
        <f t="shared" si="0"/>
        <v>0</v>
      </c>
      <c r="H20" s="287">
        <v>0</v>
      </c>
      <c r="I20" s="456">
        <f t="shared" si="3"/>
        <v>0</v>
      </c>
      <c r="J20" s="462">
        <f t="shared" si="4"/>
        <v>0</v>
      </c>
      <c r="L20" s="108"/>
      <c r="M20" s="108"/>
      <c r="N20" s="108" t="s">
        <v>407</v>
      </c>
      <c r="O20" s="108">
        <v>24.77</v>
      </c>
    </row>
    <row r="21" spans="2:17" ht="16.5" customHeight="1" x14ac:dyDescent="0.4">
      <c r="B21" s="253" t="str">
        <f>Inputs!F18</f>
        <v>Insecticide</v>
      </c>
      <c r="C21" s="221" t="s">
        <v>121</v>
      </c>
      <c r="D21" s="450">
        <f>Inputs!H18</f>
        <v>40</v>
      </c>
      <c r="E21" s="254">
        <v>1</v>
      </c>
      <c r="F21" s="456">
        <f t="shared" si="1"/>
        <v>40</v>
      </c>
      <c r="G21" s="456">
        <f t="shared" si="0"/>
        <v>0.7407407407407407</v>
      </c>
      <c r="H21" s="287">
        <v>1</v>
      </c>
      <c r="I21" s="456">
        <f t="shared" si="3"/>
        <v>40</v>
      </c>
      <c r="J21" s="462">
        <f t="shared" si="4"/>
        <v>0.7407407407407407</v>
      </c>
      <c r="K21" s="109"/>
      <c r="L21" s="109"/>
      <c r="M21" s="109"/>
      <c r="N21" s="131" t="s">
        <v>408</v>
      </c>
      <c r="O21" s="108">
        <v>125</v>
      </c>
    </row>
    <row r="22" spans="2:17" ht="16.5" customHeight="1" x14ac:dyDescent="0.4">
      <c r="B22" s="240" t="s">
        <v>69</v>
      </c>
      <c r="C22" s="221" t="s">
        <v>212</v>
      </c>
      <c r="D22" s="450">
        <f>Inputs!D23</f>
        <v>18.5</v>
      </c>
      <c r="E22" s="251">
        <f>Labor!B22+Labor!B28+Labor!B30+Labor!B20</f>
        <v>30.5</v>
      </c>
      <c r="F22" s="450">
        <f t="shared" si="1"/>
        <v>564.25</v>
      </c>
      <c r="G22" s="450">
        <f t="shared" si="0"/>
        <v>10.449074074074074</v>
      </c>
      <c r="H22" s="291">
        <f>Labor!E22+Labor!E28+Labor!E30+Labor!E20</f>
        <v>20.5</v>
      </c>
      <c r="I22" s="450">
        <f t="shared" si="3"/>
        <v>379.25</v>
      </c>
      <c r="J22" s="459">
        <f t="shared" si="4"/>
        <v>7.0231481481481479</v>
      </c>
      <c r="K22" s="109"/>
      <c r="L22" s="109"/>
      <c r="M22" s="109"/>
      <c r="N22" s="131" t="s">
        <v>407</v>
      </c>
      <c r="O22" s="108">
        <v>24.77</v>
      </c>
    </row>
    <row r="23" spans="2:17" ht="16.5" customHeight="1" x14ac:dyDescent="0.4">
      <c r="B23" s="240" t="s">
        <v>153</v>
      </c>
      <c r="C23" s="221" t="s">
        <v>154</v>
      </c>
      <c r="D23" s="450">
        <f>Inputs!D15</f>
        <v>4.5</v>
      </c>
      <c r="E23" s="254">
        <v>6</v>
      </c>
      <c r="F23" s="450">
        <f t="shared" si="1"/>
        <v>27</v>
      </c>
      <c r="G23" s="450">
        <f t="shared" si="0"/>
        <v>0.5</v>
      </c>
      <c r="H23" s="287">
        <v>6</v>
      </c>
      <c r="I23" s="450">
        <f t="shared" si="3"/>
        <v>27</v>
      </c>
      <c r="J23" s="459">
        <f t="shared" si="4"/>
        <v>0.5</v>
      </c>
      <c r="K23" s="109"/>
      <c r="L23" s="109"/>
      <c r="M23" s="109"/>
      <c r="N23" s="109" t="s">
        <v>409</v>
      </c>
      <c r="O23" s="108">
        <v>35.4</v>
      </c>
      <c r="P23" s="108" t="s">
        <v>410</v>
      </c>
      <c r="Q23" s="108" t="s">
        <v>412</v>
      </c>
    </row>
    <row r="24" spans="2:17" ht="16.5" customHeight="1" x14ac:dyDescent="0.4">
      <c r="B24" s="240" t="s">
        <v>151</v>
      </c>
      <c r="C24" s="221" t="s">
        <v>152</v>
      </c>
      <c r="D24" s="450">
        <f>Inputs!H20</f>
        <v>10</v>
      </c>
      <c r="E24" s="254">
        <v>3</v>
      </c>
      <c r="F24" s="450">
        <f t="shared" si="1"/>
        <v>30</v>
      </c>
      <c r="G24" s="450">
        <f t="shared" si="0"/>
        <v>0.55555555555555558</v>
      </c>
      <c r="H24" s="287">
        <v>5</v>
      </c>
      <c r="I24" s="450">
        <f t="shared" si="3"/>
        <v>50</v>
      </c>
      <c r="J24" s="459">
        <f t="shared" si="4"/>
        <v>0.92592592592592593</v>
      </c>
      <c r="K24" s="109"/>
      <c r="L24" s="109"/>
      <c r="M24" s="109"/>
      <c r="N24" s="109" t="s">
        <v>413</v>
      </c>
      <c r="O24" s="108">
        <v>23.8</v>
      </c>
      <c r="P24" s="108" t="s">
        <v>411</v>
      </c>
    </row>
    <row r="25" spans="2:17" ht="16.5" customHeight="1" x14ac:dyDescent="0.4">
      <c r="B25" s="240" t="s">
        <v>150</v>
      </c>
      <c r="C25" s="131"/>
      <c r="D25" s="131"/>
      <c r="E25" s="251"/>
      <c r="F25" s="337">
        <v>300</v>
      </c>
      <c r="G25" s="450"/>
      <c r="H25" s="291"/>
      <c r="I25" s="337">
        <v>150</v>
      </c>
      <c r="J25" s="459"/>
      <c r="L25" s="108"/>
      <c r="M25" s="108"/>
      <c r="O25" s="108">
        <f>SUM(O18:O24)</f>
        <v>284.65000000000003</v>
      </c>
    </row>
    <row r="26" spans="2:17" ht="16.5" customHeight="1" x14ac:dyDescent="0.4">
      <c r="B26" s="481" t="s">
        <v>149</v>
      </c>
      <c r="C26" s="482"/>
      <c r="D26" s="131"/>
      <c r="E26" s="258"/>
      <c r="F26" s="340">
        <f>IF(Investment!H2=Investment!$I$132,Investment!P19/2,Investment!P40/2)/Inputs!D3</f>
        <v>167</v>
      </c>
      <c r="G26" s="457"/>
      <c r="H26" s="292"/>
      <c r="I26" s="340">
        <f>IF(Investment!H2=Investment!$I$132,Investment!P19/2,Investment!P40/2)/Inputs!D3</f>
        <v>167</v>
      </c>
      <c r="J26" s="463"/>
      <c r="K26" s="109"/>
      <c r="L26" s="109"/>
      <c r="M26" s="109"/>
      <c r="N26" s="109"/>
    </row>
    <row r="27" spans="2:17" ht="16.5" customHeight="1" x14ac:dyDescent="0.4">
      <c r="B27" s="240" t="s">
        <v>371</v>
      </c>
      <c r="C27" s="131"/>
      <c r="D27" s="131"/>
      <c r="E27" s="258"/>
      <c r="F27" s="337"/>
      <c r="G27" s="457"/>
      <c r="H27" s="292"/>
      <c r="I27" s="337"/>
      <c r="J27" s="463"/>
      <c r="K27" s="109"/>
      <c r="L27" s="109"/>
      <c r="M27" s="109"/>
      <c r="N27" s="109"/>
    </row>
    <row r="28" spans="2:17" ht="16.5" customHeight="1" x14ac:dyDescent="0.4">
      <c r="B28" s="240" t="s">
        <v>23</v>
      </c>
      <c r="C28" s="131"/>
      <c r="D28" s="131"/>
      <c r="E28" s="131"/>
      <c r="F28" s="337">
        <v>10</v>
      </c>
      <c r="G28" s="457"/>
      <c r="H28" s="240"/>
      <c r="I28" s="337">
        <v>10</v>
      </c>
      <c r="J28" s="463"/>
      <c r="K28" s="109"/>
      <c r="L28" s="109"/>
      <c r="M28" s="109"/>
      <c r="N28" s="109"/>
    </row>
    <row r="29" spans="2:17" ht="16.5" customHeight="1" x14ac:dyDescent="0.4">
      <c r="B29" s="174" t="s">
        <v>38</v>
      </c>
      <c r="C29" s="175"/>
      <c r="D29" s="175"/>
      <c r="E29" s="175"/>
      <c r="F29" s="338">
        <v>10</v>
      </c>
      <c r="G29" s="458"/>
      <c r="H29" s="174"/>
      <c r="I29" s="338">
        <v>10</v>
      </c>
      <c r="J29" s="464"/>
      <c r="K29" s="109"/>
      <c r="L29" s="109"/>
      <c r="M29" s="109"/>
      <c r="N29" s="109"/>
    </row>
    <row r="30" spans="2:17" ht="16.5" customHeight="1" x14ac:dyDescent="0.4">
      <c r="B30" s="293" t="s">
        <v>415</v>
      </c>
      <c r="C30" s="294"/>
      <c r="D30" s="295"/>
      <c r="E30" s="296">
        <f>Inputs!H21</f>
        <v>0.08</v>
      </c>
      <c r="F30" s="465">
        <f>SUM(F4:F29)*E30</f>
        <v>332.26</v>
      </c>
      <c r="G30" s="468"/>
      <c r="H30" s="297"/>
      <c r="I30" s="465">
        <f>SUM(I4:I29)*E30</f>
        <v>117.84399999999999</v>
      </c>
      <c r="J30" s="466"/>
      <c r="K30" s="109"/>
      <c r="L30" s="109"/>
      <c r="M30" s="109"/>
      <c r="N30" s="109"/>
    </row>
    <row r="31" spans="2:17" ht="16.5" customHeight="1" x14ac:dyDescent="0.4">
      <c r="B31" s="430" t="s">
        <v>373</v>
      </c>
      <c r="C31" s="431"/>
      <c r="D31" s="431"/>
      <c r="E31" s="431"/>
      <c r="F31" s="467">
        <f>SUM(F4:F8,F17,F22:F29,F30)</f>
        <v>4040.21</v>
      </c>
      <c r="G31" s="467">
        <f>SUM(G4:G29)</f>
        <v>66.782407407407419</v>
      </c>
      <c r="H31" s="286">
        <f>SUM(H8,H17,H22:H29)</f>
        <v>31.5</v>
      </c>
      <c r="I31" s="467">
        <f>SUM(I4:I8,I17,I22:I29,I30)</f>
        <v>1250.9940000000001</v>
      </c>
      <c r="J31" s="447">
        <f>H31/Inputs!$D$5</f>
        <v>0.58333333333333337</v>
      </c>
      <c r="K31" s="109"/>
      <c r="L31" s="109"/>
      <c r="M31" s="109"/>
      <c r="N31" s="109"/>
    </row>
    <row r="32" spans="2:17" ht="16.5" customHeight="1" x14ac:dyDescent="0.4">
      <c r="B32" s="234" t="s">
        <v>4</v>
      </c>
      <c r="C32" s="235"/>
      <c r="D32" s="235"/>
      <c r="E32" s="235"/>
      <c r="F32" s="235"/>
      <c r="G32" s="298"/>
      <c r="H32" s="235"/>
      <c r="I32" s="236"/>
      <c r="J32" s="237"/>
      <c r="K32" s="109"/>
      <c r="L32" s="109"/>
      <c r="M32" s="109"/>
      <c r="N32" s="109"/>
    </row>
    <row r="33" spans="2:13" ht="16.5" customHeight="1" x14ac:dyDescent="0.4">
      <c r="B33" s="144" t="s">
        <v>139</v>
      </c>
      <c r="F33" s="340">
        <f>Inputs!AB37/Inputs!D3/2</f>
        <v>280.74208333333337</v>
      </c>
      <c r="G33" s="447">
        <f>F33/Inputs!$D$5</f>
        <v>5.1989274691358034</v>
      </c>
      <c r="H33" s="252"/>
      <c r="I33" s="340">
        <f>Inputs!AB37/Inputs!D3/2</f>
        <v>280.74208333333337</v>
      </c>
      <c r="J33" s="447">
        <f>I33/Inputs!$D$5</f>
        <v>5.1989274691358034</v>
      </c>
      <c r="L33" s="108"/>
      <c r="M33" s="108"/>
    </row>
    <row r="34" spans="2:13" ht="16.5" customHeight="1" x14ac:dyDescent="0.4">
      <c r="B34" s="481" t="s">
        <v>112</v>
      </c>
      <c r="C34" s="482"/>
      <c r="E34" s="261">
        <f>Inputs!H22</f>
        <v>7.0000000000000007E-2</v>
      </c>
      <c r="F34" s="340">
        <f>Inputs!AC37/Inputs!D3/2</f>
        <v>260.15718750000002</v>
      </c>
      <c r="G34" s="447">
        <f>F34/Inputs!$D$5</f>
        <v>4.8177256944444444</v>
      </c>
      <c r="H34" s="252"/>
      <c r="I34" s="340">
        <f>Inputs!AC37/Inputs!D3/2</f>
        <v>260.15718750000002</v>
      </c>
      <c r="J34" s="447">
        <f>I34/Inputs!$D$5</f>
        <v>4.8177256944444444</v>
      </c>
      <c r="L34" s="108"/>
      <c r="M34" s="108"/>
    </row>
    <row r="35" spans="2:13" ht="16.5" customHeight="1" x14ac:dyDescent="0.4">
      <c r="B35" s="144" t="s">
        <v>120</v>
      </c>
      <c r="F35" s="337">
        <v>200</v>
      </c>
      <c r="G35" s="447">
        <f>F35/Inputs!$D$5</f>
        <v>3.7037037037037037</v>
      </c>
      <c r="H35" s="252"/>
      <c r="I35" s="337">
        <v>200</v>
      </c>
      <c r="J35" s="447">
        <f>I35/Inputs!$D$5</f>
        <v>3.7037037037037037</v>
      </c>
      <c r="L35" s="108"/>
      <c r="M35" s="108"/>
    </row>
    <row r="36" spans="2:13" ht="16.5" customHeight="1" x14ac:dyDescent="0.4">
      <c r="B36" s="411" t="s">
        <v>113</v>
      </c>
      <c r="C36" s="412"/>
      <c r="D36" s="176"/>
      <c r="E36" s="176"/>
      <c r="F36" s="338">
        <v>200</v>
      </c>
      <c r="G36" s="449">
        <f>F36/Inputs!$D$5</f>
        <v>3.7037037037037037</v>
      </c>
      <c r="H36" s="299"/>
      <c r="I36" s="338">
        <v>200</v>
      </c>
      <c r="J36" s="449">
        <f>I36/Inputs!$D$5</f>
        <v>3.7037037037037037</v>
      </c>
      <c r="L36" s="108"/>
      <c r="M36" s="108"/>
    </row>
    <row r="37" spans="2:13" ht="16.5" customHeight="1" x14ac:dyDescent="0.4">
      <c r="B37" s="422" t="s">
        <v>214</v>
      </c>
      <c r="C37" s="423"/>
      <c r="D37" s="423"/>
      <c r="E37" s="423"/>
      <c r="F37" s="340">
        <f>SUM(F33:F36)</f>
        <v>940.89927083333339</v>
      </c>
      <c r="G37" s="447">
        <f>F37/Inputs!$D$5</f>
        <v>17.424060570987656</v>
      </c>
      <c r="H37" s="252"/>
      <c r="I37" s="340">
        <f>SUM(I33:I36)</f>
        <v>940.89927083333339</v>
      </c>
      <c r="J37" s="447">
        <f>I37/Inputs!$D$5</f>
        <v>17.424060570987656</v>
      </c>
      <c r="L37" s="108"/>
      <c r="M37" s="108"/>
    </row>
    <row r="38" spans="2:13" ht="16.5" customHeight="1" thickBot="1" x14ac:dyDescent="0.45">
      <c r="B38" s="424" t="s">
        <v>397</v>
      </c>
      <c r="C38" s="425"/>
      <c r="D38" s="425"/>
      <c r="E38" s="425"/>
      <c r="F38" s="469">
        <f>F31+F37</f>
        <v>4981.1092708333335</v>
      </c>
      <c r="G38" s="470">
        <f>G37+G31</f>
        <v>84.206467978395068</v>
      </c>
      <c r="H38" s="300"/>
      <c r="I38" s="469">
        <f>I37+I31</f>
        <v>2191.8932708333336</v>
      </c>
      <c r="J38" s="470">
        <f>J37+J31</f>
        <v>18.007393904320988</v>
      </c>
      <c r="L38" s="108"/>
      <c r="M38" s="108"/>
    </row>
    <row r="39" spans="2:13" ht="16.5" customHeight="1" x14ac:dyDescent="0.4">
      <c r="L39" s="108"/>
      <c r="M39" s="108"/>
    </row>
    <row r="40" spans="2:13" x14ac:dyDescent="0.4">
      <c r="L40" s="108"/>
      <c r="M40" s="108"/>
    </row>
    <row r="41" spans="2:13" hidden="1" x14ac:dyDescent="0.4">
      <c r="J41" s="239"/>
      <c r="L41" s="108"/>
      <c r="M41" s="108"/>
    </row>
    <row r="42" spans="2:13" hidden="1" x14ac:dyDescent="0.4">
      <c r="B42" s="239"/>
      <c r="C42" s="239"/>
      <c r="D42" s="239"/>
      <c r="E42" s="239"/>
      <c r="F42" s="239"/>
      <c r="G42" s="239"/>
      <c r="H42" s="239"/>
      <c r="I42" s="239"/>
      <c r="J42" s="239"/>
      <c r="K42" s="239"/>
      <c r="L42" s="239"/>
      <c r="M42" s="239"/>
    </row>
    <row r="43" spans="2:13" hidden="1" x14ac:dyDescent="0.4">
      <c r="B43" s="280"/>
      <c r="C43" s="280"/>
      <c r="D43" s="280"/>
      <c r="E43" s="280"/>
      <c r="F43" s="280"/>
      <c r="G43" s="239"/>
      <c r="H43" s="239"/>
      <c r="I43" s="239"/>
      <c r="J43" s="239"/>
      <c r="K43" s="239"/>
      <c r="L43" s="239"/>
      <c r="M43" s="239"/>
    </row>
    <row r="44" spans="2:13" hidden="1" x14ac:dyDescent="0.4">
      <c r="B44" s="280"/>
      <c r="C44" s="280"/>
      <c r="D44" s="280"/>
      <c r="E44" s="280"/>
      <c r="F44" s="280"/>
      <c r="G44" s="245"/>
      <c r="H44" s="245"/>
      <c r="I44" s="245"/>
      <c r="J44" s="248"/>
      <c r="K44" s="239"/>
      <c r="L44" s="239"/>
      <c r="M44" s="239"/>
    </row>
    <row r="45" spans="2:13" hidden="1" x14ac:dyDescent="0.4">
      <c r="B45" s="281"/>
      <c r="C45" s="281"/>
      <c r="D45" s="281"/>
      <c r="E45" s="281"/>
      <c r="F45" s="281"/>
      <c r="G45" s="248"/>
      <c r="H45" s="248"/>
      <c r="I45" s="248"/>
      <c r="J45" s="248"/>
      <c r="K45" s="248"/>
      <c r="L45" s="248"/>
      <c r="M45" s="248"/>
    </row>
    <row r="46" spans="2:13" hidden="1" x14ac:dyDescent="0.4">
      <c r="B46" s="281"/>
      <c r="C46" s="281"/>
      <c r="D46" s="281"/>
      <c r="E46" s="281"/>
      <c r="F46" s="281"/>
      <c r="G46" s="248"/>
      <c r="H46" s="248"/>
      <c r="I46" s="248"/>
      <c r="J46" s="248"/>
      <c r="K46" s="248"/>
      <c r="L46" s="248"/>
      <c r="M46" s="248"/>
    </row>
    <row r="47" spans="2:13" hidden="1" x14ac:dyDescent="0.4">
      <c r="B47" s="281"/>
      <c r="C47" s="281"/>
      <c r="D47" s="281"/>
      <c r="E47" s="281"/>
      <c r="F47" s="281"/>
      <c r="G47" s="248"/>
      <c r="H47" s="248"/>
      <c r="I47" s="248"/>
      <c r="J47" s="248"/>
      <c r="K47" s="248"/>
      <c r="L47" s="248"/>
      <c r="M47" s="248"/>
    </row>
    <row r="48" spans="2:13" hidden="1" x14ac:dyDescent="0.4">
      <c r="B48" s="281"/>
      <c r="C48" s="281"/>
      <c r="D48" s="281"/>
      <c r="E48" s="281"/>
      <c r="F48" s="281"/>
      <c r="G48" s="248"/>
      <c r="H48" s="248"/>
      <c r="I48" s="248"/>
      <c r="J48" s="248"/>
      <c r="K48" s="248"/>
      <c r="L48" s="248"/>
      <c r="M48" s="248"/>
    </row>
    <row r="49" spans="2:13" hidden="1" x14ac:dyDescent="0.4">
      <c r="B49" s="281"/>
      <c r="C49" s="281"/>
      <c r="D49" s="281"/>
      <c r="E49" s="281"/>
      <c r="F49" s="281"/>
      <c r="G49" s="248"/>
      <c r="H49" s="248"/>
      <c r="I49" s="248"/>
      <c r="J49" s="248"/>
      <c r="K49" s="248"/>
      <c r="L49" s="248"/>
      <c r="M49" s="248"/>
    </row>
    <row r="50" spans="2:13" hidden="1" x14ac:dyDescent="0.4">
      <c r="B50" s="281"/>
      <c r="C50" s="281"/>
      <c r="D50" s="281"/>
      <c r="E50" s="281"/>
      <c r="F50" s="281"/>
      <c r="G50" s="248"/>
      <c r="H50" s="248"/>
      <c r="I50" s="248"/>
      <c r="J50" s="248"/>
      <c r="K50" s="248"/>
      <c r="L50" s="248"/>
      <c r="M50" s="248"/>
    </row>
    <row r="51" spans="2:13" hidden="1" x14ac:dyDescent="0.4">
      <c r="B51" s="281"/>
      <c r="C51" s="281"/>
      <c r="D51" s="281"/>
      <c r="E51" s="281"/>
      <c r="F51" s="281"/>
      <c r="G51" s="248"/>
      <c r="H51" s="248"/>
      <c r="I51" s="248"/>
      <c r="J51" s="248"/>
      <c r="K51" s="248"/>
      <c r="L51" s="248"/>
      <c r="M51" s="248"/>
    </row>
    <row r="52" spans="2:13" hidden="1" x14ac:dyDescent="0.4">
      <c r="B52" s="281"/>
      <c r="C52" s="281"/>
      <c r="D52" s="281"/>
      <c r="E52" s="281"/>
      <c r="F52" s="281"/>
      <c r="G52" s="248"/>
      <c r="H52" s="248"/>
      <c r="I52" s="248"/>
      <c r="J52" s="248"/>
      <c r="K52" s="248"/>
      <c r="L52" s="248"/>
      <c r="M52" s="248"/>
    </row>
    <row r="53" spans="2:13" hidden="1" x14ac:dyDescent="0.4">
      <c r="B53" s="281"/>
      <c r="C53" s="281"/>
      <c r="D53" s="281"/>
      <c r="E53" s="281"/>
      <c r="F53" s="281"/>
      <c r="G53" s="248"/>
      <c r="H53" s="248"/>
      <c r="I53" s="248"/>
      <c r="J53" s="248"/>
      <c r="K53" s="248"/>
      <c r="L53" s="248"/>
      <c r="M53" s="248"/>
    </row>
    <row r="54" spans="2:13" hidden="1" x14ac:dyDescent="0.4">
      <c r="J54" s="248"/>
      <c r="K54" s="248"/>
      <c r="L54" s="248"/>
      <c r="M54" s="248"/>
    </row>
    <row r="55" spans="2:13" hidden="1" x14ac:dyDescent="0.4">
      <c r="K55" s="248"/>
      <c r="L55" s="248"/>
      <c r="M55" s="248"/>
    </row>
  </sheetData>
  <sheetProtection sheet="1" objects="1" scenarios="1"/>
  <protectedRanges>
    <protectedRange sqref="D4:D6 E8:E16 E18:E21 E23:E24 F25 F27:F29 F35:F36 I35:I36 I27:I29 I25 H23:H24 H18:H21 H9:H16" name="Edit cells"/>
  </protectedRanges>
  <mergeCells count="9">
    <mergeCell ref="B37:E37"/>
    <mergeCell ref="B38:E38"/>
    <mergeCell ref="B1:J1"/>
    <mergeCell ref="E2:G2"/>
    <mergeCell ref="H2:J2"/>
    <mergeCell ref="B31:E31"/>
    <mergeCell ref="B26:C26"/>
    <mergeCell ref="B34:C34"/>
    <mergeCell ref="B36:C36"/>
  </mergeCells>
  <phoneticPr fontId="10" type="noConversion"/>
  <dataValidations disablePrompts="1" count="1">
    <dataValidation type="list" allowBlank="1" showInputMessage="1" showErrorMessage="1" sqref="B45:F53" xr:uid="{0615019E-8B30-4BAF-84D9-A7B77E6EB4C0}">
      <formula1>Implements</formula1>
    </dataValidation>
  </dataValidations>
  <pageMargins left="0.7" right="0.7" top="0.75" bottom="0.75" header="0.3" footer="0.3"/>
  <pageSetup scale="81" orientation="portrait" r:id="rId1"/>
  <rowBreaks count="1" manualBreakCount="1">
    <brk id="54" max="16383" man="1"/>
  </rowBreaks>
  <colBreaks count="2" manualBreakCount="2">
    <brk id="9" max="1048575" man="1"/>
    <brk id="1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CD089-1462-499A-B603-5298311E46FC}">
  <sheetPr>
    <pageSetUpPr fitToPage="1"/>
  </sheetPr>
  <dimension ref="A1:AE58"/>
  <sheetViews>
    <sheetView showGridLines="0" topLeftCell="A15" workbookViewId="0">
      <selection activeCell="F16" sqref="F16"/>
    </sheetView>
  </sheetViews>
  <sheetFormatPr defaultColWidth="0" defaultRowHeight="16" zeroHeight="1" x14ac:dyDescent="0.4"/>
  <cols>
    <col min="1" max="1" width="2.5" style="108" customWidth="1"/>
    <col min="2" max="2" width="32.33203125" style="108" customWidth="1"/>
    <col min="3" max="3" width="13.58203125" style="108" customWidth="1"/>
    <col min="4" max="4" width="11" style="108" customWidth="1"/>
    <col min="5" max="5" width="11.5" style="108" customWidth="1"/>
    <col min="6" max="6" width="13.25" style="282" bestFit="1" customWidth="1"/>
    <col min="7" max="7" width="9.75" style="282" customWidth="1"/>
    <col min="8" max="8" width="8.75" style="108" customWidth="1"/>
    <col min="9" max="9" width="5.08203125" style="108" customWidth="1"/>
    <col min="10" max="17" width="9.58203125" style="108" customWidth="1"/>
    <col min="18" max="18" width="8.08203125" style="108" customWidth="1"/>
    <col min="19" max="23" width="9" style="108" hidden="1" customWidth="1"/>
    <col min="24" max="26" width="21.33203125" style="108" hidden="1" customWidth="1"/>
    <col min="27" max="31" width="0" style="108" hidden="1" customWidth="1"/>
    <col min="32" max="16384" width="9" style="108" hidden="1"/>
  </cols>
  <sheetData>
    <row r="1" spans="2:31" ht="21" x14ac:dyDescent="0.5">
      <c r="B1" s="475" t="s">
        <v>448</v>
      </c>
      <c r="C1" s="476"/>
      <c r="D1" s="476"/>
      <c r="E1" s="476"/>
      <c r="F1" s="476"/>
      <c r="G1" s="477"/>
    </row>
    <row r="2" spans="2:31" ht="16.5" customHeight="1" x14ac:dyDescent="0.4">
      <c r="B2" s="191" t="s">
        <v>193</v>
      </c>
      <c r="C2" s="152">
        <v>2036</v>
      </c>
      <c r="D2" s="231"/>
      <c r="E2" s="231"/>
      <c r="F2" s="232"/>
      <c r="G2" s="233"/>
      <c r="I2" s="442" t="s">
        <v>456</v>
      </c>
      <c r="J2" s="442"/>
      <c r="K2" s="442"/>
      <c r="L2" s="442"/>
      <c r="M2" s="442"/>
      <c r="N2" s="442"/>
      <c r="O2" s="442"/>
      <c r="P2" s="442"/>
      <c r="Q2" s="442"/>
    </row>
    <row r="3" spans="2:31" ht="16.5" customHeight="1" thickBot="1" x14ac:dyDescent="0.45">
      <c r="B3" s="234" t="s">
        <v>5</v>
      </c>
      <c r="C3" s="235" t="s">
        <v>111</v>
      </c>
      <c r="D3" s="235" t="s">
        <v>1</v>
      </c>
      <c r="E3" s="235" t="s">
        <v>110</v>
      </c>
      <c r="F3" s="236" t="s">
        <v>326</v>
      </c>
      <c r="G3" s="237" t="s">
        <v>128</v>
      </c>
      <c r="I3" s="108" t="s">
        <v>534</v>
      </c>
      <c r="S3" s="108" t="s">
        <v>281</v>
      </c>
      <c r="T3" s="108" t="s">
        <v>282</v>
      </c>
      <c r="Z3" s="209"/>
      <c r="AA3" s="209"/>
      <c r="AB3" s="209"/>
      <c r="AC3" s="238"/>
      <c r="AD3" s="239"/>
      <c r="AE3" s="239"/>
    </row>
    <row r="4" spans="2:31" ht="16.5" customHeight="1" x14ac:dyDescent="0.4">
      <c r="B4" s="240" t="s">
        <v>449</v>
      </c>
      <c r="C4" s="221" t="s">
        <v>136</v>
      </c>
      <c r="D4" s="241">
        <f>HLOOKUP(Production!$C$2,'Long-term Model Summary'!$K$9:$BH$14,5,FALSE)*Inputs!D29*(1-Inputs!D31)/Inputs!D3</f>
        <v>269.59497604300799</v>
      </c>
      <c r="E4" s="450">
        <f>Inputs!D32</f>
        <v>3.5</v>
      </c>
      <c r="F4" s="340">
        <f>$D$4*$E$4</f>
        <v>943.58241615052793</v>
      </c>
      <c r="G4" s="453">
        <f>IFERROR(F4/(HLOOKUP($C$2,Table2[],8,FALSE)/Inputs!$D$3),"N/A")</f>
        <v>17.473748447231998</v>
      </c>
      <c r="I4" s="105" t="s">
        <v>193</v>
      </c>
      <c r="J4" s="105">
        <f>C2</f>
        <v>2036</v>
      </c>
      <c r="K4" s="437" t="s">
        <v>376</v>
      </c>
      <c r="L4" s="438"/>
      <c r="M4" s="438"/>
      <c r="N4" s="438"/>
      <c r="O4" s="438"/>
      <c r="P4" s="438"/>
      <c r="Q4" s="439"/>
      <c r="Z4" s="244"/>
      <c r="AC4" s="245"/>
      <c r="AD4" s="239"/>
      <c r="AE4" s="239"/>
    </row>
    <row r="5" spans="2:31" ht="16.5" customHeight="1" x14ac:dyDescent="0.4">
      <c r="B5" s="240" t="s">
        <v>450</v>
      </c>
      <c r="C5" s="221" t="s">
        <v>136</v>
      </c>
      <c r="D5" s="241">
        <f>HLOOKUP(Production!$C$2,'Long-term Model Summary'!$K$9:$BH$14,4,FALSE)*Inputs!D30*HLOOKUP($C$2,Table2[],8,FALSE)*(1-Inputs!D31)/Inputs!D3</f>
        <v>808.78492812902391</v>
      </c>
      <c r="E5" s="452">
        <f>Inputs!D33</f>
        <v>6.5</v>
      </c>
      <c r="F5" s="448">
        <f>$D$5*$E$5</f>
        <v>5257.1020328386558</v>
      </c>
      <c r="G5" s="454">
        <f>IFERROR(F5/(HLOOKUP($C$2,Table2[],8,FALSE)/Inputs!$D$3),"N/A")</f>
        <v>97.353741348863991</v>
      </c>
      <c r="I5" s="247"/>
      <c r="J5" s="228"/>
      <c r="K5" s="229">
        <v>-0.3</v>
      </c>
      <c r="L5" s="229">
        <v>-0.2</v>
      </c>
      <c r="M5" s="229">
        <v>-0.1</v>
      </c>
      <c r="N5" s="229">
        <v>0</v>
      </c>
      <c r="O5" s="229">
        <v>0.1</v>
      </c>
      <c r="P5" s="229">
        <v>0.2</v>
      </c>
      <c r="Q5" s="230">
        <v>0.3</v>
      </c>
      <c r="S5" s="108">
        <v>800</v>
      </c>
      <c r="T5" s="108">
        <v>6</v>
      </c>
      <c r="U5" s="108">
        <f>S5/T5</f>
        <v>133.33333333333334</v>
      </c>
      <c r="Z5" s="244"/>
      <c r="AC5" s="248"/>
      <c r="AD5" s="248"/>
      <c r="AE5" s="248"/>
    </row>
    <row r="6" spans="2:31" ht="16.5" customHeight="1" x14ac:dyDescent="0.4">
      <c r="B6" s="144"/>
      <c r="C6" s="109"/>
      <c r="D6" s="402" t="s">
        <v>6</v>
      </c>
      <c r="E6" s="402"/>
      <c r="F6" s="340">
        <f>SUM(F4:F5)</f>
        <v>6200.6844489891837</v>
      </c>
      <c r="G6" s="447">
        <f>IFERROR(F6/(HLOOKUP($C$2,Table2[],8,FALSE)/Inputs!$D$3),"N/A")</f>
        <v>114.82748979609599</v>
      </c>
      <c r="I6" s="440" t="s">
        <v>402</v>
      </c>
      <c r="J6" s="103">
        <v>-0.3</v>
      </c>
      <c r="K6" s="148">
        <f>Production!$F$6*(1+K$5)-Production!$F$33*(1+$J6)-Production!$F$40</f>
        <v>449.89074054703815</v>
      </c>
      <c r="L6" s="148">
        <f>Production!$F$6*(1+L$5)-Production!$F$33*(1+$J6)-Production!$F$40</f>
        <v>1069.9591854459568</v>
      </c>
      <c r="M6" s="148">
        <f>Production!$F$6*(1+M$5)-Production!$F$33*(1+$J6)-Production!$F$40</f>
        <v>1690.0276303448745</v>
      </c>
      <c r="N6" s="148">
        <f>Production!$F$6*(1+N$5)-Production!$F$33*(1+$J6)-Production!$F$40</f>
        <v>2310.0960752437932</v>
      </c>
      <c r="O6" s="148">
        <f>Production!$F$6*(1+O$5)-Production!$F$33*(1+$J6)-Production!$F$40</f>
        <v>2930.1645201427118</v>
      </c>
      <c r="P6" s="148">
        <f>Production!$F$6*(1+P$5)-Production!$F$33*(1+$J6)-Production!$F$40</f>
        <v>3550.2329650416295</v>
      </c>
      <c r="Q6" s="149">
        <f>Production!$F$6*(1+Q$5)-Production!$F$33*(1+$J6)-Production!$F$40</f>
        <v>4170.3014099405482</v>
      </c>
      <c r="Z6" s="244"/>
      <c r="AC6" s="248"/>
      <c r="AD6" s="248"/>
      <c r="AE6" s="248"/>
    </row>
    <row r="7" spans="2:31" ht="16.5" customHeight="1" x14ac:dyDescent="0.4">
      <c r="B7" s="191"/>
      <c r="C7" s="176"/>
      <c r="D7" s="176"/>
      <c r="E7" s="176"/>
      <c r="F7" s="246"/>
      <c r="G7" s="250"/>
      <c r="I7" s="440"/>
      <c r="J7" s="103">
        <v>-0.2</v>
      </c>
      <c r="K7" s="148">
        <f>Production!$F$6*(1+K$5)-Production!$F$33*(1+$J7)-Production!$F$40</f>
        <v>168.78983596436274</v>
      </c>
      <c r="L7" s="148">
        <f>Production!$F$6*(1+L$5)-Production!$F$33*(1+$J7)-Production!$F$40</f>
        <v>788.85828086328138</v>
      </c>
      <c r="M7" s="148">
        <f>Production!$F$6*(1+M$5)-Production!$F$33*(1+$J7)-Production!$F$40</f>
        <v>1408.9267257621991</v>
      </c>
      <c r="N7" s="148">
        <f>Production!$F$6*(1+N$5)-Production!$F$33*(1+$J7)-Production!$F$40</f>
        <v>2028.9951706611178</v>
      </c>
      <c r="O7" s="148">
        <f>Production!$F$6*(1+O$5)-Production!$F$33*(1+$J7)-Production!$F$40</f>
        <v>2649.0636155600359</v>
      </c>
      <c r="P7" s="148">
        <f>Production!$F$6*(1+P$5)-Production!$F$33*(1+$J7)-Production!$F$40</f>
        <v>3269.1320604589537</v>
      </c>
      <c r="Q7" s="149">
        <f>Production!$F$6*(1+Q$5)-Production!$F$33*(1+$J7)-Production!$F$40</f>
        <v>3889.2005053578732</v>
      </c>
      <c r="S7" s="108" t="s">
        <v>400</v>
      </c>
      <c r="AB7" s="248"/>
      <c r="AC7" s="248"/>
      <c r="AD7" s="248"/>
      <c r="AE7" s="248"/>
    </row>
    <row r="8" spans="2:31" ht="16.5" customHeight="1" x14ac:dyDescent="0.4">
      <c r="B8" s="234" t="s">
        <v>114</v>
      </c>
      <c r="C8" s="235" t="s">
        <v>111</v>
      </c>
      <c r="D8" s="235" t="s">
        <v>1</v>
      </c>
      <c r="E8" s="235" t="s">
        <v>110</v>
      </c>
      <c r="F8" s="236" t="s">
        <v>326</v>
      </c>
      <c r="G8" s="237" t="s">
        <v>128</v>
      </c>
      <c r="I8" s="440"/>
      <c r="J8" s="103">
        <v>-0.1</v>
      </c>
      <c r="K8" s="148">
        <f>Production!$F$6*(1+K$5)-Production!$F$33*(1+$J8)-Production!$F$40</f>
        <v>-112.31106861831177</v>
      </c>
      <c r="L8" s="148">
        <f>Production!$F$6*(1+L$5)-Production!$F$33*(1+$J8)-Production!$F$40</f>
        <v>507.75737628060688</v>
      </c>
      <c r="M8" s="148">
        <f>Production!$F$6*(1+M$5)-Production!$F$33*(1+$J8)-Production!$F$40</f>
        <v>1127.8258211795246</v>
      </c>
      <c r="N8" s="148">
        <f>Production!$F$6*(1+N$5)-Production!$F$33*(1+$J8)-Production!$F$40</f>
        <v>1747.8942660784433</v>
      </c>
      <c r="O8" s="148">
        <f>Production!$F$6*(1+O$5)-Production!$F$33*(1+$J8)-Production!$F$40</f>
        <v>2367.9627109773619</v>
      </c>
      <c r="P8" s="148">
        <f>Production!$F$6*(1+P$5)-Production!$F$33*(1+$J8)-Production!$F$40</f>
        <v>2988.0311558762796</v>
      </c>
      <c r="Q8" s="149">
        <f>Production!$F$6*(1+Q$5)-Production!$F$33*(1+$J8)-Production!$F$40</f>
        <v>3608.0996007751983</v>
      </c>
      <c r="S8" s="108" t="s">
        <v>399</v>
      </c>
      <c r="Z8" s="109"/>
      <c r="AA8" s="109"/>
      <c r="AB8" s="248"/>
      <c r="AC8" s="248"/>
      <c r="AD8" s="248"/>
      <c r="AE8" s="248"/>
    </row>
    <row r="9" spans="2:31" ht="16.5" customHeight="1" x14ac:dyDescent="0.4">
      <c r="B9" s="240" t="s">
        <v>134</v>
      </c>
      <c r="C9" s="131"/>
      <c r="D9" s="251"/>
      <c r="E9" s="242"/>
      <c r="F9" s="340">
        <f>SUMPRODUCT(D10:D16,E10:E16)</f>
        <v>187.54999999999998</v>
      </c>
      <c r="G9" s="447">
        <f>IFERROR(F9/(HLOOKUP($C$2,Table2[],8,FALSE)/Inputs!$D$3),"N/A")</f>
        <v>3.4731481481481477</v>
      </c>
      <c r="I9" s="440"/>
      <c r="J9" s="103">
        <v>0</v>
      </c>
      <c r="K9" s="148">
        <f>Production!$F$6*(1+K$5)-Production!$F$33*(1+$J9)-Production!$F$40</f>
        <v>-393.41197320098672</v>
      </c>
      <c r="L9" s="148">
        <f>Production!$F$6*(1+L$5)-Production!$F$33*(1+$J9)-Production!$F$40</f>
        <v>226.65647169793192</v>
      </c>
      <c r="M9" s="148">
        <f>Production!$F$6*(1+M$5)-Production!$F$33*(1+$J9)-Production!$F$40</f>
        <v>846.72491659684965</v>
      </c>
      <c r="N9" s="451">
        <f>Production!$F$6*(1+N$5)-Production!$F$33*(1+$J9)-Production!$F$40</f>
        <v>1466.7933614957683</v>
      </c>
      <c r="O9" s="148">
        <f>Production!$F$6*(1+O$5)-Production!$F$33*(1+$J9)-Production!$F$40</f>
        <v>2086.8618063946869</v>
      </c>
      <c r="P9" s="148">
        <f>Production!$F$6*(1+P$5)-Production!$F$33*(1+$J9)-Production!$F$40</f>
        <v>2706.9302512936047</v>
      </c>
      <c r="Q9" s="149">
        <f>Production!$F$6*(1+Q$5)-Production!$F$33*(1+$J9)-Production!$F$40</f>
        <v>3326.9986961925233</v>
      </c>
      <c r="S9" s="108" t="s">
        <v>398</v>
      </c>
      <c r="Z9" s="109"/>
      <c r="AA9" s="109"/>
      <c r="AB9" s="248"/>
      <c r="AC9" s="248"/>
      <c r="AD9" s="248"/>
      <c r="AE9" s="248"/>
    </row>
    <row r="10" spans="2:31" ht="16.5" customHeight="1" x14ac:dyDescent="0.4">
      <c r="B10" s="253" t="s">
        <v>133</v>
      </c>
      <c r="C10" s="221" t="s">
        <v>325</v>
      </c>
      <c r="D10" s="254">
        <v>1</v>
      </c>
      <c r="E10" s="450">
        <f>Inputs!D21</f>
        <v>25</v>
      </c>
      <c r="F10" s="340"/>
      <c r="G10" s="447"/>
      <c r="I10" s="440"/>
      <c r="J10" s="103">
        <v>0.1</v>
      </c>
      <c r="K10" s="148">
        <f>Production!$F$6*(1+K$5)-Production!$F$33*(1+$J10)-Production!$F$40</f>
        <v>-674.51287778366168</v>
      </c>
      <c r="L10" s="148">
        <f>Production!$F$6*(1+L$5)-Production!$F$33*(1+$J10)-Production!$F$40</f>
        <v>-54.444432884743037</v>
      </c>
      <c r="M10" s="148">
        <f>Production!$F$6*(1+M$5)-Production!$F$33*(1+$J10)-Production!$F$40</f>
        <v>565.6240120141747</v>
      </c>
      <c r="N10" s="148">
        <f>Production!$F$6*(1+N$5)-Production!$F$33*(1+$J10)-Production!$F$40</f>
        <v>1185.6924569130933</v>
      </c>
      <c r="O10" s="148">
        <f>Production!$F$6*(1+O$5)-Production!$F$33*(1+$J10)-Production!$F$40</f>
        <v>1805.760901812012</v>
      </c>
      <c r="P10" s="148">
        <f>Production!$F$6*(1+P$5)-Production!$F$33*(1+$J10)-Production!$F$40</f>
        <v>2425.8293467109297</v>
      </c>
      <c r="Q10" s="149">
        <f>Production!$F$6*(1+Q$5)-Production!$F$33*(1+$J10)-Production!$F$40</f>
        <v>3045.8977916098484</v>
      </c>
      <c r="AC10" s="248"/>
      <c r="AD10" s="248"/>
      <c r="AE10" s="248"/>
    </row>
    <row r="11" spans="2:31" ht="16.5" customHeight="1" x14ac:dyDescent="0.4">
      <c r="B11" s="253" t="s">
        <v>510</v>
      </c>
      <c r="C11" s="221" t="s">
        <v>325</v>
      </c>
      <c r="D11" s="254">
        <v>3</v>
      </c>
      <c r="E11" s="450">
        <v>20</v>
      </c>
      <c r="F11" s="340"/>
      <c r="G11" s="447"/>
      <c r="H11" s="109"/>
      <c r="I11" s="440"/>
      <c r="J11" s="103">
        <v>0.2</v>
      </c>
      <c r="K11" s="148">
        <f>Production!$F$6*(1+K$5)-Production!$F$33*(1+$J11)-Production!$F$40</f>
        <v>-955.61378236633618</v>
      </c>
      <c r="L11" s="148">
        <f>Production!$F$6*(1+L$5)-Production!$F$33*(1+$J11)-Production!$F$40</f>
        <v>-335.54533746741754</v>
      </c>
      <c r="M11" s="148">
        <f>Production!$F$6*(1+M$5)-Production!$F$33*(1+$J11)-Production!$F$40</f>
        <v>284.52310743150019</v>
      </c>
      <c r="N11" s="148">
        <f>Production!$F$6*(1+N$5)-Production!$F$33*(1+$J11)-Production!$F$40</f>
        <v>904.59155233041884</v>
      </c>
      <c r="O11" s="148">
        <f>Production!$F$6*(1+O$5)-Production!$F$33*(1+$J11)-Production!$F$40</f>
        <v>1524.6599972293375</v>
      </c>
      <c r="P11" s="148">
        <f>Production!$F$6*(1+P$5)-Production!$F$33*(1+$J11)-Production!$F$40</f>
        <v>2144.7284421282552</v>
      </c>
      <c r="Q11" s="149">
        <f>Production!$F$6*(1+Q$5)-Production!$F$33*(1+$J11)-Production!$F$40</f>
        <v>2764.7968870271734</v>
      </c>
      <c r="R11" s="109"/>
      <c r="AC11" s="248"/>
      <c r="AD11" s="248"/>
      <c r="AE11" s="248"/>
    </row>
    <row r="12" spans="2:31" ht="16.5" customHeight="1" thickBot="1" x14ac:dyDescent="0.45">
      <c r="B12" s="253" t="s">
        <v>130</v>
      </c>
      <c r="C12" s="221" t="s">
        <v>136</v>
      </c>
      <c r="D12" s="254">
        <v>100</v>
      </c>
      <c r="E12" s="450">
        <f>Inputs!D16</f>
        <v>0.48</v>
      </c>
      <c r="F12" s="340"/>
      <c r="G12" s="447"/>
      <c r="H12" s="109"/>
      <c r="I12" s="441"/>
      <c r="J12" s="104">
        <v>0.3</v>
      </c>
      <c r="K12" s="167">
        <f>Production!$F$6*(1+K$5)-Production!$F$33*(1+$J12)-Production!$F$40</f>
        <v>-1236.7146869490116</v>
      </c>
      <c r="L12" s="167">
        <f>Production!$F$6*(1+L$5)-Production!$F$33*(1+$J12)-Production!$F$40</f>
        <v>-616.64624205009295</v>
      </c>
      <c r="M12" s="167">
        <f>Production!$F$6*(1+M$5)-Production!$F$33*(1+$J12)-Production!$F$40</f>
        <v>3.4222028488247815</v>
      </c>
      <c r="N12" s="167">
        <f>Production!$F$6*(1+N$5)-Production!$F$33*(1+$J12)-Production!$F$40</f>
        <v>623.49064774774342</v>
      </c>
      <c r="O12" s="167">
        <f>Production!$F$6*(1+O$5)-Production!$F$33*(1+$J12)-Production!$F$40</f>
        <v>1243.5590926466621</v>
      </c>
      <c r="P12" s="167">
        <f>Production!$F$6*(1+P$5)-Production!$F$33*(1+$J12)-Production!$F$40</f>
        <v>1863.6275375455798</v>
      </c>
      <c r="Q12" s="168">
        <f>Production!$F$6*(1+Q$5)-Production!$F$33*(1+$J12)-Production!$F$40</f>
        <v>2483.6959824444984</v>
      </c>
      <c r="R12" s="109"/>
      <c r="S12" s="255" t="s">
        <v>179</v>
      </c>
      <c r="T12" s="108" t="s">
        <v>181</v>
      </c>
      <c r="AC12" s="248"/>
      <c r="AD12" s="248"/>
      <c r="AE12" s="248"/>
    </row>
    <row r="13" spans="2:31" ht="16.5" customHeight="1" x14ac:dyDescent="0.4">
      <c r="B13" s="253" t="s">
        <v>131</v>
      </c>
      <c r="C13" s="221" t="s">
        <v>136</v>
      </c>
      <c r="D13" s="254">
        <v>20</v>
      </c>
      <c r="E13" s="450">
        <f>Inputs!D17</f>
        <v>0.61</v>
      </c>
      <c r="F13" s="340"/>
      <c r="G13" s="447"/>
      <c r="H13" s="109"/>
      <c r="I13" s="131" t="s">
        <v>457</v>
      </c>
      <c r="T13" s="248"/>
      <c r="U13" s="248"/>
      <c r="V13" s="248"/>
    </row>
    <row r="14" spans="2:31" ht="16.5" customHeight="1" x14ac:dyDescent="0.4">
      <c r="B14" s="253" t="s">
        <v>132</v>
      </c>
      <c r="C14" s="221" t="s">
        <v>136</v>
      </c>
      <c r="D14" s="254">
        <v>30</v>
      </c>
      <c r="E14" s="450">
        <f>Inputs!D18</f>
        <v>0.62</v>
      </c>
      <c r="F14" s="340"/>
      <c r="G14" s="447"/>
      <c r="H14" s="109"/>
      <c r="I14" s="109"/>
      <c r="S14" s="248"/>
      <c r="T14" s="248"/>
      <c r="U14" s="248"/>
    </row>
    <row r="15" spans="2:31" ht="16.5" customHeight="1" x14ac:dyDescent="0.4">
      <c r="B15" s="253" t="s">
        <v>137</v>
      </c>
      <c r="C15" s="221" t="s">
        <v>136</v>
      </c>
      <c r="D15" s="254">
        <v>5</v>
      </c>
      <c r="E15" s="450">
        <f>Inputs!H15</f>
        <v>1.75</v>
      </c>
      <c r="F15" s="340"/>
      <c r="G15" s="447"/>
      <c r="H15" s="109"/>
      <c r="I15" s="109"/>
      <c r="S15" s="248"/>
      <c r="T15" s="248"/>
      <c r="U15" s="248"/>
    </row>
    <row r="16" spans="2:31" ht="16.5" customHeight="1" x14ac:dyDescent="0.4">
      <c r="B16" s="253" t="s">
        <v>127</v>
      </c>
      <c r="C16" s="221" t="s">
        <v>129</v>
      </c>
      <c r="D16" s="256">
        <v>0.5</v>
      </c>
      <c r="E16" s="450">
        <f>Inputs!D19</f>
        <v>30</v>
      </c>
      <c r="F16" s="340"/>
      <c r="G16" s="447"/>
      <c r="H16" s="109"/>
      <c r="I16" s="109"/>
      <c r="S16" s="248"/>
      <c r="T16" s="248"/>
      <c r="U16" s="248"/>
    </row>
    <row r="17" spans="2:30" ht="16.5" customHeight="1" x14ac:dyDescent="0.4">
      <c r="B17" s="253" t="s">
        <v>511</v>
      </c>
      <c r="C17" s="221" t="s">
        <v>136</v>
      </c>
      <c r="D17" s="256">
        <v>0</v>
      </c>
      <c r="E17" s="450"/>
      <c r="F17" s="340"/>
      <c r="G17" s="447"/>
      <c r="H17" s="109"/>
      <c r="I17" s="109"/>
      <c r="S17" s="248"/>
      <c r="T17" s="248"/>
      <c r="U17" s="248"/>
    </row>
    <row r="18" spans="2:30" ht="16.5" customHeight="1" x14ac:dyDescent="0.4">
      <c r="B18" s="240" t="s">
        <v>176</v>
      </c>
      <c r="C18" s="221"/>
      <c r="D18" s="241"/>
      <c r="E18" s="450"/>
      <c r="F18" s="340">
        <f>(SUMPRODUCT(D19:D21,E19:E21))</f>
        <v>180</v>
      </c>
      <c r="G18" s="447">
        <f>IFERROR(F18/(HLOOKUP($C$2,Table2[],8,FALSE)/Inputs!$D$3),"N/A")</f>
        <v>3.3333333333333335</v>
      </c>
      <c r="S18" s="248"/>
      <c r="T18" s="248"/>
      <c r="U18" s="248"/>
    </row>
    <row r="19" spans="2:30" ht="16.5" customHeight="1" x14ac:dyDescent="0.4">
      <c r="B19" s="253" t="s">
        <v>225</v>
      </c>
      <c r="C19" s="221" t="s">
        <v>158</v>
      </c>
      <c r="D19" s="256">
        <v>2</v>
      </c>
      <c r="E19" s="450">
        <f>Inputs!H17</f>
        <v>10</v>
      </c>
      <c r="F19" s="340"/>
      <c r="G19" s="447"/>
      <c r="S19" s="248"/>
      <c r="T19" s="248"/>
      <c r="U19" s="248"/>
    </row>
    <row r="20" spans="2:30" ht="16.5" customHeight="1" x14ac:dyDescent="0.4">
      <c r="B20" s="253" t="str">
        <f>Inputs!F19</f>
        <v>Fungicide</v>
      </c>
      <c r="C20" s="221" t="s">
        <v>121</v>
      </c>
      <c r="D20" s="254">
        <v>0</v>
      </c>
      <c r="E20" s="450">
        <f>Inputs!H19</f>
        <v>25</v>
      </c>
      <c r="F20" s="340"/>
      <c r="G20" s="447"/>
      <c r="H20" s="109"/>
      <c r="I20" s="109"/>
      <c r="J20" s="109"/>
      <c r="K20" s="109"/>
      <c r="L20" s="109"/>
      <c r="M20" s="109"/>
      <c r="N20" s="109"/>
      <c r="O20" s="109"/>
      <c r="P20" s="109"/>
      <c r="Q20" s="109"/>
      <c r="R20" s="109"/>
      <c r="S20" s="108" t="s">
        <v>182</v>
      </c>
      <c r="AB20" s="248"/>
      <c r="AC20" s="248"/>
      <c r="AD20" s="248"/>
    </row>
    <row r="21" spans="2:30" ht="16.5" customHeight="1" x14ac:dyDescent="0.4">
      <c r="B21" s="253" t="str">
        <f>Inputs!F18</f>
        <v>Insecticide</v>
      </c>
      <c r="C21" s="221" t="s">
        <v>121</v>
      </c>
      <c r="D21" s="254">
        <v>4</v>
      </c>
      <c r="E21" s="450">
        <f>Inputs!H18</f>
        <v>40</v>
      </c>
      <c r="F21" s="340"/>
      <c r="G21" s="447"/>
      <c r="H21" s="109"/>
      <c r="I21" s="109"/>
      <c r="J21" s="109"/>
      <c r="K21" s="109"/>
      <c r="L21" s="109"/>
      <c r="M21" s="109"/>
      <c r="N21" s="109"/>
      <c r="O21" s="109"/>
      <c r="P21" s="109"/>
      <c r="Q21" s="109"/>
      <c r="R21" s="109"/>
      <c r="S21" s="108" t="s">
        <v>183</v>
      </c>
      <c r="AB21" s="248"/>
      <c r="AC21" s="248"/>
      <c r="AD21" s="248"/>
    </row>
    <row r="22" spans="2:30" ht="16.5" customHeight="1" x14ac:dyDescent="0.4">
      <c r="B22" s="240" t="s">
        <v>69</v>
      </c>
      <c r="C22" s="221" t="s">
        <v>324</v>
      </c>
      <c r="D22" s="251">
        <f>HLOOKUP(C2,Labor!$B$12:$AY$31,5,FALSE)</f>
        <v>46.221561489817596</v>
      </c>
      <c r="E22" s="450">
        <f>Inputs!D23</f>
        <v>18.5</v>
      </c>
      <c r="F22" s="340">
        <f>D22*E22</f>
        <v>855.09888756162547</v>
      </c>
      <c r="G22" s="447">
        <f>IFERROR(F22/(HLOOKUP($C$2,Table2[],8,FALSE)/Inputs!$D$3),"N/A")</f>
        <v>15.835164584474546</v>
      </c>
      <c r="H22" s="109"/>
      <c r="I22" s="109"/>
      <c r="J22" s="109"/>
      <c r="K22" s="109"/>
      <c r="L22" s="109"/>
      <c r="M22" s="109"/>
      <c r="N22" s="109"/>
      <c r="O22" s="109"/>
      <c r="P22" s="109"/>
      <c r="Q22" s="109"/>
      <c r="R22" s="109"/>
      <c r="AB22" s="248"/>
      <c r="AC22" s="248"/>
      <c r="AD22" s="248"/>
    </row>
    <row r="23" spans="2:30" ht="16.5" customHeight="1" x14ac:dyDescent="0.4">
      <c r="B23" s="240" t="s">
        <v>153</v>
      </c>
      <c r="C23" s="221" t="s">
        <v>154</v>
      </c>
      <c r="D23" s="254">
        <v>9</v>
      </c>
      <c r="E23" s="450">
        <f>Inputs!D15</f>
        <v>4.5</v>
      </c>
      <c r="F23" s="340">
        <f>E23*D23</f>
        <v>40.5</v>
      </c>
      <c r="G23" s="447">
        <f>IFERROR(F23/(HLOOKUP($C$2,Table2[],8,FALSE)/Inputs!$D$3),"N/A")</f>
        <v>0.75</v>
      </c>
      <c r="H23" s="109"/>
      <c r="I23" s="109"/>
      <c r="J23" s="257"/>
      <c r="K23" s="109"/>
      <c r="L23" s="109"/>
      <c r="M23" s="109"/>
      <c r="N23" s="109"/>
      <c r="O23" s="109"/>
      <c r="P23" s="109"/>
      <c r="Q23" s="109"/>
      <c r="R23" s="109"/>
      <c r="AA23" s="248"/>
      <c r="AB23" s="248"/>
      <c r="AC23" s="248"/>
    </row>
    <row r="24" spans="2:30" ht="16.5" customHeight="1" x14ac:dyDescent="0.4">
      <c r="B24" s="240" t="s">
        <v>151</v>
      </c>
      <c r="C24" s="221" t="s">
        <v>217</v>
      </c>
      <c r="D24" s="254">
        <v>5</v>
      </c>
      <c r="E24" s="450">
        <f>Inputs!H20</f>
        <v>10</v>
      </c>
      <c r="F24" s="340">
        <f>E24*D24</f>
        <v>50</v>
      </c>
      <c r="G24" s="447">
        <f>IFERROR(F24/(HLOOKUP($C$2,Table2[],8,FALSE)/Inputs!$D$3),"N/A")</f>
        <v>0.92592592592592593</v>
      </c>
      <c r="H24" s="109"/>
      <c r="I24" s="109"/>
      <c r="J24" s="109"/>
      <c r="K24" s="109"/>
      <c r="L24" s="109"/>
      <c r="M24" s="109"/>
      <c r="N24" s="109"/>
      <c r="O24" s="109"/>
      <c r="P24" s="109"/>
      <c r="Q24" s="109"/>
      <c r="R24" s="109"/>
      <c r="AA24" s="248"/>
      <c r="AB24" s="248"/>
      <c r="AC24" s="248"/>
    </row>
    <row r="25" spans="2:30" ht="16.5" customHeight="1" x14ac:dyDescent="0.4">
      <c r="B25" s="240" t="s">
        <v>150</v>
      </c>
      <c r="C25" s="131"/>
      <c r="D25" s="251"/>
      <c r="E25" s="242"/>
      <c r="F25" s="337">
        <v>200</v>
      </c>
      <c r="G25" s="447">
        <f>IFERROR(F25/(HLOOKUP($C$2,Table2[],8,FALSE)/Inputs!$D$3),"N/A")</f>
        <v>3.7037037037037037</v>
      </c>
      <c r="S25" s="255" t="s">
        <v>178</v>
      </c>
      <c r="AA25" s="248"/>
      <c r="AB25" s="248"/>
      <c r="AC25" s="248"/>
    </row>
    <row r="26" spans="2:30" ht="16.5" customHeight="1" x14ac:dyDescent="0.4">
      <c r="B26" s="240" t="s">
        <v>149</v>
      </c>
      <c r="C26" s="131"/>
      <c r="D26" s="258"/>
      <c r="E26" s="131"/>
      <c r="F26" s="340">
        <f>IF(Investment!$H$2=Investment!$I$132,Investment!P19,Investment!P40)/Inputs!D3</f>
        <v>334</v>
      </c>
      <c r="G26" s="447">
        <f>IFERROR(F26/(HLOOKUP($C$2,Table2[],8,FALSE)/Inputs!$D$3),"N/A")</f>
        <v>6.1851851851851851</v>
      </c>
      <c r="S26" s="259" t="s">
        <v>180</v>
      </c>
      <c r="AA26" s="248"/>
      <c r="AB26" s="248"/>
      <c r="AC26" s="248"/>
    </row>
    <row r="27" spans="2:30" ht="16.5" customHeight="1" x14ac:dyDescent="0.4">
      <c r="B27" s="240" t="s">
        <v>147</v>
      </c>
      <c r="C27" s="221" t="s">
        <v>115</v>
      </c>
      <c r="D27" s="260">
        <v>0.05</v>
      </c>
      <c r="E27" s="131"/>
      <c r="F27" s="340">
        <f>IFERROR(D27*F4,"N/A")</f>
        <v>47.179120807526402</v>
      </c>
      <c r="G27" s="447">
        <f>IFERROR(F27/(HLOOKUP($C$2,Table2[],8,FALSE)/Inputs!$D$3),"N/A")</f>
        <v>0.87368742236160002</v>
      </c>
      <c r="Q27" s="248"/>
      <c r="R27" s="248"/>
      <c r="S27" s="248"/>
    </row>
    <row r="28" spans="2:30" ht="16.5" customHeight="1" x14ac:dyDescent="0.4">
      <c r="B28" s="240" t="s">
        <v>148</v>
      </c>
      <c r="C28" s="221" t="s">
        <v>115</v>
      </c>
      <c r="D28" s="260">
        <v>0.15</v>
      </c>
      <c r="E28" s="131"/>
      <c r="F28" s="340">
        <f>IFERROR(D28*F5,"N/A")</f>
        <v>788.56530492579839</v>
      </c>
      <c r="G28" s="447">
        <f>IFERROR(F28/(HLOOKUP($C$2,Table2[],8,FALSE)/Inputs!$D$3),"N/A")</f>
        <v>14.6030612023296</v>
      </c>
      <c r="Q28" s="248"/>
      <c r="R28" s="248"/>
      <c r="S28" s="248"/>
    </row>
    <row r="29" spans="2:30" ht="16.5" customHeight="1" x14ac:dyDescent="0.4">
      <c r="B29" s="240" t="s">
        <v>371</v>
      </c>
      <c r="C29" s="131"/>
      <c r="D29" s="258"/>
      <c r="E29" s="131"/>
      <c r="F29" s="337"/>
      <c r="G29" s="447">
        <f>IFERROR(F29/(HLOOKUP($C$2,Table2[],8,FALSE)/Inputs!$D$3),"N/A")</f>
        <v>0</v>
      </c>
      <c r="Q29" s="248"/>
      <c r="R29" s="248"/>
      <c r="S29" s="248"/>
    </row>
    <row r="30" spans="2:30" ht="16.5" customHeight="1" x14ac:dyDescent="0.4">
      <c r="B30" s="240" t="s">
        <v>23</v>
      </c>
      <c r="C30" s="131"/>
      <c r="D30" s="131"/>
      <c r="E30" s="131"/>
      <c r="F30" s="337">
        <v>10</v>
      </c>
      <c r="G30" s="447">
        <f>IFERROR(F30/(HLOOKUP($C$2,Table2[],8,FALSE)/Inputs!$D$3),"N/A")</f>
        <v>0.18518518518518517</v>
      </c>
      <c r="Q30" s="248"/>
      <c r="R30" s="248"/>
      <c r="S30" s="248"/>
    </row>
    <row r="31" spans="2:30" ht="16.5" customHeight="1" x14ac:dyDescent="0.4">
      <c r="B31" s="240" t="s">
        <v>38</v>
      </c>
      <c r="C31" s="131"/>
      <c r="D31" s="131"/>
      <c r="E31" s="131"/>
      <c r="F31" s="337">
        <v>10</v>
      </c>
      <c r="G31" s="447">
        <f>IFERROR(F31/(HLOOKUP($C$2,Table2[],8,FALSE)/Inputs!$D$3),"N/A")</f>
        <v>0.18518518518518517</v>
      </c>
      <c r="Q31" s="248"/>
      <c r="R31" s="248"/>
      <c r="S31" s="248"/>
    </row>
    <row r="32" spans="2:30" ht="16.5" customHeight="1" x14ac:dyDescent="0.4">
      <c r="B32" s="240" t="s">
        <v>70</v>
      </c>
      <c r="C32" s="160" t="s">
        <v>14</v>
      </c>
      <c r="D32" s="261">
        <f>Inputs!H21</f>
        <v>0.08</v>
      </c>
      <c r="E32" s="131"/>
      <c r="F32" s="448">
        <f>SUM(F9:F31)*D32*(6/12)</f>
        <v>108.11573253179802</v>
      </c>
      <c r="G32" s="449">
        <f>IFERROR(F32/(HLOOKUP($C$2,Table2[],8,FALSE)/Inputs!$D$3),"N/A")</f>
        <v>2.0021431950332964</v>
      </c>
      <c r="Q32" s="248"/>
      <c r="R32" s="248"/>
      <c r="S32" s="248"/>
    </row>
    <row r="33" spans="1:22" ht="16.5" customHeight="1" x14ac:dyDescent="0.4">
      <c r="B33" s="430" t="s">
        <v>34</v>
      </c>
      <c r="C33" s="431"/>
      <c r="D33" s="431"/>
      <c r="E33" s="431"/>
      <c r="F33" s="340">
        <f>SUM(F9,F18,F22:F32)</f>
        <v>2811.0090458267487</v>
      </c>
      <c r="G33" s="447">
        <f>IFERROR(F33/(HLOOKUP($C$2,Table2[],8,FALSE)/Inputs!$D$3),"N/A")</f>
        <v>52.055723070865717</v>
      </c>
      <c r="Q33" s="248"/>
      <c r="R33" s="248"/>
      <c r="S33" s="248"/>
    </row>
    <row r="34" spans="1:22" x14ac:dyDescent="0.4">
      <c r="B34" s="191"/>
      <c r="C34" s="176"/>
      <c r="D34" s="176"/>
      <c r="E34" s="176"/>
      <c r="F34" s="246"/>
      <c r="G34" s="250"/>
      <c r="S34" s="248"/>
      <c r="T34" s="248"/>
      <c r="U34" s="248"/>
    </row>
    <row r="35" spans="1:22" x14ac:dyDescent="0.4">
      <c r="B35" s="234" t="s">
        <v>4</v>
      </c>
      <c r="C35" s="235" t="s">
        <v>111</v>
      </c>
      <c r="D35" s="235" t="s">
        <v>1</v>
      </c>
      <c r="E35" s="235" t="s">
        <v>110</v>
      </c>
      <c r="F35" s="236" t="s">
        <v>326</v>
      </c>
      <c r="G35" s="237" t="s">
        <v>128</v>
      </c>
      <c r="S35" s="248"/>
      <c r="T35" s="248"/>
      <c r="U35" s="248"/>
    </row>
    <row r="36" spans="1:22" x14ac:dyDescent="0.4">
      <c r="B36" s="144" t="s">
        <v>139</v>
      </c>
      <c r="F36" s="340">
        <f>Inputs!AB38/Inputs!$D$3</f>
        <v>795.22416666666663</v>
      </c>
      <c r="G36" s="447">
        <f>IFERROR(F36/(HLOOKUP($C$2,Table2[],8,FALSE)/Inputs!$D$3),"N/A")</f>
        <v>14.726373456790123</v>
      </c>
      <c r="H36" s="239"/>
      <c r="I36" s="239"/>
      <c r="S36" s="248"/>
      <c r="T36" s="248"/>
      <c r="U36" s="248"/>
    </row>
    <row r="37" spans="1:22" x14ac:dyDescent="0.4">
      <c r="B37" s="144" t="s">
        <v>112</v>
      </c>
      <c r="C37" s="160" t="s">
        <v>14</v>
      </c>
      <c r="D37" s="261">
        <f>Inputs!H22</f>
        <v>7.0000000000000007E-2</v>
      </c>
      <c r="F37" s="340">
        <f>Inputs!AC38/Inputs!$D$3</f>
        <v>727.65787499999999</v>
      </c>
      <c r="G37" s="447">
        <f>IFERROR(F37/(HLOOKUP($C$2,Table2[],8,FALSE)/Inputs!$D$3),"N/A")</f>
        <v>13.475145833333332</v>
      </c>
      <c r="H37" s="239"/>
      <c r="I37" s="239"/>
      <c r="S37" s="248"/>
      <c r="T37" s="248"/>
      <c r="U37" s="248"/>
    </row>
    <row r="38" spans="1:22" x14ac:dyDescent="0.4">
      <c r="B38" s="144" t="s">
        <v>120</v>
      </c>
      <c r="D38" s="264"/>
      <c r="F38" s="337">
        <v>200</v>
      </c>
      <c r="G38" s="447">
        <f>IFERROR(F38/(HLOOKUP($C$2,Table2[],8,FALSE)/Inputs!$D$3),"N/A")</f>
        <v>3.7037037037037037</v>
      </c>
      <c r="H38" s="239"/>
      <c r="I38" s="239"/>
      <c r="S38" s="248"/>
      <c r="T38" s="248"/>
      <c r="U38" s="248"/>
    </row>
    <row r="39" spans="1:22" x14ac:dyDescent="0.4">
      <c r="B39" s="144" t="s">
        <v>113</v>
      </c>
      <c r="D39" s="264"/>
      <c r="F39" s="338">
        <v>200</v>
      </c>
      <c r="G39" s="449">
        <f>IFERROR(F39/(HLOOKUP($C$2,Table2[],8,FALSE)/Inputs!$D$3),"N/A")</f>
        <v>3.7037037037037037</v>
      </c>
      <c r="H39" s="248"/>
      <c r="I39" s="248"/>
      <c r="S39" s="248"/>
      <c r="V39" s="265"/>
    </row>
    <row r="40" spans="1:22" x14ac:dyDescent="0.4">
      <c r="A40" s="266"/>
      <c r="B40" s="430" t="s">
        <v>35</v>
      </c>
      <c r="C40" s="431"/>
      <c r="D40" s="431"/>
      <c r="E40" s="431"/>
      <c r="F40" s="340">
        <f>SUM(F36:F39)</f>
        <v>1922.8820416666667</v>
      </c>
      <c r="G40" s="447">
        <f>IFERROR(F40/(HLOOKUP($C$2,Table2[],8,FALSE)/Inputs!$D$3),"N/A")</f>
        <v>35.608926697530869</v>
      </c>
      <c r="H40" s="248"/>
      <c r="I40" s="248"/>
      <c r="S40" s="248"/>
      <c r="V40" s="248"/>
    </row>
    <row r="41" spans="1:22" x14ac:dyDescent="0.4">
      <c r="A41" s="266"/>
      <c r="B41" s="432" t="s">
        <v>36</v>
      </c>
      <c r="C41" s="433"/>
      <c r="D41" s="433"/>
      <c r="E41" s="433"/>
      <c r="F41" s="448">
        <f>F40+F33</f>
        <v>4733.8910874934154</v>
      </c>
      <c r="G41" s="449">
        <f>IFERROR(F41/(HLOOKUP($C$2,Table2[],8,FALSE)/Inputs!$D$3),"N/A")</f>
        <v>87.664649768396586</v>
      </c>
      <c r="H41" s="248"/>
      <c r="I41" s="248"/>
      <c r="Q41" s="265"/>
      <c r="R41" s="244"/>
    </row>
    <row r="42" spans="1:22" x14ac:dyDescent="0.4">
      <c r="A42" s="266"/>
      <c r="B42" s="262"/>
      <c r="C42" s="263"/>
      <c r="D42" s="269" t="s">
        <v>424</v>
      </c>
      <c r="E42" s="109" t="s">
        <v>136</v>
      </c>
      <c r="F42" s="270">
        <f>F41/(SUMPRODUCT(D4:D5,E4:E5)/SUM(D4:D5))</f>
        <v>823.28540652059394</v>
      </c>
      <c r="G42" s="271">
        <f>IFERROR(F42/(HLOOKUP($C$2,Table2[],8,FALSE)/Inputs!$D$3),"N/A")</f>
        <v>15.246026046677665</v>
      </c>
      <c r="H42" s="248"/>
      <c r="I42" s="248"/>
      <c r="R42" s="244"/>
    </row>
    <row r="43" spans="1:22" x14ac:dyDescent="0.4">
      <c r="A43" s="266"/>
      <c r="B43" s="267"/>
      <c r="C43" s="268"/>
      <c r="D43" s="272" t="s">
        <v>425</v>
      </c>
      <c r="E43" s="268" t="s">
        <v>165</v>
      </c>
      <c r="F43" s="446">
        <f>F41/SUM(D4:D5)</f>
        <v>4.3898176043330892</v>
      </c>
      <c r="G43" s="273"/>
      <c r="H43" s="248"/>
      <c r="I43" s="248"/>
      <c r="R43" s="244"/>
      <c r="T43" s="274"/>
      <c r="V43" s="275"/>
    </row>
    <row r="44" spans="1:22" x14ac:dyDescent="0.4">
      <c r="A44" s="266"/>
      <c r="B44" s="180"/>
      <c r="C44" s="434" t="s">
        <v>45</v>
      </c>
      <c r="D44" s="434"/>
      <c r="E44" s="434"/>
      <c r="F44" s="444">
        <f>F6-F33</f>
        <v>3389.675403162435</v>
      </c>
      <c r="G44" s="445">
        <f>G6-G33</f>
        <v>62.771766725230272</v>
      </c>
      <c r="H44" s="248"/>
      <c r="I44" s="248"/>
      <c r="T44" s="276"/>
      <c r="V44" s="275"/>
    </row>
    <row r="45" spans="1:22" x14ac:dyDescent="0.4">
      <c r="A45" s="266"/>
      <c r="B45" s="180"/>
      <c r="C45" s="435" t="s">
        <v>46</v>
      </c>
      <c r="D45" s="435"/>
      <c r="E45" s="435"/>
      <c r="F45" s="444">
        <f>F6-F41</f>
        <v>1466.7933614957683</v>
      </c>
      <c r="G45" s="445">
        <f>G6-G41</f>
        <v>27.162840027699403</v>
      </c>
      <c r="H45" s="248"/>
      <c r="I45" s="248"/>
      <c r="V45" s="248"/>
    </row>
    <row r="46" spans="1:22" ht="16.5" thickBot="1" x14ac:dyDescent="0.45">
      <c r="A46" s="266"/>
      <c r="B46" s="277"/>
      <c r="C46" s="436" t="s">
        <v>227</v>
      </c>
      <c r="D46" s="436"/>
      <c r="E46" s="436"/>
      <c r="F46" s="278"/>
      <c r="G46" s="279">
        <f>'Long-term Model Summary'!O4</f>
        <v>2041</v>
      </c>
      <c r="H46" s="248"/>
      <c r="I46" s="248"/>
      <c r="V46" s="248"/>
    </row>
    <row r="47" spans="1:22" x14ac:dyDescent="0.4">
      <c r="A47" s="266"/>
      <c r="B47" s="239"/>
      <c r="C47" s="239"/>
      <c r="D47" s="239"/>
      <c r="E47" s="239"/>
      <c r="F47" s="239"/>
      <c r="G47" s="239"/>
      <c r="H47" s="248"/>
      <c r="I47" s="248"/>
      <c r="V47" s="248"/>
    </row>
    <row r="48" spans="1:22" hidden="1" x14ac:dyDescent="0.4">
      <c r="A48" s="266"/>
      <c r="B48" s="280"/>
      <c r="C48" s="280"/>
      <c r="D48" s="280"/>
      <c r="E48" s="280"/>
      <c r="F48" s="239"/>
      <c r="G48" s="239"/>
      <c r="H48" s="248"/>
      <c r="I48" s="248"/>
      <c r="V48" s="248"/>
    </row>
    <row r="49" spans="2:7" hidden="1" x14ac:dyDescent="0.4">
      <c r="B49" s="280"/>
      <c r="C49" s="280"/>
      <c r="D49" s="280"/>
      <c r="E49" s="280"/>
      <c r="F49" s="245"/>
      <c r="G49" s="245"/>
    </row>
    <row r="50" spans="2:7" hidden="1" x14ac:dyDescent="0.4">
      <c r="B50" s="281"/>
      <c r="C50" s="281"/>
      <c r="D50" s="281"/>
      <c r="E50" s="281"/>
      <c r="F50" s="248"/>
      <c r="G50" s="248"/>
    </row>
    <row r="51" spans="2:7" hidden="1" x14ac:dyDescent="0.4">
      <c r="B51" s="281"/>
      <c r="C51" s="281"/>
      <c r="D51" s="281"/>
      <c r="E51" s="281"/>
      <c r="F51" s="248"/>
      <c r="G51" s="248"/>
    </row>
    <row r="52" spans="2:7" hidden="1" x14ac:dyDescent="0.4">
      <c r="B52" s="281"/>
      <c r="C52" s="281"/>
      <c r="D52" s="281"/>
      <c r="E52" s="281"/>
      <c r="F52" s="248"/>
      <c r="G52" s="248"/>
    </row>
    <row r="53" spans="2:7" hidden="1" x14ac:dyDescent="0.4">
      <c r="B53" s="281"/>
      <c r="C53" s="281"/>
      <c r="D53" s="281"/>
      <c r="E53" s="281"/>
      <c r="F53" s="248"/>
      <c r="G53" s="248"/>
    </row>
    <row r="54" spans="2:7" hidden="1" x14ac:dyDescent="0.4">
      <c r="B54" s="281"/>
      <c r="C54" s="281"/>
      <c r="D54" s="281"/>
      <c r="E54" s="281"/>
      <c r="F54" s="248"/>
      <c r="G54" s="248"/>
    </row>
    <row r="55" spans="2:7" hidden="1" x14ac:dyDescent="0.4">
      <c r="B55" s="281"/>
      <c r="C55" s="281"/>
      <c r="D55" s="281"/>
      <c r="E55" s="281"/>
      <c r="F55" s="248"/>
      <c r="G55" s="248"/>
    </row>
    <row r="56" spans="2:7" hidden="1" x14ac:dyDescent="0.4">
      <c r="B56" s="281"/>
      <c r="C56" s="281"/>
      <c r="D56" s="281"/>
      <c r="E56" s="281"/>
      <c r="F56" s="248"/>
      <c r="G56" s="248"/>
    </row>
    <row r="57" spans="2:7" hidden="1" x14ac:dyDescent="0.4">
      <c r="B57" s="281"/>
      <c r="C57" s="281"/>
      <c r="D57" s="281"/>
      <c r="E57" s="281"/>
      <c r="F57" s="248"/>
      <c r="G57" s="248"/>
    </row>
    <row r="58" spans="2:7" hidden="1" x14ac:dyDescent="0.4">
      <c r="B58" s="281"/>
      <c r="C58" s="281"/>
      <c r="D58" s="281"/>
      <c r="E58" s="281"/>
      <c r="F58" s="248"/>
      <c r="G58" s="248"/>
    </row>
  </sheetData>
  <sheetProtection sheet="1" objects="1" scenarios="1"/>
  <protectedRanges>
    <protectedRange sqref="C2 D10:D17 D19:D21 D23:D24 D27:D28 F25 F29:F31 F38:F39" name="Edit cells"/>
  </protectedRanges>
  <mergeCells count="11">
    <mergeCell ref="B1:G1"/>
    <mergeCell ref="K4:Q4"/>
    <mergeCell ref="I6:I12"/>
    <mergeCell ref="B33:E33"/>
    <mergeCell ref="B40:E40"/>
    <mergeCell ref="I2:Q2"/>
    <mergeCell ref="B41:E41"/>
    <mergeCell ref="C44:E44"/>
    <mergeCell ref="C45:E45"/>
    <mergeCell ref="C46:E46"/>
    <mergeCell ref="D6:E6"/>
  </mergeCells>
  <conditionalFormatting sqref="K6:Q12">
    <cfRule type="cellIs" dxfId="0" priority="1" operator="lessThan">
      <formula>0</formula>
    </cfRule>
  </conditionalFormatting>
  <dataValidations count="1">
    <dataValidation type="list" allowBlank="1" showInputMessage="1" showErrorMessage="1" sqref="B50:E58" xr:uid="{E0037867-8B41-46CB-8838-4BE4A1137FA5}">
      <formula1>Implements</formula1>
    </dataValidation>
  </dataValidations>
  <pageMargins left="0.7" right="0.7" top="0.75" bottom="0.75" header="0.3" footer="0.3"/>
  <pageSetup scale="90" orientation="portrait" r:id="rId1"/>
  <rowBreaks count="1" manualBreakCount="1">
    <brk id="47" max="16383" man="1"/>
  </rowBreaks>
  <colBreaks count="2" manualBreakCount="2">
    <brk id="7" max="1048575" man="1"/>
    <brk id="1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157F1B1-6BBA-4A24-ABFB-BB546E412177}">
          <x14:formula1>
            <xm:f>'Long-term Model Summary'!$K$39:$BH$39</xm:f>
          </x14:formula1>
          <xm:sqref>C2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78D4D-95F7-495F-892A-BB5EC902424B}">
  <sheetPr>
    <pageSetUpPr fitToPage="1"/>
  </sheetPr>
  <dimension ref="A1:BH83"/>
  <sheetViews>
    <sheetView showGridLines="0" tabSelected="1" workbookViewId="0">
      <selection activeCell="U1" sqref="U1:U1048576"/>
    </sheetView>
  </sheetViews>
  <sheetFormatPr defaultColWidth="9" defaultRowHeight="16" x14ac:dyDescent="0.4"/>
  <cols>
    <col min="1" max="1" width="11" style="108" customWidth="1"/>
    <col min="2" max="2" width="12" style="108" customWidth="1"/>
    <col min="3" max="3" width="13.33203125" style="108" customWidth="1"/>
    <col min="4" max="4" width="8.75" style="108" customWidth="1"/>
    <col min="5" max="5" width="10.5" style="108" customWidth="1"/>
    <col min="6" max="6" width="9.75" style="108" bestFit="1" customWidth="1"/>
    <col min="7" max="7" width="10.75" style="108" customWidth="1"/>
    <col min="8" max="8" width="13.75" style="108" customWidth="1"/>
    <col min="9" max="9" width="22.08203125" style="108" customWidth="1"/>
    <col min="10" max="10" width="30.58203125" style="108" bestFit="1" customWidth="1"/>
    <col min="11" max="11" width="10.75" style="108" customWidth="1"/>
    <col min="12" max="12" width="10.83203125" style="108" customWidth="1"/>
    <col min="13" max="13" width="11.5" style="108" bestFit="1" customWidth="1"/>
    <col min="14" max="19" width="11.4140625" style="108" customWidth="1"/>
    <col min="20" max="20" width="11.33203125" style="108" customWidth="1"/>
    <col min="21" max="21" width="11.83203125" style="108" bestFit="1" customWidth="1"/>
    <col min="22" max="60" width="12.58203125" style="108" customWidth="1"/>
    <col min="61" max="16384" width="9" style="108"/>
  </cols>
  <sheetData>
    <row r="1" spans="1:60" ht="18.5" x14ac:dyDescent="0.45">
      <c r="A1" s="374" t="s">
        <v>463</v>
      </c>
      <c r="B1" s="208"/>
      <c r="C1" s="208"/>
      <c r="D1" s="208"/>
      <c r="E1" s="208"/>
      <c r="F1" s="208"/>
      <c r="G1" s="208"/>
      <c r="H1" s="208"/>
      <c r="J1" s="375" t="s">
        <v>416</v>
      </c>
      <c r="K1" s="118"/>
      <c r="L1" s="118"/>
      <c r="M1" s="118"/>
      <c r="N1" s="126"/>
      <c r="O1" s="126"/>
      <c r="P1" s="138"/>
      <c r="Q1" s="126" t="s">
        <v>314</v>
      </c>
    </row>
    <row r="2" spans="1:60" ht="32" x14ac:dyDescent="0.4">
      <c r="A2" s="231" t="s">
        <v>193</v>
      </c>
      <c r="B2" s="352" t="s">
        <v>199</v>
      </c>
      <c r="C2" s="352" t="s">
        <v>374</v>
      </c>
      <c r="D2" s="352" t="s">
        <v>375</v>
      </c>
      <c r="E2" s="272" t="s">
        <v>376</v>
      </c>
      <c r="F2" s="272" t="s">
        <v>377</v>
      </c>
      <c r="G2" s="352" t="s">
        <v>378</v>
      </c>
      <c r="H2" s="352" t="s">
        <v>379</v>
      </c>
      <c r="J2" s="108" t="s">
        <v>185</v>
      </c>
      <c r="L2" s="138">
        <f>Introduction!E11</f>
        <v>2025</v>
      </c>
      <c r="N2" s="126"/>
      <c r="O2" s="126"/>
      <c r="P2" s="138"/>
      <c r="Q2" s="126">
        <f>P2-L2</f>
        <v>-2025</v>
      </c>
    </row>
    <row r="3" spans="1:60" x14ac:dyDescent="0.4">
      <c r="A3" s="108" t="s">
        <v>232</v>
      </c>
      <c r="B3" s="108">
        <f>HLOOKUP($A3,$K$8:$BH$28,9,FALSE)/10</f>
        <v>54</v>
      </c>
      <c r="C3" s="353">
        <f t="shared" ref="C3:C10" si="0">HLOOKUP($A3,$K$8:$BH$28,5,FALSE)</f>
        <v>4.7</v>
      </c>
      <c r="D3" s="354">
        <f>C3*B3</f>
        <v>253.8</v>
      </c>
      <c r="E3" s="355">
        <f>HLOOKUP($A3,$K$8:$BH$28,14,FALSE)/10</f>
        <v>1430.163</v>
      </c>
      <c r="F3" s="355">
        <f>HLOOKUP($A3,$K$8:$BH$28,19,FALSE)/10</f>
        <v>3677.8217212284885</v>
      </c>
      <c r="G3" s="355">
        <f>HLOOKUP($A3,$K$8:$BH$28,20,FALSE)/10</f>
        <v>-2247.6587212284885</v>
      </c>
      <c r="H3" s="355">
        <f>HLOOKUP($A3,$K$8:$BH$28,21,FALSE)/10</f>
        <v>-13804.447804561822</v>
      </c>
      <c r="J3" s="443" t="s">
        <v>470</v>
      </c>
      <c r="K3" s="443"/>
      <c r="L3" s="138">
        <f>_xlfn.MINIFS(K19:CH19,K20:CH20,"&gt;0")</f>
        <v>2029</v>
      </c>
      <c r="N3" s="126"/>
      <c r="O3" s="126"/>
      <c r="P3" s="126"/>
      <c r="Q3" s="126"/>
    </row>
    <row r="4" spans="1:60" x14ac:dyDescent="0.4">
      <c r="A4" s="108" t="s">
        <v>237</v>
      </c>
      <c r="B4" s="108">
        <f t="shared" ref="B4:B10" si="1">HLOOKUP($A4,$K$8:$BH$28,9,FALSE)/10</f>
        <v>54</v>
      </c>
      <c r="C4" s="353">
        <f t="shared" si="0"/>
        <v>11.695103999999997</v>
      </c>
      <c r="D4" s="354">
        <f t="shared" ref="D4:D10" si="2">C4*B4</f>
        <v>631.53561599999989</v>
      </c>
      <c r="E4" s="355">
        <f t="shared" ref="E4:E10" si="3">HLOOKUP($A4,$K$8:$BH$28,14,FALSE)/10</f>
        <v>3558.7031961599992</v>
      </c>
      <c r="F4" s="355">
        <f t="shared" ref="F4:F10" si="4">HLOOKUP($A4,$K$8:$BH$28,19,FALSE)/10</f>
        <v>4146.3026529382478</v>
      </c>
      <c r="G4" s="355">
        <f t="shared" ref="G4:G10" si="5">HLOOKUP($A4,$K$8:$BH$28,20,FALSE)/10</f>
        <v>-587.59945677824874</v>
      </c>
      <c r="H4" s="355">
        <f t="shared" ref="H4:H10" si="6">HLOOKUP($A4,$K$8:$BH$28,21,FALSE)/10</f>
        <v>-20659.342609002826</v>
      </c>
      <c r="J4" s="108" t="s">
        <v>211</v>
      </c>
      <c r="L4" s="324">
        <v>0.33</v>
      </c>
      <c r="N4" s="126" t="s">
        <v>396</v>
      </c>
      <c r="O4" s="126">
        <f>_xlfn.MINIFS(K19:BH19,K28:BH28,"&gt;0")</f>
        <v>2041</v>
      </c>
      <c r="P4" s="126"/>
      <c r="Q4" s="126"/>
    </row>
    <row r="5" spans="1:60" x14ac:dyDescent="0.4">
      <c r="A5" s="108" t="s">
        <v>242</v>
      </c>
      <c r="B5" s="108">
        <f t="shared" si="1"/>
        <v>54</v>
      </c>
      <c r="C5" s="353">
        <f t="shared" si="0"/>
        <v>46.867711100505289</v>
      </c>
      <c r="D5" s="354">
        <f t="shared" si="2"/>
        <v>2530.8563994272854</v>
      </c>
      <c r="E5" s="355">
        <f t="shared" si="3"/>
        <v>14261.375810772754</v>
      </c>
      <c r="F5" s="355">
        <f t="shared" si="4"/>
        <v>6501.9067647721877</v>
      </c>
      <c r="G5" s="355">
        <f t="shared" si="5"/>
        <v>7759.4690460005659</v>
      </c>
      <c r="H5" s="355">
        <f t="shared" si="6"/>
        <v>-3042.9354261826566</v>
      </c>
      <c r="J5" s="108" t="s">
        <v>216</v>
      </c>
      <c r="K5" s="133">
        <v>5</v>
      </c>
      <c r="L5" s="133">
        <v>12</v>
      </c>
      <c r="M5" s="133">
        <v>35</v>
      </c>
    </row>
    <row r="6" spans="1:60" x14ac:dyDescent="0.4">
      <c r="A6" s="108" t="s">
        <v>247</v>
      </c>
      <c r="B6" s="108">
        <f t="shared" si="1"/>
        <v>27</v>
      </c>
      <c r="C6" s="353">
        <f t="shared" si="0"/>
        <v>104.70094456023729</v>
      </c>
      <c r="D6" s="354">
        <f t="shared" si="2"/>
        <v>2826.925503126407</v>
      </c>
      <c r="E6" s="355">
        <f t="shared" si="3"/>
        <v>15929.725210117302</v>
      </c>
      <c r="F6" s="355">
        <f t="shared" si="4"/>
        <v>6782.5220295984673</v>
      </c>
      <c r="G6" s="355">
        <f t="shared" si="5"/>
        <v>9147.2031805188344</v>
      </c>
      <c r="H6" s="355">
        <f t="shared" si="6"/>
        <v>27589.881470785935</v>
      </c>
      <c r="J6" s="108" t="s">
        <v>221</v>
      </c>
      <c r="K6" s="324">
        <v>0.2</v>
      </c>
      <c r="L6" s="324">
        <v>0.32</v>
      </c>
      <c r="M6" s="324">
        <v>0.03</v>
      </c>
    </row>
    <row r="7" spans="1:60" x14ac:dyDescent="0.4">
      <c r="A7" s="108" t="s">
        <v>252</v>
      </c>
      <c r="B7" s="108">
        <f t="shared" si="1"/>
        <v>27</v>
      </c>
      <c r="C7" s="353">
        <f t="shared" si="0"/>
        <v>121.37709058340472</v>
      </c>
      <c r="D7" s="354">
        <f t="shared" si="2"/>
        <v>3277.1814457519276</v>
      </c>
      <c r="E7" s="355">
        <f t="shared" si="3"/>
        <v>18466.917446812113</v>
      </c>
      <c r="F7" s="355">
        <f t="shared" si="4"/>
        <v>7340.9452086006322</v>
      </c>
      <c r="G7" s="355">
        <f t="shared" si="5"/>
        <v>11125.972238211481</v>
      </c>
      <c r="H7" s="355">
        <f t="shared" si="6"/>
        <v>79145.268727090952</v>
      </c>
      <c r="O7" s="109"/>
    </row>
    <row r="8" spans="1:60" x14ac:dyDescent="0.4">
      <c r="A8" s="108" t="s">
        <v>257</v>
      </c>
      <c r="B8" s="108">
        <f t="shared" si="1"/>
        <v>27</v>
      </c>
      <c r="C8" s="353">
        <f t="shared" si="0"/>
        <v>140.70931432730376</v>
      </c>
      <c r="D8" s="354">
        <f t="shared" si="2"/>
        <v>3799.1514868372014</v>
      </c>
      <c r="E8" s="355">
        <f t="shared" si="3"/>
        <v>21408.218628327631</v>
      </c>
      <c r="F8" s="355">
        <f t="shared" si="4"/>
        <v>7988.3107225060257</v>
      </c>
      <c r="G8" s="355">
        <f t="shared" si="5"/>
        <v>13419.907905821607</v>
      </c>
      <c r="H8" s="355">
        <f t="shared" si="6"/>
        <v>141521.37625722942</v>
      </c>
      <c r="J8" s="356" t="s">
        <v>193</v>
      </c>
      <c r="K8" s="356" t="s">
        <v>228</v>
      </c>
      <c r="L8" s="356" t="s">
        <v>229</v>
      </c>
      <c r="M8" s="356" t="s">
        <v>230</v>
      </c>
      <c r="N8" s="356" t="s">
        <v>231</v>
      </c>
      <c r="O8" s="356" t="s">
        <v>232</v>
      </c>
      <c r="P8" s="356" t="s">
        <v>233</v>
      </c>
      <c r="Q8" s="356" t="s">
        <v>234</v>
      </c>
      <c r="R8" s="356" t="s">
        <v>235</v>
      </c>
      <c r="S8" s="356" t="s">
        <v>236</v>
      </c>
      <c r="T8" s="356" t="s">
        <v>237</v>
      </c>
      <c r="U8" s="356" t="s">
        <v>238</v>
      </c>
      <c r="V8" s="356" t="s">
        <v>239</v>
      </c>
      <c r="W8" s="356" t="s">
        <v>240</v>
      </c>
      <c r="X8" s="356" t="s">
        <v>241</v>
      </c>
      <c r="Y8" s="356" t="s">
        <v>242</v>
      </c>
      <c r="Z8" s="356" t="s">
        <v>243</v>
      </c>
      <c r="AA8" s="356" t="s">
        <v>244</v>
      </c>
      <c r="AB8" s="356" t="s">
        <v>245</v>
      </c>
      <c r="AC8" s="356" t="s">
        <v>246</v>
      </c>
      <c r="AD8" s="356" t="s">
        <v>247</v>
      </c>
      <c r="AE8" s="356" t="s">
        <v>248</v>
      </c>
      <c r="AF8" s="356" t="s">
        <v>249</v>
      </c>
      <c r="AG8" s="356" t="s">
        <v>250</v>
      </c>
      <c r="AH8" s="356" t="s">
        <v>251</v>
      </c>
      <c r="AI8" s="356" t="s">
        <v>252</v>
      </c>
      <c r="AJ8" s="356" t="s">
        <v>253</v>
      </c>
      <c r="AK8" s="356" t="s">
        <v>254</v>
      </c>
      <c r="AL8" s="356" t="s">
        <v>255</v>
      </c>
      <c r="AM8" s="356" t="s">
        <v>256</v>
      </c>
      <c r="AN8" s="356" t="s">
        <v>257</v>
      </c>
      <c r="AO8" s="356" t="s">
        <v>258</v>
      </c>
      <c r="AP8" s="356" t="s">
        <v>259</v>
      </c>
      <c r="AQ8" s="356" t="s">
        <v>260</v>
      </c>
      <c r="AR8" s="356" t="s">
        <v>261</v>
      </c>
      <c r="AS8" s="356" t="s">
        <v>262</v>
      </c>
      <c r="AT8" s="356" t="s">
        <v>263</v>
      </c>
      <c r="AU8" s="356" t="s">
        <v>264</v>
      </c>
      <c r="AV8" s="356" t="s">
        <v>265</v>
      </c>
      <c r="AW8" s="356" t="s">
        <v>266</v>
      </c>
      <c r="AX8" s="356" t="s">
        <v>267</v>
      </c>
      <c r="AY8" s="356" t="s">
        <v>268</v>
      </c>
      <c r="AZ8" s="356" t="s">
        <v>269</v>
      </c>
      <c r="BA8" s="356" t="s">
        <v>270</v>
      </c>
      <c r="BB8" s="356" t="s">
        <v>271</v>
      </c>
      <c r="BC8" s="356" t="s">
        <v>272</v>
      </c>
      <c r="BD8" s="356" t="s">
        <v>273</v>
      </c>
      <c r="BE8" s="356" t="s">
        <v>274</v>
      </c>
      <c r="BF8" s="356" t="s">
        <v>275</v>
      </c>
      <c r="BG8" s="356" t="s">
        <v>276</v>
      </c>
      <c r="BH8" s="356" t="s">
        <v>277</v>
      </c>
    </row>
    <row r="9" spans="1:60" x14ac:dyDescent="0.4">
      <c r="A9" s="108" t="s">
        <v>267</v>
      </c>
      <c r="B9" s="108">
        <f t="shared" si="1"/>
        <v>27</v>
      </c>
      <c r="C9" s="353">
        <f t="shared" si="0"/>
        <v>189.10155225074408</v>
      </c>
      <c r="D9" s="354">
        <f t="shared" si="2"/>
        <v>5105.7419107700898</v>
      </c>
      <c r="E9" s="355">
        <f t="shared" si="3"/>
        <v>28770.855667189455</v>
      </c>
      <c r="F9" s="355">
        <f t="shared" si="4"/>
        <v>9608.7898969324324</v>
      </c>
      <c r="G9" s="355">
        <f t="shared" si="5"/>
        <v>19162.065770257024</v>
      </c>
      <c r="H9" s="355">
        <f t="shared" si="6"/>
        <v>305904.09548722726</v>
      </c>
      <c r="J9" s="357"/>
      <c r="K9" s="357">
        <f>L2</f>
        <v>2025</v>
      </c>
      <c r="L9" s="357">
        <f>K9+1</f>
        <v>2026</v>
      </c>
      <c r="M9" s="357">
        <f t="shared" ref="M9:AJ9" si="7">L9+1</f>
        <v>2027</v>
      </c>
      <c r="N9" s="357">
        <f t="shared" si="7"/>
        <v>2028</v>
      </c>
      <c r="O9" s="357">
        <f t="shared" si="7"/>
        <v>2029</v>
      </c>
      <c r="P9" s="357">
        <f t="shared" si="7"/>
        <v>2030</v>
      </c>
      <c r="Q9" s="357">
        <f t="shared" si="7"/>
        <v>2031</v>
      </c>
      <c r="R9" s="357">
        <f t="shared" si="7"/>
        <v>2032</v>
      </c>
      <c r="S9" s="357">
        <f t="shared" si="7"/>
        <v>2033</v>
      </c>
      <c r="T9" s="357">
        <f t="shared" si="7"/>
        <v>2034</v>
      </c>
      <c r="U9" s="357">
        <f t="shared" si="7"/>
        <v>2035</v>
      </c>
      <c r="V9" s="357">
        <f t="shared" si="7"/>
        <v>2036</v>
      </c>
      <c r="W9" s="357">
        <f t="shared" si="7"/>
        <v>2037</v>
      </c>
      <c r="X9" s="357">
        <f t="shared" si="7"/>
        <v>2038</v>
      </c>
      <c r="Y9" s="357">
        <f t="shared" si="7"/>
        <v>2039</v>
      </c>
      <c r="Z9" s="357">
        <f t="shared" si="7"/>
        <v>2040</v>
      </c>
      <c r="AA9" s="357">
        <f t="shared" si="7"/>
        <v>2041</v>
      </c>
      <c r="AB9" s="357">
        <f t="shared" si="7"/>
        <v>2042</v>
      </c>
      <c r="AC9" s="357">
        <f t="shared" si="7"/>
        <v>2043</v>
      </c>
      <c r="AD9" s="357">
        <f t="shared" si="7"/>
        <v>2044</v>
      </c>
      <c r="AE9" s="357">
        <f t="shared" si="7"/>
        <v>2045</v>
      </c>
      <c r="AF9" s="357">
        <f t="shared" si="7"/>
        <v>2046</v>
      </c>
      <c r="AG9" s="357">
        <f t="shared" si="7"/>
        <v>2047</v>
      </c>
      <c r="AH9" s="357">
        <f t="shared" si="7"/>
        <v>2048</v>
      </c>
      <c r="AI9" s="357">
        <f t="shared" si="7"/>
        <v>2049</v>
      </c>
      <c r="AJ9" s="357">
        <f t="shared" si="7"/>
        <v>2050</v>
      </c>
      <c r="AK9" s="358">
        <f t="shared" ref="AK9:BH9" si="8">AJ9+1</f>
        <v>2051</v>
      </c>
      <c r="AL9" s="358">
        <f t="shared" si="8"/>
        <v>2052</v>
      </c>
      <c r="AM9" s="358">
        <f t="shared" si="8"/>
        <v>2053</v>
      </c>
      <c r="AN9" s="358">
        <f t="shared" si="8"/>
        <v>2054</v>
      </c>
      <c r="AO9" s="358">
        <f t="shared" si="8"/>
        <v>2055</v>
      </c>
      <c r="AP9" s="358">
        <f t="shared" si="8"/>
        <v>2056</v>
      </c>
      <c r="AQ9" s="358">
        <f t="shared" si="8"/>
        <v>2057</v>
      </c>
      <c r="AR9" s="358">
        <f t="shared" si="8"/>
        <v>2058</v>
      </c>
      <c r="AS9" s="358">
        <f t="shared" si="8"/>
        <v>2059</v>
      </c>
      <c r="AT9" s="358">
        <f t="shared" si="8"/>
        <v>2060</v>
      </c>
      <c r="AU9" s="358">
        <f t="shared" si="8"/>
        <v>2061</v>
      </c>
      <c r="AV9" s="358">
        <f t="shared" si="8"/>
        <v>2062</v>
      </c>
      <c r="AW9" s="358">
        <f t="shared" si="8"/>
        <v>2063</v>
      </c>
      <c r="AX9" s="358">
        <f t="shared" si="8"/>
        <v>2064</v>
      </c>
      <c r="AY9" s="358">
        <f t="shared" si="8"/>
        <v>2065</v>
      </c>
      <c r="AZ9" s="358">
        <f t="shared" si="8"/>
        <v>2066</v>
      </c>
      <c r="BA9" s="358">
        <f t="shared" si="8"/>
        <v>2067</v>
      </c>
      <c r="BB9" s="358">
        <f t="shared" si="8"/>
        <v>2068</v>
      </c>
      <c r="BC9" s="358">
        <f t="shared" si="8"/>
        <v>2069</v>
      </c>
      <c r="BD9" s="358">
        <f t="shared" si="8"/>
        <v>2070</v>
      </c>
      <c r="BE9" s="358">
        <f t="shared" si="8"/>
        <v>2071</v>
      </c>
      <c r="BF9" s="358">
        <f t="shared" si="8"/>
        <v>2072</v>
      </c>
      <c r="BG9" s="358">
        <f t="shared" si="8"/>
        <v>2073</v>
      </c>
      <c r="BH9" s="358">
        <f t="shared" si="8"/>
        <v>2074</v>
      </c>
    </row>
    <row r="10" spans="1:60" x14ac:dyDescent="0.4">
      <c r="A10" s="176" t="s">
        <v>277</v>
      </c>
      <c r="B10" s="176">
        <f t="shared" si="1"/>
        <v>27</v>
      </c>
      <c r="C10" s="359">
        <f t="shared" si="0"/>
        <v>189.10155225074408</v>
      </c>
      <c r="D10" s="360">
        <f t="shared" si="2"/>
        <v>5105.7419107700898</v>
      </c>
      <c r="E10" s="361">
        <f t="shared" si="3"/>
        <v>28770.855667189455</v>
      </c>
      <c r="F10" s="361">
        <f t="shared" si="4"/>
        <v>9608.7898969324324</v>
      </c>
      <c r="G10" s="361">
        <f t="shared" si="5"/>
        <v>19162.065770257024</v>
      </c>
      <c r="H10" s="361">
        <f t="shared" si="6"/>
        <v>497524.75318979734</v>
      </c>
      <c r="J10" s="108" t="s">
        <v>198</v>
      </c>
      <c r="K10" s="353">
        <f>K12*(1-L34)</f>
        <v>0</v>
      </c>
      <c r="L10" s="353">
        <f>L12*(1-$L$34)</f>
        <v>0</v>
      </c>
      <c r="M10" s="353">
        <f t="shared" ref="M10:BH10" si="9">M12*(1-$L$34)</f>
        <v>0</v>
      </c>
      <c r="N10" s="353">
        <f t="shared" si="9"/>
        <v>0.37600000000000006</v>
      </c>
      <c r="O10" s="353">
        <f>O12*(1-$L$34)</f>
        <v>3.7600000000000002</v>
      </c>
      <c r="P10" s="353">
        <f t="shared" si="9"/>
        <v>4.5119999999999996</v>
      </c>
      <c r="Q10" s="353">
        <f t="shared" si="9"/>
        <v>5.4144000000000005</v>
      </c>
      <c r="R10" s="353">
        <f t="shared" si="9"/>
        <v>6.4972799999999999</v>
      </c>
      <c r="S10" s="353">
        <f t="shared" si="9"/>
        <v>7.7967359999999992</v>
      </c>
      <c r="T10" s="353">
        <f t="shared" si="9"/>
        <v>9.3560831999999987</v>
      </c>
      <c r="U10" s="353">
        <f t="shared" si="9"/>
        <v>12.350029823999998</v>
      </c>
      <c r="V10" s="353">
        <f t="shared" si="9"/>
        <v>16.302039367679999</v>
      </c>
      <c r="W10" s="353">
        <f t="shared" si="9"/>
        <v>21.518691965337599</v>
      </c>
      <c r="X10" s="353">
        <f t="shared" si="9"/>
        <v>28.404673394245631</v>
      </c>
      <c r="Y10" s="353">
        <f t="shared" si="9"/>
        <v>37.494168880404231</v>
      </c>
      <c r="Z10" s="353">
        <f t="shared" si="9"/>
        <v>49.49230292213359</v>
      </c>
      <c r="AA10" s="353">
        <f t="shared" si="9"/>
        <v>65.329839857216342</v>
      </c>
      <c r="AB10" s="353">
        <f t="shared" si="9"/>
        <v>67.289735052932826</v>
      </c>
      <c r="AC10" s="353">
        <f t="shared" si="9"/>
        <v>69.308427104520817</v>
      </c>
      <c r="AD10" s="353">
        <f t="shared" si="9"/>
        <v>83.760755648189843</v>
      </c>
      <c r="AE10" s="353">
        <f t="shared" si="9"/>
        <v>86.27357831763554</v>
      </c>
      <c r="AF10" s="353">
        <f t="shared" si="9"/>
        <v>88.861785667164611</v>
      </c>
      <c r="AG10" s="353">
        <f t="shared" si="9"/>
        <v>91.527639237179542</v>
      </c>
      <c r="AH10" s="353">
        <f t="shared" si="9"/>
        <v>94.273468414294939</v>
      </c>
      <c r="AI10" s="353">
        <f t="shared" si="9"/>
        <v>97.101672466723784</v>
      </c>
      <c r="AJ10" s="353">
        <f t="shared" si="9"/>
        <v>100.01472264072549</v>
      </c>
      <c r="AK10" s="353">
        <f t="shared" si="9"/>
        <v>103.01516431994726</v>
      </c>
      <c r="AL10" s="353">
        <f t="shared" si="9"/>
        <v>106.10561924954568</v>
      </c>
      <c r="AM10" s="353">
        <f t="shared" si="9"/>
        <v>109.28878782703205</v>
      </c>
      <c r="AN10" s="353">
        <f t="shared" si="9"/>
        <v>112.56745146184301</v>
      </c>
      <c r="AO10" s="353">
        <f t="shared" si="9"/>
        <v>115.94447500569829</v>
      </c>
      <c r="AP10" s="353">
        <f t="shared" si="9"/>
        <v>119.42280925586925</v>
      </c>
      <c r="AQ10" s="353">
        <f t="shared" si="9"/>
        <v>123.00549353354532</v>
      </c>
      <c r="AR10" s="353">
        <f t="shared" si="9"/>
        <v>126.6956583395517</v>
      </c>
      <c r="AS10" s="353">
        <f t="shared" si="9"/>
        <v>130.49652808973823</v>
      </c>
      <c r="AT10" s="353">
        <f t="shared" si="9"/>
        <v>134.41142393243041</v>
      </c>
      <c r="AU10" s="353">
        <f t="shared" si="9"/>
        <v>138.44376665040332</v>
      </c>
      <c r="AV10" s="353">
        <f t="shared" si="9"/>
        <v>142.59707964991543</v>
      </c>
      <c r="AW10" s="353">
        <f t="shared" si="9"/>
        <v>146.87499203941289</v>
      </c>
      <c r="AX10" s="353">
        <f t="shared" si="9"/>
        <v>151.28124180059527</v>
      </c>
      <c r="AY10" s="353">
        <f t="shared" si="9"/>
        <v>151.28124180059527</v>
      </c>
      <c r="AZ10" s="353">
        <f t="shared" si="9"/>
        <v>151.28124180059527</v>
      </c>
      <c r="BA10" s="353">
        <f t="shared" si="9"/>
        <v>151.28124180059527</v>
      </c>
      <c r="BB10" s="353">
        <f t="shared" si="9"/>
        <v>151.28124180059527</v>
      </c>
      <c r="BC10" s="353">
        <f t="shared" si="9"/>
        <v>151.28124180059527</v>
      </c>
      <c r="BD10" s="353">
        <f t="shared" si="9"/>
        <v>151.28124180059527</v>
      </c>
      <c r="BE10" s="353">
        <f t="shared" si="9"/>
        <v>151.28124180059527</v>
      </c>
      <c r="BF10" s="353">
        <f t="shared" si="9"/>
        <v>151.28124180059527</v>
      </c>
      <c r="BG10" s="353">
        <f t="shared" si="9"/>
        <v>151.28124180059527</v>
      </c>
      <c r="BH10" s="353">
        <f t="shared" si="9"/>
        <v>151.28124180059527</v>
      </c>
    </row>
    <row r="11" spans="1:60" x14ac:dyDescent="0.4">
      <c r="C11" s="353"/>
      <c r="E11" s="362"/>
      <c r="F11" s="362"/>
      <c r="G11" s="362"/>
      <c r="H11" s="362"/>
      <c r="J11" s="108" t="s">
        <v>192</v>
      </c>
      <c r="K11" s="188">
        <f>K10*K$16</f>
        <v>0</v>
      </c>
      <c r="L11" s="188">
        <f t="shared" ref="L11:AJ11" si="10">L10*L$16</f>
        <v>0</v>
      </c>
      <c r="M11" s="188">
        <f t="shared" si="10"/>
        <v>0</v>
      </c>
      <c r="N11" s="188">
        <f t="shared" si="10"/>
        <v>203.04000000000002</v>
      </c>
      <c r="O11" s="188">
        <f t="shared" si="10"/>
        <v>2030.4</v>
      </c>
      <c r="P11" s="188">
        <f t="shared" si="10"/>
        <v>2436.4799999999996</v>
      </c>
      <c r="Q11" s="188">
        <f t="shared" si="10"/>
        <v>2923.7760000000003</v>
      </c>
      <c r="R11" s="188">
        <f t="shared" si="10"/>
        <v>3508.5311999999999</v>
      </c>
      <c r="S11" s="188">
        <f t="shared" si="10"/>
        <v>4210.2374399999999</v>
      </c>
      <c r="T11" s="188">
        <f t="shared" si="10"/>
        <v>5052.2849279999991</v>
      </c>
      <c r="U11" s="188">
        <f t="shared" si="10"/>
        <v>6669.0161049599992</v>
      </c>
      <c r="V11" s="188">
        <f t="shared" si="10"/>
        <v>8803.1012585471999</v>
      </c>
      <c r="W11" s="188">
        <f t="shared" si="10"/>
        <v>11620.093661282302</v>
      </c>
      <c r="X11" s="188">
        <f t="shared" si="10"/>
        <v>15338.52363289264</v>
      </c>
      <c r="Y11" s="188">
        <f t="shared" si="10"/>
        <v>20246.851195418283</v>
      </c>
      <c r="Z11" s="188">
        <f t="shared" si="10"/>
        <v>13362.921788976069</v>
      </c>
      <c r="AA11" s="188">
        <f t="shared" si="10"/>
        <v>17639.056761448413</v>
      </c>
      <c r="AB11" s="188">
        <f t="shared" si="10"/>
        <v>18168.228464291864</v>
      </c>
      <c r="AC11" s="188">
        <f t="shared" si="10"/>
        <v>18713.275318220622</v>
      </c>
      <c r="AD11" s="188">
        <f t="shared" si="10"/>
        <v>22615.404025011259</v>
      </c>
      <c r="AE11" s="188">
        <f t="shared" si="10"/>
        <v>23293.866145761596</v>
      </c>
      <c r="AF11" s="188">
        <f t="shared" si="10"/>
        <v>23992.682130134446</v>
      </c>
      <c r="AG11" s="188">
        <f t="shared" si="10"/>
        <v>24712.462594038476</v>
      </c>
      <c r="AH11" s="188">
        <f t="shared" si="10"/>
        <v>25453.836471859635</v>
      </c>
      <c r="AI11" s="188">
        <f t="shared" si="10"/>
        <v>26217.451566015421</v>
      </c>
      <c r="AJ11" s="188">
        <f t="shared" si="10"/>
        <v>27003.975112995882</v>
      </c>
      <c r="AK11" s="188">
        <f t="shared" ref="AK11" si="11">AK10*AK$16</f>
        <v>27814.094366385762</v>
      </c>
      <c r="AL11" s="188">
        <f t="shared" ref="AL11" si="12">AL10*AL$16</f>
        <v>28648.517197377336</v>
      </c>
      <c r="AM11" s="188">
        <f t="shared" ref="AM11" si="13">AM10*AM$16</f>
        <v>29507.972713298655</v>
      </c>
      <c r="AN11" s="188">
        <f t="shared" ref="AN11" si="14">AN10*AN$16</f>
        <v>30393.211894697612</v>
      </c>
      <c r="AO11" s="188">
        <f t="shared" ref="AO11" si="15">AO10*AO$16</f>
        <v>31305.00825153854</v>
      </c>
      <c r="AP11" s="188">
        <f t="shared" ref="AP11" si="16">AP10*AP$16</f>
        <v>32244.158499084697</v>
      </c>
      <c r="AQ11" s="188">
        <f t="shared" ref="AQ11" si="17">AQ10*AQ$16</f>
        <v>33211.483254057239</v>
      </c>
      <c r="AR11" s="188">
        <f t="shared" ref="AR11" si="18">AR10*AR$16</f>
        <v>34207.82775167896</v>
      </c>
      <c r="AS11" s="188">
        <f t="shared" ref="AS11" si="19">AS10*AS$16</f>
        <v>35234.062584229323</v>
      </c>
      <c r="AT11" s="188">
        <f t="shared" ref="AT11" si="20">AT10*AT$16</f>
        <v>36291.084461756211</v>
      </c>
      <c r="AU11" s="188">
        <f t="shared" ref="AU11" si="21">AU10*AU$16</f>
        <v>37379.816995608897</v>
      </c>
      <c r="AV11" s="188">
        <f t="shared" ref="AV11" si="22">AV10*AV$16</f>
        <v>38501.211505477164</v>
      </c>
      <c r="AW11" s="188">
        <f t="shared" ref="AW11" si="23">AW10*AW$16</f>
        <v>39656.247850641477</v>
      </c>
      <c r="AX11" s="188">
        <f t="shared" ref="AX11" si="24">AX10*AX$16</f>
        <v>40845.935286160726</v>
      </c>
      <c r="AY11" s="188">
        <f t="shared" ref="AY11" si="25">AY10*AY$16</f>
        <v>40845.935286160726</v>
      </c>
      <c r="AZ11" s="188">
        <f t="shared" ref="AZ11" si="26">AZ10*AZ$16</f>
        <v>40845.935286160726</v>
      </c>
      <c r="BA11" s="188">
        <f t="shared" ref="BA11" si="27">BA10*BA$16</f>
        <v>40845.935286160726</v>
      </c>
      <c r="BB11" s="188">
        <f t="shared" ref="BB11" si="28">BB10*BB$16</f>
        <v>40845.935286160726</v>
      </c>
      <c r="BC11" s="188">
        <f t="shared" ref="BC11" si="29">BC10*BC$16</f>
        <v>40845.935286160726</v>
      </c>
      <c r="BD11" s="188">
        <f t="shared" ref="BD11" si="30">BD10*BD$16</f>
        <v>40845.935286160726</v>
      </c>
      <c r="BE11" s="188">
        <f t="shared" ref="BE11" si="31">BE10*BE$16</f>
        <v>40845.935286160726</v>
      </c>
      <c r="BF11" s="188">
        <f t="shared" ref="BF11" si="32">BF10*BF$16</f>
        <v>40845.935286160726</v>
      </c>
      <c r="BG11" s="188">
        <f t="shared" ref="BG11" si="33">BG10*BG$16</f>
        <v>40845.935286160726</v>
      </c>
      <c r="BH11" s="188">
        <f t="shared" ref="BH11" si="34">BH10*BH$16</f>
        <v>40845.935286160726</v>
      </c>
    </row>
    <row r="12" spans="1:60" x14ac:dyDescent="0.4">
      <c r="J12" s="108" t="s">
        <v>197</v>
      </c>
      <c r="K12" s="353">
        <v>0</v>
      </c>
      <c r="L12" s="353">
        <v>0</v>
      </c>
      <c r="M12" s="353">
        <v>0</v>
      </c>
      <c r="N12" s="353">
        <f>Table2[[#This Row],[Year 5]]*0.1</f>
        <v>0.47000000000000003</v>
      </c>
      <c r="O12" s="363">
        <v>4.7</v>
      </c>
      <c r="P12" s="353">
        <f>O12*(1+IF(K9-$L$2&lt;$K$5,$K$6,IF(K9-$L$2&lt;$L$5,$L$6,IF(K9-$L$2&lt;$M$5,$M$6,0))))+IF(L16&lt;K16,Table2[[#This Row],[Year 1]]*$L$4,0)</f>
        <v>5.64</v>
      </c>
      <c r="Q12" s="353">
        <f>P12*(1+IF(L9-$L$2&lt;$K$5,$K$6,IF(L9-$L$2&lt;$L$5,$L$6,IF(L9-$L$2&lt;$M$5,$M$6,0))))+IF(M16&lt;L16,Table2[[#This Row],[Year 2]]*$L$4,0)</f>
        <v>6.7679999999999998</v>
      </c>
      <c r="R12" s="353">
        <f>Q12*(1+IF(M9-$L$2&lt;$K$5,$K$6,IF(M9-$L$2&lt;$L$5,$L$6,IF(M9-$L$2&lt;$M$5,$M$6,0))))+IF(N16&lt;M16,Table2[[#This Row],[Year 3]]*$L$4,0)</f>
        <v>8.121599999999999</v>
      </c>
      <c r="S12" s="353">
        <f>R12*(1+IF(N9-$L$2&lt;$K$5,$K$6,IF(N9-$L$2&lt;$L$5,$L$6,IF(N9-$L$2&lt;$M$5,$M$6,0))))+IF(O16&lt;N16,Table2[[#This Row],[Year 4]]*$L$4,0)</f>
        <v>9.7459199999999981</v>
      </c>
      <c r="T12" s="353">
        <f>S12*(1+IF(O9-$L$2&lt;$K$5,$K$6,IF(O9-$L$2&lt;$L$5,$L$6,IF(O9-$L$2&lt;$M$5,$M$6,0))))+IF(P16&lt;O16,Table2[[#This Row],[Year 5]]*$L$4,0)</f>
        <v>11.695103999999997</v>
      </c>
      <c r="U12" s="353">
        <f>T12*(1+IF(P9-$L$2&lt;$K$5,$K$6,IF(P9-$L$2&lt;$L$5,$L$6,IF(P9-$L$2&lt;$M$5,$M$6,0))))+IF(Q16&lt;P16,Table2[[#This Row],[Year 6]]*$L$4,0)</f>
        <v>15.437537279999997</v>
      </c>
      <c r="V12" s="353">
        <f>U12*(1+IF(Q9-$L$2&lt;$K$5,$K$6,IF(Q9-$L$2&lt;$L$5,$L$6,IF(Q9-$L$2&lt;$M$5,$M$6,0))))+IF(R16&lt;Q16,Table2[[#This Row],[Year 7]]*$L$4,0)</f>
        <v>20.377549209599998</v>
      </c>
      <c r="W12" s="353">
        <f>V12*(1+IF(R9-$L$2&lt;$K$5,$K$6,IF(R9-$L$2&lt;$L$5,$L$6,IF(R9-$L$2&lt;$M$5,$M$6,0))))+IF(S16&lt;R16,Table2[[#This Row],[Year 8]]*$L$4,0)</f>
        <v>26.898364956671998</v>
      </c>
      <c r="X12" s="353">
        <f>W12*(1+IF(S9-$L$2&lt;$K$5,$K$6,IF(S9-$L$2&lt;$L$5,$L$6,IF(S9-$L$2&lt;$M$5,$M$6,0))))+IF(T16&lt;S16,Table2[[#This Row],[Year 9]]*$L$4,0)</f>
        <v>35.505841742807036</v>
      </c>
      <c r="Y12" s="353">
        <f>X12*(1+IF(T9-$L$2&lt;$K$5,$K$6,IF(T9-$L$2&lt;$L$5,$L$6,IF(T9-$L$2&lt;$M$5,$M$6,0))))+IF(U16&lt;T16,Table2[[#This Row],[Year 10]]*$L$4,0)</f>
        <v>46.867711100505289</v>
      </c>
      <c r="Z12" s="353">
        <f>Y12*(1+IF(U9-$L$2&lt;$K$5,$K$6,IF(U9-$L$2&lt;$L$5,$L$6,IF(U9-$L$2&lt;$M$5,$M$6,0))))+IF(V16&lt;U16,Table2[[#This Row],[Year 11]]*$L$4,0)</f>
        <v>61.865378652666983</v>
      </c>
      <c r="AA12" s="353">
        <f>Z12*(1+IF(V9-$L$2&lt;$K$5,$K$6,IF(V9-$L$2&lt;$L$5,$L$6,IF(V9-$L$2&lt;$M$5,$M$6,0))))+IF(W16&lt;V16,Table2[[#This Row],[Year 12]]*$L$4,0)</f>
        <v>81.662299821520421</v>
      </c>
      <c r="AB12" s="353">
        <f>AA12*(1+IF(W9-$L$2&lt;$K$5,$K$6,IF(W9-$L$2&lt;$L$5,$L$6,IF(W9-$L$2&lt;$M$5,$M$6,0))))+IF(X16&lt;W16,Table2[[#This Row],[Year 13]]*$L$4,0)</f>
        <v>84.112168816166033</v>
      </c>
      <c r="AC12" s="353">
        <f>AB12*(1+IF(X9-$L$2&lt;$K$5,$K$6,IF(X9-$L$2&lt;$L$5,$L$6,IF(X9-$L$2&lt;$M$5,$M$6,0))))+IF(Y16&lt;X16,Table2[[#This Row],[Year 14]]*$L$4,0)</f>
        <v>86.63553388065101</v>
      </c>
      <c r="AD12" s="353">
        <f>AC12*(1+IF(Y9-$L$2&lt;$K$5,$K$6,IF(Y9-$L$2&lt;$L$5,$L$6,IF(Y9-$L$2&lt;$M$5,$M$6,0))))+IF(Z16&lt;Y16,Table2[[#This Row],[Year 15]]*$L$4,0)</f>
        <v>104.70094456023729</v>
      </c>
      <c r="AE12" s="353">
        <f>AD12*(1+IF(Z9-$L$2&lt;$K$5,$K$6,IF(Z9-$L$2&lt;$L$5,$L$6,IF(Z9-$L$2&lt;$M$5,$M$6,0))))+IF(AA16&lt;Z16,Table2[[#This Row],[Year 16]]*$L$4,0)</f>
        <v>107.84197289704441</v>
      </c>
      <c r="AF12" s="353">
        <f>AE12*(1+IF(AA9-$L$2&lt;$K$5,$K$6,IF(AA9-$L$2&lt;$L$5,$L$6,IF(AA9-$L$2&lt;$M$5,$M$6,0))))+IF(AB16&lt;AA16,Table2[[#This Row],[Year 17]]*$L$4,0)</f>
        <v>111.07723208395575</v>
      </c>
      <c r="AG12" s="353">
        <f>AF12*(1+IF(AB9-$L$2&lt;$K$5,$K$6,IF(AB9-$L$2&lt;$L$5,$L$6,IF(AB9-$L$2&lt;$M$5,$M$6,0))))+IF(AC16&lt;AB16,Table2[[#This Row],[Year 18]]*$L$4,0)</f>
        <v>114.40954904647442</v>
      </c>
      <c r="AH12" s="353">
        <f>AG12*(1+IF(AC9-$L$2&lt;$K$5,$K$6,IF(AC9-$L$2&lt;$L$5,$L$6,IF(AC9-$L$2&lt;$M$5,$M$6,0))))+IF(AD16&lt;AC16,Table2[[#This Row],[Year 19]]*$L$4,0)</f>
        <v>117.84183551786866</v>
      </c>
      <c r="AI12" s="353">
        <f>AH12*(1+IF(AD9-$L$2&lt;$K$5,$K$6,IF(AD9-$L$2&lt;$L$5,$L$6,IF(AD9-$L$2&lt;$M$5,$M$6,0))))+IF(AE16&lt;AD16,Table2[[#This Row],[Year 20]]*$L$4,0)</f>
        <v>121.37709058340472</v>
      </c>
      <c r="AJ12" s="353">
        <f>AI12*(1+IF(AE9-$L$2&lt;$K$5,$K$6,IF(AE9-$L$2&lt;$L$5,$L$6,IF(AE9-$L$2&lt;$M$5,$M$6,0))))+IF(AF16&lt;AE16,Table2[[#This Row],[Year 21]]*$L$4,0)</f>
        <v>125.01840330090687</v>
      </c>
      <c r="AK12" s="353">
        <f>AJ12*(1+IF(AF9-$L$2&lt;$K$5,$K$6,IF(AF9-$L$2&lt;$L$5,$L$6,IF(AF9-$L$2&lt;$M$5,$M$6,0))))+IF(AG16&lt;AF16,Table2[[#This Row],[Year 22]]*$L$4,0)</f>
        <v>128.76895539993407</v>
      </c>
      <c r="AL12" s="353">
        <f>AK12*(1+IF(AG9-$L$2&lt;$K$5,$K$6,IF(AG9-$L$2&lt;$L$5,$L$6,IF(AG9-$L$2&lt;$M$5,$M$6,0))))+IF(AH16&lt;AG16,Table2[[#This Row],[Year 23]]*$L$4,0)</f>
        <v>132.6320240619321</v>
      </c>
      <c r="AM12" s="353">
        <f>AL12*(1+IF(AH9-$L$2&lt;$K$5,$K$6,IF(AH9-$L$2&lt;$L$5,$L$6,IF(AH9-$L$2&lt;$M$5,$M$6,0))))+IF(AI16&lt;AH16,Table2[[#This Row],[Year 24]]*$L$4,0)</f>
        <v>136.61098478379006</v>
      </c>
      <c r="AN12" s="353">
        <f>AM12*(1+IF(AI9-$L$2&lt;$K$5,$K$6,IF(AI9-$L$2&lt;$L$5,$L$6,IF(AI9-$L$2&lt;$M$5,$M$6,0))))+IF(AJ16&lt;AI16,Table2[[#This Row],[Year 25]]*$L$4,0)</f>
        <v>140.70931432730376</v>
      </c>
      <c r="AO12" s="353">
        <f>AN12*(1+IF(AJ9-$L$2&lt;$K$5,$K$6,IF(AJ9-$L$2&lt;$L$5,$L$6,IF(AJ9-$L$2&lt;$M$5,$M$6,0))))+IF(AK16&lt;AJ16,Table2[[#This Row],[Year 26]]*$L$4,0)</f>
        <v>144.93059375712286</v>
      </c>
      <c r="AP12" s="353">
        <f>AO12*(1+IF(AK9-$L$2&lt;$K$5,$K$6,IF(AK9-$L$2&lt;$L$5,$L$6,IF(AK9-$L$2&lt;$M$5,$M$6,0))))+IF(AL16&lt;AK16,Table2[[#This Row],[Year 27]]*$L$4,0)</f>
        <v>149.27851156983655</v>
      </c>
      <c r="AQ12" s="353">
        <f>AP12*(1+IF(AL9-$L$2&lt;$K$5,$K$6,IF(AL9-$L$2&lt;$L$5,$L$6,IF(AL9-$L$2&lt;$M$5,$M$6,0))))+IF(AM16&lt;AL16,Table2[[#This Row],[Year 28]]*$L$4,0)</f>
        <v>153.75686691693164</v>
      </c>
      <c r="AR12" s="353">
        <f>AQ12*(1+IF(AM9-$L$2&lt;$K$5,$K$6,IF(AM9-$L$2&lt;$L$5,$L$6,IF(AM9-$L$2&lt;$M$5,$M$6,0))))+IF(AN16&lt;AM16,Table2[[#This Row],[Year 29]]*$L$4,0)</f>
        <v>158.36957292443961</v>
      </c>
      <c r="AS12" s="353">
        <f>AR12*(1+IF(AN9-$L$2&lt;$K$5,$K$6,IF(AN9-$L$2&lt;$L$5,$L$6,IF(AN9-$L$2&lt;$M$5,$M$6,0))))+IF(AO16&lt;AN16,Table2[[#This Row],[Year 30]]*$L$4,0)</f>
        <v>163.1206601121728</v>
      </c>
      <c r="AT12" s="353">
        <f>AS12*(1+IF(AO9-$L$2&lt;$K$5,$K$6,IF(AO9-$L$2&lt;$L$5,$L$6,IF(AO9-$L$2&lt;$M$5,$M$6,0))))+IF(AP16&lt;AO16,Table2[[#This Row],[Year 31]]*$L$4,0)</f>
        <v>168.014279915538</v>
      </c>
      <c r="AU12" s="353">
        <f>AT12*(1+IF(AP9-$L$2&lt;$K$5,$K$6,IF(AP9-$L$2&lt;$L$5,$L$6,IF(AP9-$L$2&lt;$M$5,$M$6,0))))+IF(AQ16&lt;AP16,Table2[[#This Row],[Year 32]]*$L$4,0)</f>
        <v>173.05470831300414</v>
      </c>
      <c r="AV12" s="353">
        <f>AU12*(1+IF(AQ9-$L$2&lt;$K$5,$K$6,IF(AQ9-$L$2&lt;$L$5,$L$6,IF(AQ9-$L$2&lt;$M$5,$M$6,0))))+IF(AR16&lt;AQ16,Table2[[#This Row],[Year 33]]*$L$4,0)</f>
        <v>178.24634956239427</v>
      </c>
      <c r="AW12" s="353">
        <f>AV12*(1+IF(AR9-$L$2&lt;$K$5,$K$6,IF(AR9-$L$2&lt;$L$5,$L$6,IF(AR9-$L$2&lt;$M$5,$M$6,0))))+IF(AS16&lt;AR16,Table2[[#This Row],[Year 34]]*$L$4,0)</f>
        <v>183.5937400492661</v>
      </c>
      <c r="AX12" s="353">
        <f>AW12*(1+IF(AS9-$L$2&lt;$K$5,$K$6,IF(AS9-$L$2&lt;$L$5,$L$6,IF(AS9-$L$2&lt;$M$5,$M$6,0))))+IF(AT16&lt;AS16,Table2[[#This Row],[Year 35]]*$L$4,0)</f>
        <v>189.10155225074408</v>
      </c>
      <c r="AY12" s="353">
        <f>AX12*(1+IF(AT9-$L$2&lt;$K$5,$K$6,IF(AT9-$L$2&lt;$L$5,$L$6,IF(AT9-$L$2&lt;$M$5,$M$6,0))))+IF(AU16&lt;AT16,Table2[[#This Row],[Year 36]]*$L$4,0)</f>
        <v>189.10155225074408</v>
      </c>
      <c r="AZ12" s="353">
        <f>AY12*(1+IF(AU9-$L$2&lt;$K$5,$K$6,IF(AU9-$L$2&lt;$L$5,$L$6,IF(AU9-$L$2&lt;$M$5,$M$6,0))))+IF(AV16&lt;AU16,Table2[[#This Row],[Year 37]]*$L$4,0)</f>
        <v>189.10155225074408</v>
      </c>
      <c r="BA12" s="353">
        <f>AZ12*(1+IF(AV9-$L$2&lt;$K$5,$K$6,IF(AV9-$L$2&lt;$L$5,$L$6,IF(AV9-$L$2&lt;$M$5,$M$6,0))))+IF(AW16&lt;AV16,Table2[[#This Row],[Year 38]]*$L$4,0)</f>
        <v>189.10155225074408</v>
      </c>
      <c r="BB12" s="353">
        <f>BA12*(1+IF(AW9-$L$2&lt;$K$5,$K$6,IF(AW9-$L$2&lt;$L$5,$L$6,IF(AW9-$L$2&lt;$M$5,$M$6,0))))+IF(AX16&lt;AW16,Table2[[#This Row],[Year 39]]*$L$4,0)</f>
        <v>189.10155225074408</v>
      </c>
      <c r="BC12" s="353">
        <f>BB12*(1+IF(AX9-$L$2&lt;$K$5,$K$6,IF(AX9-$L$2&lt;$L$5,$L$6,IF(AX9-$L$2&lt;$M$5,$M$6,0))))+IF(AY16&lt;AX16,Table2[[#This Row],[Year 40]]*$L$4,0)</f>
        <v>189.10155225074408</v>
      </c>
      <c r="BD12" s="353">
        <f>BC12*(1+IF(AY9-$L$2&lt;$K$5,$K$6,IF(AY9-$L$2&lt;$L$5,$L$6,IF(AY9-$L$2&lt;$M$5,$M$6,0))))+IF(AZ16&lt;AY16,Table2[[#This Row],[Year 41]]*$L$4,0)</f>
        <v>189.10155225074408</v>
      </c>
      <c r="BE12" s="353">
        <f>BD12*(1+IF(AZ9-$L$2&lt;$K$5,$K$6,IF(AZ9-$L$2&lt;$L$5,$L$6,IF(AZ9-$L$2&lt;$M$5,$M$6,0))))+IF(BA16&lt;AZ16,Table2[[#This Row],[Year 42]]*$L$4,0)</f>
        <v>189.10155225074408</v>
      </c>
      <c r="BF12" s="353">
        <f>BE12*(1+IF(BA9-$L$2&lt;$K$5,$K$6,IF(BA9-$L$2&lt;$L$5,$L$6,IF(BA9-$L$2&lt;$M$5,$M$6,0))))+IF(BB16&lt;BA16,Table2[[#This Row],[Year 43]]*$L$4,0)</f>
        <v>189.10155225074408</v>
      </c>
      <c r="BG12" s="353">
        <f>BF12*(1+IF(BB9-$L$2&lt;$K$5,$K$6,IF(BB9-$L$2&lt;$L$5,$L$6,IF(BB9-$L$2&lt;$M$5,$M$6,0))))+IF(BC16&lt;BB16,Table2[[#This Row],[Year 44]]*$L$4,0)</f>
        <v>189.10155225074408</v>
      </c>
      <c r="BH12" s="353">
        <f>BG12*(1+IF(BC9-$L$2&lt;$K$5,$K$6,IF(BC9-$L$2&lt;$L$5,$L$6,IF(BC9-$L$2&lt;$M$5,$M$6,0))))+IF(BD16&lt;BC16,Table2[[#This Row],[Year 45]]*$L$4,0)</f>
        <v>189.10155225074408</v>
      </c>
    </row>
    <row r="13" spans="1:60" x14ac:dyDescent="0.4">
      <c r="J13" s="108" t="s">
        <v>194</v>
      </c>
      <c r="K13" s="354">
        <f>K12*K$16</f>
        <v>0</v>
      </c>
      <c r="L13" s="354">
        <f t="shared" ref="L13:P13" si="35">L12*L$16</f>
        <v>0</v>
      </c>
      <c r="M13" s="354">
        <f t="shared" si="35"/>
        <v>0</v>
      </c>
      <c r="N13" s="354">
        <f>N12*N$16</f>
        <v>253.8</v>
      </c>
      <c r="O13" s="354">
        <f t="shared" si="35"/>
        <v>2538</v>
      </c>
      <c r="P13" s="354">
        <f t="shared" si="35"/>
        <v>3045.6</v>
      </c>
      <c r="Q13" s="354">
        <f t="shared" ref="Q13" si="36">Q12*Q$16</f>
        <v>3654.72</v>
      </c>
      <c r="R13" s="354">
        <f t="shared" ref="R13" si="37">R12*R$16</f>
        <v>4385.6639999999998</v>
      </c>
      <c r="S13" s="354">
        <f t="shared" ref="S13" si="38">S12*S$16</f>
        <v>5262.7967999999992</v>
      </c>
      <c r="T13" s="354">
        <f t="shared" ref="T13" si="39">T12*T$16</f>
        <v>6315.3561599999985</v>
      </c>
      <c r="U13" s="354">
        <f t="shared" ref="U13" si="40">U12*U$16</f>
        <v>8336.270131199999</v>
      </c>
      <c r="V13" s="354">
        <f t="shared" ref="V13" si="41">V12*V$16</f>
        <v>11003.876573183999</v>
      </c>
      <c r="W13" s="354">
        <f t="shared" ref="W13" si="42">W12*W$16</f>
        <v>14525.117076602879</v>
      </c>
      <c r="X13" s="354">
        <f t="shared" ref="X13" si="43">X12*X$16</f>
        <v>19173.1545411158</v>
      </c>
      <c r="Y13" s="354">
        <f t="shared" ref="Y13" si="44">Y12*Y$16</f>
        <v>25308.563994272856</v>
      </c>
      <c r="Z13" s="354">
        <f t="shared" ref="Z13" si="45">Z12*Z$16</f>
        <v>16703.652236220085</v>
      </c>
      <c r="AA13" s="354">
        <f t="shared" ref="AA13" si="46">AA12*AA$16</f>
        <v>22048.820951810514</v>
      </c>
      <c r="AB13" s="354">
        <f t="shared" ref="AB13" si="47">AB12*AB$16</f>
        <v>22710.285580364827</v>
      </c>
      <c r="AC13" s="354">
        <f t="shared" ref="AC13" si="48">AC12*AC$16</f>
        <v>23391.594147775773</v>
      </c>
      <c r="AD13" s="354">
        <f t="shared" ref="AD13" si="49">AD12*AD$16</f>
        <v>28269.255031264067</v>
      </c>
      <c r="AE13" s="354">
        <f t="shared" ref="AE13" si="50">AE12*AE$16</f>
        <v>29117.332682201992</v>
      </c>
      <c r="AF13" s="354">
        <f t="shared" ref="AF13" si="51">AF12*AF$16</f>
        <v>29990.852662668054</v>
      </c>
      <c r="AG13" s="354">
        <f t="shared" ref="AG13" si="52">AG12*AG$16</f>
        <v>30890.578242548094</v>
      </c>
      <c r="AH13" s="354">
        <f t="shared" ref="AH13" si="53">AH12*AH$16</f>
        <v>31817.295589824538</v>
      </c>
      <c r="AI13" s="354">
        <f t="shared" ref="AI13" si="54">AI12*AI$16</f>
        <v>32771.814457519278</v>
      </c>
      <c r="AJ13" s="354">
        <f t="shared" ref="AJ13" si="55">AJ12*AJ$16</f>
        <v>33754.968891244855</v>
      </c>
      <c r="AK13" s="354">
        <f t="shared" ref="AK13" si="56">AK12*AK$16</f>
        <v>34767.617957982198</v>
      </c>
      <c r="AL13" s="354">
        <f t="shared" ref="AL13" si="57">AL12*AL$16</f>
        <v>35810.646496721667</v>
      </c>
      <c r="AM13" s="354">
        <f t="shared" ref="AM13" si="58">AM12*AM$16</f>
        <v>36884.965891623317</v>
      </c>
      <c r="AN13" s="354">
        <f t="shared" ref="AN13" si="59">AN12*AN$16</f>
        <v>37991.514868372018</v>
      </c>
      <c r="AO13" s="354">
        <f t="shared" ref="AO13" si="60">AO12*AO$16</f>
        <v>39131.260314423176</v>
      </c>
      <c r="AP13" s="354">
        <f t="shared" ref="AP13" si="61">AP12*AP$16</f>
        <v>40305.198123855873</v>
      </c>
      <c r="AQ13" s="354">
        <f t="shared" ref="AQ13" si="62">AQ12*AQ$16</f>
        <v>41514.354067571541</v>
      </c>
      <c r="AR13" s="354">
        <f t="shared" ref="AR13" si="63">AR12*AR$16</f>
        <v>42759.784689598695</v>
      </c>
      <c r="AS13" s="354">
        <f t="shared" ref="AS13" si="64">AS12*AS$16</f>
        <v>44042.578230286657</v>
      </c>
      <c r="AT13" s="354">
        <f t="shared" ref="AT13" si="65">AT12*AT$16</f>
        <v>45363.85557719526</v>
      </c>
      <c r="AU13" s="354">
        <f t="shared" ref="AU13" si="66">AU12*AU$16</f>
        <v>46724.771244511117</v>
      </c>
      <c r="AV13" s="354">
        <f t="shared" ref="AV13" si="67">AV12*AV$16</f>
        <v>48126.514381846457</v>
      </c>
      <c r="AW13" s="354">
        <f t="shared" ref="AW13" si="68">AW12*AW$16</f>
        <v>49570.30981330185</v>
      </c>
      <c r="AX13" s="354">
        <f t="shared" ref="AX13" si="69">AX12*AX$16</f>
        <v>51057.419107700902</v>
      </c>
      <c r="AY13" s="354">
        <f t="shared" ref="AY13" si="70">AY12*AY$16</f>
        <v>51057.419107700902</v>
      </c>
      <c r="AZ13" s="354">
        <f t="shared" ref="AZ13" si="71">AZ12*AZ$16</f>
        <v>51057.419107700902</v>
      </c>
      <c r="BA13" s="354">
        <f t="shared" ref="BA13" si="72">BA12*BA$16</f>
        <v>51057.419107700902</v>
      </c>
      <c r="BB13" s="354">
        <f t="shared" ref="BB13" si="73">BB12*BB$16</f>
        <v>51057.419107700902</v>
      </c>
      <c r="BC13" s="354">
        <f t="shared" ref="BC13" si="74">BC12*BC$16</f>
        <v>51057.419107700902</v>
      </c>
      <c r="BD13" s="354">
        <f t="shared" ref="BD13" si="75">BD12*BD$16</f>
        <v>51057.419107700902</v>
      </c>
      <c r="BE13" s="354">
        <f t="shared" ref="BE13" si="76">BE12*BE$16</f>
        <v>51057.419107700902</v>
      </c>
      <c r="BF13" s="354">
        <f t="shared" ref="BF13" si="77">BF12*BF$16</f>
        <v>51057.419107700902</v>
      </c>
      <c r="BG13" s="354">
        <f t="shared" ref="BG13:BH13" si="78">BG12*BG$16</f>
        <v>51057.419107700902</v>
      </c>
      <c r="BH13" s="354">
        <f t="shared" si="78"/>
        <v>51057.419107700902</v>
      </c>
    </row>
    <row r="14" spans="1:60" x14ac:dyDescent="0.4">
      <c r="J14" s="108" t="s">
        <v>196</v>
      </c>
      <c r="K14" s="353">
        <f>K12*(1+$L$34)</f>
        <v>0</v>
      </c>
      <c r="L14" s="353">
        <f t="shared" ref="L14:P14" si="79">L12*(1+$L$34)</f>
        <v>0</v>
      </c>
      <c r="M14" s="353">
        <f t="shared" si="79"/>
        <v>0</v>
      </c>
      <c r="N14" s="353">
        <f t="shared" si="79"/>
        <v>0.56400000000000006</v>
      </c>
      <c r="O14" s="353">
        <f t="shared" si="79"/>
        <v>5.64</v>
      </c>
      <c r="P14" s="353">
        <f t="shared" si="79"/>
        <v>6.7679999999999998</v>
      </c>
      <c r="Q14" s="353">
        <f t="shared" ref="Q14:BH14" si="80">Q12*(1+$L$34)</f>
        <v>8.121599999999999</v>
      </c>
      <c r="R14" s="353">
        <f t="shared" si="80"/>
        <v>9.7459199999999981</v>
      </c>
      <c r="S14" s="353">
        <f t="shared" si="80"/>
        <v>11.695103999999997</v>
      </c>
      <c r="T14" s="353">
        <f t="shared" si="80"/>
        <v>14.034124799999995</v>
      </c>
      <c r="U14" s="353">
        <f t="shared" si="80"/>
        <v>18.525044735999995</v>
      </c>
      <c r="V14" s="353">
        <f t="shared" si="80"/>
        <v>24.453059051519997</v>
      </c>
      <c r="W14" s="353">
        <f t="shared" si="80"/>
        <v>32.278037948006393</v>
      </c>
      <c r="X14" s="353">
        <f t="shared" si="80"/>
        <v>42.607010091368444</v>
      </c>
      <c r="Y14" s="353">
        <f t="shared" si="80"/>
        <v>56.241253320606347</v>
      </c>
      <c r="Z14" s="353">
        <f t="shared" si="80"/>
        <v>74.238454383200377</v>
      </c>
      <c r="AA14" s="353">
        <f t="shared" si="80"/>
        <v>97.994759785824499</v>
      </c>
      <c r="AB14" s="353">
        <f t="shared" si="80"/>
        <v>100.93460257939924</v>
      </c>
      <c r="AC14" s="353">
        <f t="shared" si="80"/>
        <v>103.9626406567812</v>
      </c>
      <c r="AD14" s="353">
        <f t="shared" si="80"/>
        <v>125.64113347228474</v>
      </c>
      <c r="AE14" s="353">
        <f t="shared" si="80"/>
        <v>129.4103674764533</v>
      </c>
      <c r="AF14" s="353">
        <f t="shared" si="80"/>
        <v>133.29267850074689</v>
      </c>
      <c r="AG14" s="353">
        <f t="shared" si="80"/>
        <v>137.29145885576929</v>
      </c>
      <c r="AH14" s="353">
        <f t="shared" si="80"/>
        <v>141.41020262144238</v>
      </c>
      <c r="AI14" s="353">
        <f t="shared" si="80"/>
        <v>145.65250870008566</v>
      </c>
      <c r="AJ14" s="353">
        <f t="shared" si="80"/>
        <v>150.02208396108824</v>
      </c>
      <c r="AK14" s="353">
        <f t="shared" si="80"/>
        <v>154.52274647992087</v>
      </c>
      <c r="AL14" s="353">
        <f t="shared" si="80"/>
        <v>159.1584288743185</v>
      </c>
      <c r="AM14" s="353">
        <f t="shared" si="80"/>
        <v>163.93318174054806</v>
      </c>
      <c r="AN14" s="353">
        <f t="shared" si="80"/>
        <v>168.85117719276451</v>
      </c>
      <c r="AO14" s="353">
        <f t="shared" si="80"/>
        <v>173.91671250854742</v>
      </c>
      <c r="AP14" s="353">
        <f t="shared" si="80"/>
        <v>179.13421388380385</v>
      </c>
      <c r="AQ14" s="353">
        <f t="shared" si="80"/>
        <v>184.50824030031796</v>
      </c>
      <c r="AR14" s="353">
        <f t="shared" si="80"/>
        <v>190.04348750932752</v>
      </c>
      <c r="AS14" s="353">
        <f t="shared" si="80"/>
        <v>195.74479213460737</v>
      </c>
      <c r="AT14" s="353">
        <f t="shared" si="80"/>
        <v>201.61713589864559</v>
      </c>
      <c r="AU14" s="353">
        <f t="shared" si="80"/>
        <v>207.66564997560496</v>
      </c>
      <c r="AV14" s="353">
        <f t="shared" si="80"/>
        <v>213.89561947487311</v>
      </c>
      <c r="AW14" s="353">
        <f t="shared" si="80"/>
        <v>220.31248805911932</v>
      </c>
      <c r="AX14" s="353">
        <f t="shared" si="80"/>
        <v>226.92186270089289</v>
      </c>
      <c r="AY14" s="353">
        <f t="shared" si="80"/>
        <v>226.92186270089289</v>
      </c>
      <c r="AZ14" s="353">
        <f t="shared" si="80"/>
        <v>226.92186270089289</v>
      </c>
      <c r="BA14" s="353">
        <f t="shared" si="80"/>
        <v>226.92186270089289</v>
      </c>
      <c r="BB14" s="353">
        <f t="shared" si="80"/>
        <v>226.92186270089289</v>
      </c>
      <c r="BC14" s="353">
        <f t="shared" si="80"/>
        <v>226.92186270089289</v>
      </c>
      <c r="BD14" s="353">
        <f t="shared" si="80"/>
        <v>226.92186270089289</v>
      </c>
      <c r="BE14" s="353">
        <f t="shared" si="80"/>
        <v>226.92186270089289</v>
      </c>
      <c r="BF14" s="353">
        <f t="shared" si="80"/>
        <v>226.92186270089289</v>
      </c>
      <c r="BG14" s="353">
        <f t="shared" si="80"/>
        <v>226.92186270089289</v>
      </c>
      <c r="BH14" s="353">
        <f t="shared" si="80"/>
        <v>226.92186270089289</v>
      </c>
    </row>
    <row r="15" spans="1:60" x14ac:dyDescent="0.4">
      <c r="J15" s="108" t="s">
        <v>195</v>
      </c>
      <c r="K15" s="354">
        <f>K14*K$16</f>
        <v>0</v>
      </c>
      <c r="L15" s="354">
        <f t="shared" ref="L15:P15" si="81">L14*L$16</f>
        <v>0</v>
      </c>
      <c r="M15" s="354">
        <f t="shared" si="81"/>
        <v>0</v>
      </c>
      <c r="N15" s="354">
        <f t="shared" si="81"/>
        <v>304.56000000000006</v>
      </c>
      <c r="O15" s="354">
        <f t="shared" si="81"/>
        <v>3045.6</v>
      </c>
      <c r="P15" s="354">
        <f t="shared" si="81"/>
        <v>3654.72</v>
      </c>
      <c r="Q15" s="354">
        <f t="shared" ref="Q15" si="82">Q14*Q$16</f>
        <v>4385.6639999999998</v>
      </c>
      <c r="R15" s="354">
        <f t="shared" ref="R15" si="83">R14*R$16</f>
        <v>5262.7967999999992</v>
      </c>
      <c r="S15" s="354">
        <f t="shared" ref="S15" si="84">S14*S$16</f>
        <v>6315.3561599999985</v>
      </c>
      <c r="T15" s="354">
        <f t="shared" ref="T15" si="85">T14*T$16</f>
        <v>7578.4273919999978</v>
      </c>
      <c r="U15" s="354">
        <f t="shared" ref="U15" si="86">U14*U$16</f>
        <v>10003.524157439997</v>
      </c>
      <c r="V15" s="354">
        <f t="shared" ref="V15" si="87">V14*V$16</f>
        <v>13204.651887820799</v>
      </c>
      <c r="W15" s="354">
        <f t="shared" ref="W15" si="88">W14*W$16</f>
        <v>17430.140491923452</v>
      </c>
      <c r="X15" s="354">
        <f t="shared" ref="X15" si="89">X14*X$16</f>
        <v>23007.78544933896</v>
      </c>
      <c r="Y15" s="354">
        <f t="shared" ref="Y15" si="90">Y14*Y$16</f>
        <v>30370.276793127428</v>
      </c>
      <c r="Z15" s="354">
        <f t="shared" ref="Z15" si="91">Z14*Z$16</f>
        <v>20044.3826834641</v>
      </c>
      <c r="AA15" s="354">
        <f t="shared" ref="AA15" si="92">AA14*AA$16</f>
        <v>26458.585142172615</v>
      </c>
      <c r="AB15" s="354">
        <f t="shared" ref="AB15" si="93">AB14*AB$16</f>
        <v>27252.342696437794</v>
      </c>
      <c r="AC15" s="354">
        <f t="shared" ref="AC15" si="94">AC14*AC$16</f>
        <v>28069.912977330925</v>
      </c>
      <c r="AD15" s="354">
        <f t="shared" ref="AD15" si="95">AD14*AD$16</f>
        <v>33923.106037516882</v>
      </c>
      <c r="AE15" s="354">
        <f t="shared" ref="AE15" si="96">AE14*AE$16</f>
        <v>34940.799218642394</v>
      </c>
      <c r="AF15" s="354">
        <f t="shared" ref="AF15" si="97">AF14*AF$16</f>
        <v>35989.023195201662</v>
      </c>
      <c r="AG15" s="354">
        <f t="shared" ref="AG15" si="98">AG14*AG$16</f>
        <v>37068.693891057708</v>
      </c>
      <c r="AH15" s="354">
        <f t="shared" ref="AH15" si="99">AH14*AH$16</f>
        <v>38180.754707789441</v>
      </c>
      <c r="AI15" s="354">
        <f t="shared" ref="AI15" si="100">AI14*AI$16</f>
        <v>39326.177349023128</v>
      </c>
      <c r="AJ15" s="354">
        <f t="shared" ref="AJ15" si="101">AJ14*AJ$16</f>
        <v>40505.962669493827</v>
      </c>
      <c r="AK15" s="354">
        <f t="shared" ref="AK15" si="102">AK14*AK$16</f>
        <v>41721.141549578635</v>
      </c>
      <c r="AL15" s="354">
        <f t="shared" ref="AL15" si="103">AL14*AL$16</f>
        <v>42972.775796065995</v>
      </c>
      <c r="AM15" s="354">
        <f t="shared" ref="AM15" si="104">AM14*AM$16</f>
        <v>44261.959069947974</v>
      </c>
      <c r="AN15" s="354">
        <f t="shared" ref="AN15" si="105">AN14*AN$16</f>
        <v>45589.817842046417</v>
      </c>
      <c r="AO15" s="354">
        <f t="shared" ref="AO15" si="106">AO14*AO$16</f>
        <v>46957.512377307801</v>
      </c>
      <c r="AP15" s="354">
        <f t="shared" ref="AP15" si="107">AP14*AP$16</f>
        <v>48366.237748627042</v>
      </c>
      <c r="AQ15" s="354">
        <f t="shared" ref="AQ15" si="108">AQ14*AQ$16</f>
        <v>49817.224881085851</v>
      </c>
      <c r="AR15" s="354">
        <f t="shared" ref="AR15" si="109">AR14*AR$16</f>
        <v>51311.74162751843</v>
      </c>
      <c r="AS15" s="354">
        <f t="shared" ref="AS15" si="110">AS14*AS$16</f>
        <v>52851.093876343992</v>
      </c>
      <c r="AT15" s="354">
        <f t="shared" ref="AT15" si="111">AT14*AT$16</f>
        <v>54436.626692634309</v>
      </c>
      <c r="AU15" s="354">
        <f t="shared" ref="AU15" si="112">AU14*AU$16</f>
        <v>56069.725493413338</v>
      </c>
      <c r="AV15" s="354">
        <f t="shared" ref="AV15" si="113">AV14*AV$16</f>
        <v>57751.817258215742</v>
      </c>
      <c r="AW15" s="354">
        <f t="shared" ref="AW15" si="114">AW14*AW$16</f>
        <v>59484.371775962216</v>
      </c>
      <c r="AX15" s="354">
        <f t="shared" ref="AX15" si="115">AX14*AX$16</f>
        <v>61268.902929241078</v>
      </c>
      <c r="AY15" s="354">
        <f t="shared" ref="AY15" si="116">AY14*AY$16</f>
        <v>61268.902929241078</v>
      </c>
      <c r="AZ15" s="354">
        <f t="shared" ref="AZ15" si="117">AZ14*AZ$16</f>
        <v>61268.902929241078</v>
      </c>
      <c r="BA15" s="354">
        <f t="shared" ref="BA15" si="118">BA14*BA$16</f>
        <v>61268.902929241078</v>
      </c>
      <c r="BB15" s="354">
        <f t="shared" ref="BB15" si="119">BB14*BB$16</f>
        <v>61268.902929241078</v>
      </c>
      <c r="BC15" s="354">
        <f t="shared" ref="BC15" si="120">BC14*BC$16</f>
        <v>61268.902929241078</v>
      </c>
      <c r="BD15" s="354">
        <f t="shared" ref="BD15" si="121">BD14*BD$16</f>
        <v>61268.902929241078</v>
      </c>
      <c r="BE15" s="354">
        <f t="shared" ref="BE15" si="122">BE14*BE$16</f>
        <v>61268.902929241078</v>
      </c>
      <c r="BF15" s="354">
        <f t="shared" ref="BF15" si="123">BF14*BF$16</f>
        <v>61268.902929241078</v>
      </c>
      <c r="BG15" s="354">
        <f t="shared" ref="BG15:BH15" si="124">BG14*BG$16</f>
        <v>61268.902929241078</v>
      </c>
      <c r="BH15" s="354">
        <f t="shared" si="124"/>
        <v>61268.902929241078</v>
      </c>
    </row>
    <row r="16" spans="1:60" x14ac:dyDescent="0.4">
      <c r="J16" s="108" t="s">
        <v>199</v>
      </c>
      <c r="K16" s="188">
        <f>Inputs!D5*Inputs!D3</f>
        <v>540</v>
      </c>
      <c r="L16" s="188">
        <f>IF(L9-$K$9&lt;Inputs!$D$7,Table2[[#This Row],[Year 1]],IF('Long-term Model Summary'!L9-'Long-term Model Summary'!$K$9&gt;Inputs!$D$9,Inputs!$D$5*Inputs!$D$3*(1-Inputs!$D$8-Inputs!$D$10),Inputs!$D$5*Inputs!$D$3*(1-Inputs!$D$8)))</f>
        <v>540</v>
      </c>
      <c r="M16" s="188">
        <f>IF(M9-$K$9&lt;Inputs!$D$7,Table2[[#This Row],[Year 2]],IF('Long-term Model Summary'!M9-'Long-term Model Summary'!$K$9&gt;Inputs!$D$9,Inputs!$D$5*Inputs!$D$3*(1-Inputs!$D$8-Inputs!$D$10),Inputs!$D$5*Inputs!$D$3*(1-Inputs!$D$8)))</f>
        <v>540</v>
      </c>
      <c r="N16" s="188">
        <f>IF(N9-$K$9&lt;Inputs!$D$7,Table2[[#This Row],[Year 3]],IF('Long-term Model Summary'!N9-'Long-term Model Summary'!$K$9&gt;Inputs!$D$9,Inputs!$D$5*Inputs!$D$3*(1-Inputs!$D$8-Inputs!$D$10),Inputs!$D$5*Inputs!$D$3*(1-Inputs!$D$8)))</f>
        <v>540</v>
      </c>
      <c r="O16" s="188">
        <f>IF(O9-$K$9&lt;Inputs!$D$7,Table2[[#This Row],[Year 4]],IF('Long-term Model Summary'!O9-'Long-term Model Summary'!$K$9&gt;Inputs!$D$9,Inputs!$D$5*Inputs!$D$3*(1-Inputs!$D$8-Inputs!$D$10),Inputs!$D$5*Inputs!$D$3*(1-Inputs!$D$8)))</f>
        <v>540</v>
      </c>
      <c r="P16" s="188">
        <f>IF(P9-$K$9&lt;Inputs!$D$7,Table2[[#This Row],[Year 5]],IF('Long-term Model Summary'!P9-'Long-term Model Summary'!$K$9&gt;Inputs!$D$9,Inputs!$D$5*Inputs!$D$3*(1-Inputs!$D$8-Inputs!$D$10),Inputs!$D$5*Inputs!$D$3*(1-Inputs!$D$8)))</f>
        <v>540</v>
      </c>
      <c r="Q16" s="188">
        <f>IF(Q9-$K$9&lt;Inputs!$D$7,Table2[[#This Row],[Year 6]],IF('Long-term Model Summary'!Q9-'Long-term Model Summary'!$K$9&gt;Inputs!$D$9,Inputs!$D$5*Inputs!$D$3*(1-Inputs!$D$8-Inputs!$D$10),Inputs!$D$5*Inputs!$D$3*(1-Inputs!$D$8)))</f>
        <v>540</v>
      </c>
      <c r="R16" s="188">
        <f>IF(R9-$K$9&lt;Inputs!$D$7,Table2[[#This Row],[Year 7]],IF('Long-term Model Summary'!R9-'Long-term Model Summary'!$K$9&gt;Inputs!$D$9,Inputs!$D$5*Inputs!$D$3*(1-Inputs!$D$8-Inputs!$D$10),Inputs!$D$5*Inputs!$D$3*(1-Inputs!$D$8)))</f>
        <v>540</v>
      </c>
      <c r="S16" s="188">
        <f>IF(S9-$K$9&lt;Inputs!$D$7,Table2[[#This Row],[Year 8]],IF('Long-term Model Summary'!S9-'Long-term Model Summary'!$K$9&gt;Inputs!$D$9,Inputs!$D$5*Inputs!$D$3*(1-Inputs!$D$8-Inputs!$D$10),Inputs!$D$5*Inputs!$D$3*(1-Inputs!$D$8)))</f>
        <v>540</v>
      </c>
      <c r="T16" s="188">
        <f>IF(T9-$K$9&lt;Inputs!$D$7,Table2[[#This Row],[Year 9]],IF('Long-term Model Summary'!T9-'Long-term Model Summary'!$K$9&gt;Inputs!$D$9,Inputs!$D$5*Inputs!$D$3*(1-Inputs!$D$8-Inputs!$D$10),Inputs!$D$5*Inputs!$D$3*(1-Inputs!$D$8)))</f>
        <v>540</v>
      </c>
      <c r="U16" s="188">
        <f>IF(U9-$K$9&lt;Inputs!$D$7,Table2[[#This Row],[Year 10]],IF('Long-term Model Summary'!U9-'Long-term Model Summary'!$K$9&gt;Inputs!$D$9,Inputs!$D$5*Inputs!$D$3*(1-Inputs!$D$8-Inputs!$D$10),Inputs!$D$5*Inputs!$D$3*(1-Inputs!$D$8)))</f>
        <v>540</v>
      </c>
      <c r="V16" s="188">
        <f>IF(V9-$K$9&lt;Inputs!$D$7,Table2[[#This Row],[Year 11]],IF('Long-term Model Summary'!V9-'Long-term Model Summary'!$K$9&gt;Inputs!$D$9,Inputs!$D$5*Inputs!$D$3*(1-Inputs!$D$8-Inputs!$D$10),Inputs!$D$5*Inputs!$D$3*(1-Inputs!$D$8)))</f>
        <v>540</v>
      </c>
      <c r="W16" s="188">
        <f>IF(W9-$K$9&lt;Inputs!$D$7,Table2[[#This Row],[Year 12]],IF('Long-term Model Summary'!W9-'Long-term Model Summary'!$K$9&gt;Inputs!$D$9,Inputs!$D$5*Inputs!$D$3*(1-Inputs!$D$8-Inputs!$D$10),Inputs!$D$5*Inputs!$D$3*(1-Inputs!$D$8)))</f>
        <v>540</v>
      </c>
      <c r="X16" s="188">
        <f>IF(X9-$K$9&lt;Inputs!$D$7,Table2[[#This Row],[Year 13]],IF('Long-term Model Summary'!X9-'Long-term Model Summary'!$K$9&gt;Inputs!$D$9,Inputs!$D$5*Inputs!$D$3*(1-Inputs!$D$8-Inputs!$D$10),Inputs!$D$5*Inputs!$D$3*(1-Inputs!$D$8)))</f>
        <v>540</v>
      </c>
      <c r="Y16" s="188">
        <f>IF(Y9-$K$9&lt;Inputs!$D$7,Table2[[#This Row],[Year 2]],IF('Long-term Model Summary'!Y9-'Long-term Model Summary'!$K$9&gt;Inputs!$D$9,Inputs!$D$5*Inputs!$D$3*(1-Inputs!$D$8-Inputs!$D$10),Inputs!$D$5*Inputs!$D$3*(1-Inputs!$D$8)))</f>
        <v>540</v>
      </c>
      <c r="Z16" s="188">
        <f>IF(Z9-$K$9&lt;Inputs!$D$7,Table2[[#This Row],[Year 3]],IF('Long-term Model Summary'!Z9-'Long-term Model Summary'!$K$9&gt;Inputs!$D$9,Inputs!$D$5*Inputs!$D$3*(1-Inputs!$D$8-Inputs!$D$10),Inputs!$D$5*Inputs!$D$3*(1-Inputs!$D$8)))</f>
        <v>270</v>
      </c>
      <c r="AA16" s="188">
        <f>IF(AA9-$K$9&lt;Inputs!$D$7,Table2[[#This Row],[Year 4]],IF('Long-term Model Summary'!AA9-'Long-term Model Summary'!$K$9&gt;Inputs!$D$9,Inputs!$D$5*Inputs!$D$3*(1-Inputs!$D$8-Inputs!$D$10),Inputs!$D$5*Inputs!$D$3*(1-Inputs!$D$8)))</f>
        <v>270</v>
      </c>
      <c r="AB16" s="188">
        <f>IF(AB9-$K$9&lt;Inputs!$D$7,Table2[[#This Row],[Year 5]],IF('Long-term Model Summary'!AB9-'Long-term Model Summary'!$K$9&gt;Inputs!$D$9,Inputs!$D$5*Inputs!$D$3*(1-Inputs!$D$8-Inputs!$D$10),Inputs!$D$5*Inputs!$D$3*(1-Inputs!$D$8)))</f>
        <v>270</v>
      </c>
      <c r="AC16" s="188">
        <f>IF(AC9-$K$9&lt;Inputs!$D$7,Table2[[#This Row],[Year 6]],IF('Long-term Model Summary'!AC9-'Long-term Model Summary'!$K$9&gt;Inputs!$D$9,Inputs!$D$5*Inputs!$D$3*(1-Inputs!$D$8-Inputs!$D$10),Inputs!$D$5*Inputs!$D$3*(1-Inputs!$D$8)))</f>
        <v>270</v>
      </c>
      <c r="AD16" s="188">
        <f>IF(AD9-$K$9&lt;Inputs!$D$7,Table2[[#This Row],[Year 7]],IF('Long-term Model Summary'!AD9-'Long-term Model Summary'!$K$9&gt;Inputs!$D$9,Inputs!$D$5*Inputs!$D$3*(1-Inputs!$D$8-Inputs!$D$10),Inputs!$D$5*Inputs!$D$3*(1-Inputs!$D$8)))</f>
        <v>270</v>
      </c>
      <c r="AE16" s="188">
        <f>IF(AE9-$K$9&lt;Inputs!$D$7,Table2[[#This Row],[Year 8]],IF('Long-term Model Summary'!AE9-'Long-term Model Summary'!$K$9&gt;Inputs!$D$9,Inputs!$D$5*Inputs!$D$3*(1-Inputs!$D$8-Inputs!$D$10),Inputs!$D$5*Inputs!$D$3*(1-Inputs!$D$8)))</f>
        <v>270</v>
      </c>
      <c r="AF16" s="188">
        <f>IF(AF9-$K$9&lt;Inputs!$D$7,Table2[[#This Row],[Year 9]],IF('Long-term Model Summary'!AF9-'Long-term Model Summary'!$K$9&gt;Inputs!$D$9,Inputs!$D$5*Inputs!$D$3*(1-Inputs!$D$8-Inputs!$D$10),Inputs!$D$5*Inputs!$D$3*(1-Inputs!$D$8)))</f>
        <v>270</v>
      </c>
      <c r="AG16" s="188">
        <f>IF(AG9-$K$9&lt;Inputs!$D$7,Table2[[#This Row],[Year 10]],IF('Long-term Model Summary'!AG9-'Long-term Model Summary'!$K$9&gt;Inputs!$D$9,Inputs!$D$5*Inputs!$D$3*(1-Inputs!$D$8-Inputs!$D$10),Inputs!$D$5*Inputs!$D$3*(1-Inputs!$D$8)))</f>
        <v>270</v>
      </c>
      <c r="AH16" s="188">
        <f>IF(AH9-$K$9&lt;Inputs!$D$7,Table2[[#This Row],[Year 11]],IF('Long-term Model Summary'!AH9-'Long-term Model Summary'!$K$9&gt;Inputs!$D$9,Inputs!$D$5*Inputs!$D$3*(1-Inputs!$D$8-Inputs!$D$10),Inputs!$D$5*Inputs!$D$3*(1-Inputs!$D$8)))</f>
        <v>270</v>
      </c>
      <c r="AI16" s="188">
        <f>IF(AI9-$K$9&lt;Inputs!$D$7,Table2[[#This Row],[Year 12]],IF('Long-term Model Summary'!AI9-'Long-term Model Summary'!$K$9&gt;Inputs!$D$9,Inputs!$D$5*Inputs!$D$3*(1-Inputs!$D$8-Inputs!$D$10),Inputs!$D$5*Inputs!$D$3*(1-Inputs!$D$8)))</f>
        <v>270</v>
      </c>
      <c r="AJ16" s="188">
        <f>IF(AJ9-$K$9&lt;Inputs!$D$7,Table2[[#This Row],[Year 13]],IF('Long-term Model Summary'!AJ9-'Long-term Model Summary'!$K$9&gt;Inputs!$D$9,Inputs!$D$5*Inputs!$D$3*(1-Inputs!$D$8-Inputs!$D$10),Inputs!$D$5*Inputs!$D$3*(1-Inputs!$D$8)))</f>
        <v>270</v>
      </c>
      <c r="AK16" s="188">
        <f>IF(AK9-$K$9&lt;Inputs!$D$7,Table2[[#This Row],[Year 14]],IF('Long-term Model Summary'!AK9-'Long-term Model Summary'!$K$9&gt;Inputs!$D$9,Inputs!$D$5*Inputs!$D$3*(1-Inputs!$D$8-Inputs!$D$10),Inputs!$D$5*Inputs!$D$3*(1-Inputs!$D$8)))</f>
        <v>270</v>
      </c>
      <c r="AL16" s="188">
        <f>IF(AL9-$K$9&lt;Inputs!$D$7,Table2[[#This Row],[Year 3]],IF('Long-term Model Summary'!AL9-'Long-term Model Summary'!$K$9&gt;Inputs!$D$9,Inputs!$D$5*Inputs!$D$3*(1-Inputs!$D$8-Inputs!$D$10),Inputs!$D$5*Inputs!$D$3*(1-Inputs!$D$8)))</f>
        <v>270</v>
      </c>
      <c r="AM16" s="188">
        <f>IF(AM9-$K$9&lt;Inputs!$D$7,Table2[[#This Row],[Year 4]],IF('Long-term Model Summary'!AM9-'Long-term Model Summary'!$K$9&gt;Inputs!$D$9,Inputs!$D$5*Inputs!$D$3*(1-Inputs!$D$8-Inputs!$D$10),Inputs!$D$5*Inputs!$D$3*(1-Inputs!$D$8)))</f>
        <v>270</v>
      </c>
      <c r="AN16" s="188">
        <f>IF(AN9-$K$9&lt;Inputs!$D$7,Table2[[#This Row],[Year 5]],IF('Long-term Model Summary'!AN9-'Long-term Model Summary'!$K$9&gt;Inputs!$D$9,Inputs!$D$5*Inputs!$D$3*(1-Inputs!$D$8-Inputs!$D$10),Inputs!$D$5*Inputs!$D$3*(1-Inputs!$D$8)))</f>
        <v>270</v>
      </c>
      <c r="AO16" s="188">
        <f>IF(AO9-$K$9&lt;Inputs!$D$7,Table2[[#This Row],[Year 6]],IF('Long-term Model Summary'!AO9-'Long-term Model Summary'!$K$9&gt;Inputs!$D$9,Inputs!$D$5*Inputs!$D$3*(1-Inputs!$D$8-Inputs!$D$10),Inputs!$D$5*Inputs!$D$3*(1-Inputs!$D$8)))</f>
        <v>270</v>
      </c>
      <c r="AP16" s="188">
        <f>IF(AP9-$K$9&lt;Inputs!$D$7,Table2[[#This Row],[Year 7]],IF('Long-term Model Summary'!AP9-'Long-term Model Summary'!$K$9&gt;Inputs!$D$9,Inputs!$D$5*Inputs!$D$3*(1-Inputs!$D$8-Inputs!$D$10),Inputs!$D$5*Inputs!$D$3*(1-Inputs!$D$8)))</f>
        <v>270</v>
      </c>
      <c r="AQ16" s="188">
        <f>IF(AQ9-$K$9&lt;Inputs!$D$7,Table2[[#This Row],[Year 8]],IF('Long-term Model Summary'!AQ9-'Long-term Model Summary'!$K$9&gt;Inputs!$D$9,Inputs!$D$5*Inputs!$D$3*(1-Inputs!$D$8-Inputs!$D$10),Inputs!$D$5*Inputs!$D$3*(1-Inputs!$D$8)))</f>
        <v>270</v>
      </c>
      <c r="AR16" s="188">
        <f>IF(AR9-$K$9&lt;Inputs!$D$7,Table2[[#This Row],[Year 9]],IF('Long-term Model Summary'!AR9-'Long-term Model Summary'!$K$9&gt;Inputs!$D$9,Inputs!$D$5*Inputs!$D$3*(1-Inputs!$D$8-Inputs!$D$10),Inputs!$D$5*Inputs!$D$3*(1-Inputs!$D$8)))</f>
        <v>270</v>
      </c>
      <c r="AS16" s="188">
        <f>IF(AS9-$K$9&lt;Inputs!$D$7,Table2[[#This Row],[Year 10]],IF('Long-term Model Summary'!AS9-'Long-term Model Summary'!$K$9&gt;Inputs!$D$9,Inputs!$D$5*Inputs!$D$3*(1-Inputs!$D$8-Inputs!$D$10),Inputs!$D$5*Inputs!$D$3*(1-Inputs!$D$8)))</f>
        <v>270</v>
      </c>
      <c r="AT16" s="188">
        <f>IF(AT9-$K$9&lt;Inputs!$D$7,Table2[[#This Row],[Year 11]],IF('Long-term Model Summary'!AT9-'Long-term Model Summary'!$K$9&gt;Inputs!$D$9,Inputs!$D$5*Inputs!$D$3*(1-Inputs!$D$8-Inputs!$D$10),Inputs!$D$5*Inputs!$D$3*(1-Inputs!$D$8)))</f>
        <v>270</v>
      </c>
      <c r="AU16" s="188">
        <f>IF(AU9-$K$9&lt;Inputs!$D$7,Table2[[#This Row],[Year 12]],IF('Long-term Model Summary'!AU9-'Long-term Model Summary'!$K$9&gt;Inputs!$D$9,Inputs!$D$5*Inputs!$D$3*(1-Inputs!$D$8-Inputs!$D$10),Inputs!$D$5*Inputs!$D$3*(1-Inputs!$D$8)))</f>
        <v>270</v>
      </c>
      <c r="AV16" s="188">
        <f>IF(AV9-$K$9&lt;Inputs!$D$7,Table2[[#This Row],[Year 13]],IF('Long-term Model Summary'!AV9-'Long-term Model Summary'!$K$9&gt;Inputs!$D$9,Inputs!$D$5*Inputs!$D$3*(1-Inputs!$D$8-Inputs!$D$10),Inputs!$D$5*Inputs!$D$3*(1-Inputs!$D$8)))</f>
        <v>270</v>
      </c>
      <c r="AW16" s="188">
        <f>IF(AW9-$K$9&lt;Inputs!$D$7,Table2[[#This Row],[Year 14]],IF('Long-term Model Summary'!AW9-'Long-term Model Summary'!$K$9&gt;Inputs!$D$9,Inputs!$D$5*Inputs!$D$3*(1-Inputs!$D$8-Inputs!$D$10),Inputs!$D$5*Inputs!$D$3*(1-Inputs!$D$8)))</f>
        <v>270</v>
      </c>
      <c r="AX16" s="188">
        <f>IF(AX9-$K$9&lt;Inputs!$D$7,Table2[[#This Row],[Year 15]],IF('Long-term Model Summary'!AX9-'Long-term Model Summary'!$K$9&gt;Inputs!$D$9,Inputs!$D$5*Inputs!$D$3*(1-Inputs!$D$8-Inputs!$D$10),Inputs!$D$5*Inputs!$D$3*(1-Inputs!$D$8)))</f>
        <v>270</v>
      </c>
      <c r="AY16" s="188">
        <f>IF(AY9-$K$9&lt;Inputs!$D$7,Table2[[#This Row],[Year 4]],IF('Long-term Model Summary'!AY9-'Long-term Model Summary'!$K$9&gt;Inputs!$D$9,Inputs!$D$5*Inputs!$D$3*(1-Inputs!$D$8-Inputs!$D$10),Inputs!$D$5*Inputs!$D$3*(1-Inputs!$D$8)))</f>
        <v>270</v>
      </c>
      <c r="AZ16" s="188">
        <f>IF(AZ9-$K$9&lt;Inputs!$D$7,Table2[[#This Row],[Year 5]],IF('Long-term Model Summary'!AZ9-'Long-term Model Summary'!$K$9&gt;Inputs!$D$9,Inputs!$D$5*Inputs!$D$3*(1-Inputs!$D$8-Inputs!$D$10),Inputs!$D$5*Inputs!$D$3*(1-Inputs!$D$8)))</f>
        <v>270</v>
      </c>
      <c r="BA16" s="188">
        <f>IF(BA9-$K$9&lt;Inputs!$D$7,Table2[[#This Row],[Year 6]],IF('Long-term Model Summary'!BA9-'Long-term Model Summary'!$K$9&gt;Inputs!$D$9,Inputs!$D$5*Inputs!$D$3*(1-Inputs!$D$8-Inputs!$D$10),Inputs!$D$5*Inputs!$D$3*(1-Inputs!$D$8)))</f>
        <v>270</v>
      </c>
      <c r="BB16" s="188">
        <f>IF(BB9-$K$9&lt;Inputs!$D$7,Table2[[#This Row],[Year 7]],IF('Long-term Model Summary'!BB9-'Long-term Model Summary'!$K$9&gt;Inputs!$D$9,Inputs!$D$5*Inputs!$D$3*(1-Inputs!$D$8-Inputs!$D$10),Inputs!$D$5*Inputs!$D$3*(1-Inputs!$D$8)))</f>
        <v>270</v>
      </c>
      <c r="BC16" s="188">
        <f>IF(BC9-$K$9&lt;Inputs!$D$7,Table2[[#This Row],[Year 8]],IF('Long-term Model Summary'!BC9-'Long-term Model Summary'!$K$9&gt;Inputs!$D$9,Inputs!$D$5*Inputs!$D$3*(1-Inputs!$D$8-Inputs!$D$10),Inputs!$D$5*Inputs!$D$3*(1-Inputs!$D$8)))</f>
        <v>270</v>
      </c>
      <c r="BD16" s="188">
        <f>IF(BD9-$K$9&lt;Inputs!$D$7,Table2[[#This Row],[Year 9]],IF('Long-term Model Summary'!BD9-'Long-term Model Summary'!$K$9&gt;Inputs!$D$9,Inputs!$D$5*Inputs!$D$3*(1-Inputs!$D$8-Inputs!$D$10),Inputs!$D$5*Inputs!$D$3*(1-Inputs!$D$8)))</f>
        <v>270</v>
      </c>
      <c r="BE16" s="188">
        <f>IF(BE9-$K$9&lt;Inputs!$D$7,Table2[[#This Row],[Year 10]],IF('Long-term Model Summary'!BE9-'Long-term Model Summary'!$K$9&gt;Inputs!$D$9,Inputs!$D$5*Inputs!$D$3*(1-Inputs!$D$8-Inputs!$D$10),Inputs!$D$5*Inputs!$D$3*(1-Inputs!$D$8)))</f>
        <v>270</v>
      </c>
      <c r="BF16" s="188">
        <f>IF(BF9-$K$9&lt;Inputs!$D$7,Table2[[#This Row],[Year 11]],IF('Long-term Model Summary'!BF9-'Long-term Model Summary'!$K$9&gt;Inputs!$D$9,Inputs!$D$5*Inputs!$D$3*(1-Inputs!$D$8-Inputs!$D$10),Inputs!$D$5*Inputs!$D$3*(1-Inputs!$D$8)))</f>
        <v>270</v>
      </c>
      <c r="BG16" s="188">
        <f>IF(BG9-$K$9&lt;Inputs!$D$7,Table2[[#This Row],[Year 12]],IF('Long-term Model Summary'!BG9-'Long-term Model Summary'!$K$9&gt;Inputs!$D$9,Inputs!$D$5*Inputs!$D$3*(1-Inputs!$D$8-Inputs!$D$10),Inputs!$D$5*Inputs!$D$3*(1-Inputs!$D$8)))</f>
        <v>270</v>
      </c>
      <c r="BH16" s="188">
        <f>IF(BH9-$K$9&lt;Inputs!$D$7,Table2[[#This Row],[Year 13]],IF('Long-term Model Summary'!BH9-'Long-term Model Summary'!$K$9&gt;Inputs!$D$9,Inputs!$D$5*Inputs!$D$3*(1-Inputs!$D$8-Inputs!$D$10),Inputs!$D$5*Inputs!$D$3*(1-Inputs!$D$8)))</f>
        <v>270</v>
      </c>
    </row>
    <row r="17" spans="10:60" x14ac:dyDescent="0.4">
      <c r="K17" s="353"/>
      <c r="L17" s="353"/>
      <c r="M17" s="353"/>
      <c r="N17" s="353"/>
      <c r="O17" s="353"/>
      <c r="P17" s="353"/>
      <c r="Q17" s="353"/>
      <c r="R17" s="353"/>
      <c r="S17" s="353"/>
      <c r="T17" s="353"/>
      <c r="U17" s="353"/>
      <c r="V17" s="353"/>
      <c r="W17" s="353"/>
      <c r="X17" s="353"/>
      <c r="Y17" s="353"/>
      <c r="Z17" s="353"/>
      <c r="AA17" s="353"/>
      <c r="AB17" s="353"/>
      <c r="AC17" s="353"/>
      <c r="AD17" s="353"/>
      <c r="AE17" s="353"/>
      <c r="AF17" s="353"/>
      <c r="AG17" s="353"/>
      <c r="AH17" s="353"/>
      <c r="AI17" s="353"/>
      <c r="AJ17" s="353"/>
    </row>
    <row r="18" spans="10:60" x14ac:dyDescent="0.4">
      <c r="J18" s="208" t="s">
        <v>193</v>
      </c>
      <c r="K18" s="364" t="s">
        <v>228</v>
      </c>
      <c r="L18" s="364" t="s">
        <v>229</v>
      </c>
      <c r="M18" s="364" t="s">
        <v>230</v>
      </c>
      <c r="N18" s="364" t="s">
        <v>231</v>
      </c>
      <c r="O18" s="364" t="s">
        <v>232</v>
      </c>
      <c r="P18" s="364" t="s">
        <v>233</v>
      </c>
      <c r="Q18" s="364" t="s">
        <v>234</v>
      </c>
      <c r="R18" s="364" t="s">
        <v>235</v>
      </c>
      <c r="S18" s="364" t="s">
        <v>236</v>
      </c>
      <c r="T18" s="364" t="s">
        <v>237</v>
      </c>
      <c r="U18" s="364" t="s">
        <v>238</v>
      </c>
      <c r="V18" s="364" t="s">
        <v>239</v>
      </c>
      <c r="W18" s="364" t="s">
        <v>240</v>
      </c>
      <c r="X18" s="364" t="s">
        <v>241</v>
      </c>
      <c r="Y18" s="364" t="s">
        <v>242</v>
      </c>
      <c r="Z18" s="364" t="s">
        <v>243</v>
      </c>
      <c r="AA18" s="364" t="s">
        <v>244</v>
      </c>
      <c r="AB18" s="364" t="s">
        <v>245</v>
      </c>
      <c r="AC18" s="364" t="s">
        <v>246</v>
      </c>
      <c r="AD18" s="364" t="s">
        <v>247</v>
      </c>
      <c r="AE18" s="364" t="s">
        <v>248</v>
      </c>
      <c r="AF18" s="364" t="s">
        <v>249</v>
      </c>
      <c r="AG18" s="364" t="s">
        <v>250</v>
      </c>
      <c r="AH18" s="364" t="s">
        <v>251</v>
      </c>
      <c r="AI18" s="364" t="s">
        <v>252</v>
      </c>
      <c r="AJ18" s="364" t="s">
        <v>253</v>
      </c>
      <c r="AK18" s="364" t="s">
        <v>254</v>
      </c>
      <c r="AL18" s="364" t="s">
        <v>255</v>
      </c>
      <c r="AM18" s="364" t="s">
        <v>256</v>
      </c>
      <c r="AN18" s="364" t="s">
        <v>257</v>
      </c>
      <c r="AO18" s="364" t="s">
        <v>258</v>
      </c>
      <c r="AP18" s="364" t="s">
        <v>259</v>
      </c>
      <c r="AQ18" s="364" t="s">
        <v>260</v>
      </c>
      <c r="AR18" s="364" t="s">
        <v>261</v>
      </c>
      <c r="AS18" s="364" t="s">
        <v>262</v>
      </c>
      <c r="AT18" s="364" t="s">
        <v>263</v>
      </c>
      <c r="AU18" s="364" t="s">
        <v>264</v>
      </c>
      <c r="AV18" s="364" t="s">
        <v>265</v>
      </c>
      <c r="AW18" s="364" t="s">
        <v>266</v>
      </c>
      <c r="AX18" s="364" t="s">
        <v>267</v>
      </c>
      <c r="AY18" s="364" t="s">
        <v>268</v>
      </c>
      <c r="AZ18" s="364" t="s">
        <v>269</v>
      </c>
      <c r="BA18" s="364" t="s">
        <v>270</v>
      </c>
      <c r="BB18" s="364" t="s">
        <v>271</v>
      </c>
      <c r="BC18" s="364" t="s">
        <v>272</v>
      </c>
      <c r="BD18" s="364" t="s">
        <v>273</v>
      </c>
      <c r="BE18" s="364" t="s">
        <v>274</v>
      </c>
      <c r="BF18" s="364" t="s">
        <v>275</v>
      </c>
      <c r="BG18" s="364" t="s">
        <v>276</v>
      </c>
      <c r="BH18" s="364" t="s">
        <v>277</v>
      </c>
    </row>
    <row r="19" spans="10:60" ht="18.75" customHeight="1" x14ac:dyDescent="0.4">
      <c r="J19" s="365"/>
      <c r="K19" s="366">
        <f t="shared" ref="K19:AJ19" si="125">K9</f>
        <v>2025</v>
      </c>
      <c r="L19" s="366">
        <f t="shared" si="125"/>
        <v>2026</v>
      </c>
      <c r="M19" s="366">
        <f t="shared" si="125"/>
        <v>2027</v>
      </c>
      <c r="N19" s="366">
        <f t="shared" si="125"/>
        <v>2028</v>
      </c>
      <c r="O19" s="366">
        <f t="shared" si="125"/>
        <v>2029</v>
      </c>
      <c r="P19" s="366">
        <f t="shared" si="125"/>
        <v>2030</v>
      </c>
      <c r="Q19" s="366">
        <f t="shared" si="125"/>
        <v>2031</v>
      </c>
      <c r="R19" s="366">
        <f t="shared" si="125"/>
        <v>2032</v>
      </c>
      <c r="S19" s="366">
        <f t="shared" si="125"/>
        <v>2033</v>
      </c>
      <c r="T19" s="366">
        <f t="shared" si="125"/>
        <v>2034</v>
      </c>
      <c r="U19" s="366">
        <f t="shared" si="125"/>
        <v>2035</v>
      </c>
      <c r="V19" s="366">
        <f t="shared" si="125"/>
        <v>2036</v>
      </c>
      <c r="W19" s="366">
        <f t="shared" si="125"/>
        <v>2037</v>
      </c>
      <c r="X19" s="366">
        <f t="shared" si="125"/>
        <v>2038</v>
      </c>
      <c r="Y19" s="366">
        <f t="shared" si="125"/>
        <v>2039</v>
      </c>
      <c r="Z19" s="366">
        <f t="shared" si="125"/>
        <v>2040</v>
      </c>
      <c r="AA19" s="366">
        <f t="shared" si="125"/>
        <v>2041</v>
      </c>
      <c r="AB19" s="366">
        <f t="shared" si="125"/>
        <v>2042</v>
      </c>
      <c r="AC19" s="366">
        <f t="shared" si="125"/>
        <v>2043</v>
      </c>
      <c r="AD19" s="366">
        <f t="shared" si="125"/>
        <v>2044</v>
      </c>
      <c r="AE19" s="366">
        <f t="shared" si="125"/>
        <v>2045</v>
      </c>
      <c r="AF19" s="366">
        <f t="shared" si="125"/>
        <v>2046</v>
      </c>
      <c r="AG19" s="366">
        <f t="shared" si="125"/>
        <v>2047</v>
      </c>
      <c r="AH19" s="366">
        <f t="shared" si="125"/>
        <v>2048</v>
      </c>
      <c r="AI19" s="366">
        <f t="shared" si="125"/>
        <v>2049</v>
      </c>
      <c r="AJ19" s="366">
        <f t="shared" si="125"/>
        <v>2050</v>
      </c>
      <c r="AK19" s="367">
        <f t="shared" ref="AK19:BH19" si="126">AK9</f>
        <v>2051</v>
      </c>
      <c r="AL19" s="367">
        <f t="shared" si="126"/>
        <v>2052</v>
      </c>
      <c r="AM19" s="367">
        <f t="shared" si="126"/>
        <v>2053</v>
      </c>
      <c r="AN19" s="367">
        <f t="shared" si="126"/>
        <v>2054</v>
      </c>
      <c r="AO19" s="367">
        <f t="shared" si="126"/>
        <v>2055</v>
      </c>
      <c r="AP19" s="367">
        <f t="shared" si="126"/>
        <v>2056</v>
      </c>
      <c r="AQ19" s="367">
        <f t="shared" si="126"/>
        <v>2057</v>
      </c>
      <c r="AR19" s="367">
        <f t="shared" si="126"/>
        <v>2058</v>
      </c>
      <c r="AS19" s="367">
        <f t="shared" si="126"/>
        <v>2059</v>
      </c>
      <c r="AT19" s="367">
        <f t="shared" si="126"/>
        <v>2060</v>
      </c>
      <c r="AU19" s="367">
        <f t="shared" si="126"/>
        <v>2061</v>
      </c>
      <c r="AV19" s="367">
        <f t="shared" si="126"/>
        <v>2062</v>
      </c>
      <c r="AW19" s="367">
        <f t="shared" si="126"/>
        <v>2063</v>
      </c>
      <c r="AX19" s="367">
        <f t="shared" si="126"/>
        <v>2064</v>
      </c>
      <c r="AY19" s="367">
        <f t="shared" si="126"/>
        <v>2065</v>
      </c>
      <c r="AZ19" s="367">
        <f t="shared" si="126"/>
        <v>2066</v>
      </c>
      <c r="BA19" s="367">
        <f t="shared" si="126"/>
        <v>2067</v>
      </c>
      <c r="BB19" s="367">
        <f t="shared" si="126"/>
        <v>2068</v>
      </c>
      <c r="BC19" s="367">
        <f t="shared" si="126"/>
        <v>2069</v>
      </c>
      <c r="BD19" s="367">
        <f t="shared" si="126"/>
        <v>2070</v>
      </c>
      <c r="BE19" s="367">
        <f t="shared" si="126"/>
        <v>2071</v>
      </c>
      <c r="BF19" s="367">
        <f t="shared" si="126"/>
        <v>2072</v>
      </c>
      <c r="BG19" s="367">
        <f t="shared" si="126"/>
        <v>2073</v>
      </c>
      <c r="BH19" s="367">
        <f t="shared" si="126"/>
        <v>2074</v>
      </c>
    </row>
    <row r="20" spans="10:60" x14ac:dyDescent="0.4">
      <c r="J20" s="368" t="s">
        <v>462</v>
      </c>
      <c r="K20" s="369">
        <f t="shared" ref="K20:AI20" si="127">IF(K22&gt;K23,K13,0)</f>
        <v>0</v>
      </c>
      <c r="L20" s="369">
        <f t="shared" si="127"/>
        <v>0</v>
      </c>
      <c r="M20" s="369">
        <f t="shared" si="127"/>
        <v>0</v>
      </c>
      <c r="N20" s="369">
        <f>IF(N22&gt;N23,N13,0)</f>
        <v>0</v>
      </c>
      <c r="O20" s="369">
        <f>IF(O22&gt;O23,O13,0)</f>
        <v>2538</v>
      </c>
      <c r="P20" s="369">
        <f t="shared" si="127"/>
        <v>3045.6</v>
      </c>
      <c r="Q20" s="369">
        <f t="shared" si="127"/>
        <v>3654.72</v>
      </c>
      <c r="R20" s="369">
        <f>IF(R22&gt;R23,R13,0)</f>
        <v>4385.6639999999998</v>
      </c>
      <c r="S20" s="369">
        <f t="shared" si="127"/>
        <v>5262.7967999999992</v>
      </c>
      <c r="T20" s="369">
        <f t="shared" si="127"/>
        <v>6315.3561599999985</v>
      </c>
      <c r="U20" s="369">
        <f t="shared" si="127"/>
        <v>8336.270131199999</v>
      </c>
      <c r="V20" s="369">
        <f t="shared" si="127"/>
        <v>11003.876573183999</v>
      </c>
      <c r="W20" s="369">
        <f t="shared" si="127"/>
        <v>14525.117076602879</v>
      </c>
      <c r="X20" s="369">
        <f t="shared" si="127"/>
        <v>19173.1545411158</v>
      </c>
      <c r="Y20" s="369">
        <f t="shared" si="127"/>
        <v>25308.563994272856</v>
      </c>
      <c r="Z20" s="369">
        <f t="shared" si="127"/>
        <v>16703.652236220085</v>
      </c>
      <c r="AA20" s="369">
        <f t="shared" si="127"/>
        <v>22048.820951810514</v>
      </c>
      <c r="AB20" s="369">
        <f t="shared" si="127"/>
        <v>22710.285580364827</v>
      </c>
      <c r="AC20" s="369">
        <f t="shared" si="127"/>
        <v>23391.594147775773</v>
      </c>
      <c r="AD20" s="369">
        <f t="shared" si="127"/>
        <v>28269.255031264067</v>
      </c>
      <c r="AE20" s="369">
        <f t="shared" si="127"/>
        <v>29117.332682201992</v>
      </c>
      <c r="AF20" s="369">
        <f t="shared" si="127"/>
        <v>29990.852662668054</v>
      </c>
      <c r="AG20" s="369">
        <f t="shared" si="127"/>
        <v>30890.578242548094</v>
      </c>
      <c r="AH20" s="369">
        <f t="shared" si="127"/>
        <v>31817.295589824538</v>
      </c>
      <c r="AI20" s="369">
        <f t="shared" si="127"/>
        <v>32771.814457519278</v>
      </c>
      <c r="AJ20" s="369">
        <f t="shared" ref="AJ20" si="128">IF(AJ22&gt;AJ23,AJ13,0)</f>
        <v>33754.968891244855</v>
      </c>
      <c r="AK20" s="369">
        <f t="shared" ref="AK20:BH20" si="129">IF(AK22&gt;AK23,AK13,0)</f>
        <v>34767.617957982198</v>
      </c>
      <c r="AL20" s="369">
        <f t="shared" si="129"/>
        <v>35810.646496721667</v>
      </c>
      <c r="AM20" s="369">
        <f t="shared" si="129"/>
        <v>36884.965891623317</v>
      </c>
      <c r="AN20" s="369">
        <f t="shared" si="129"/>
        <v>37991.514868372018</v>
      </c>
      <c r="AO20" s="369">
        <f t="shared" si="129"/>
        <v>39131.260314423176</v>
      </c>
      <c r="AP20" s="369">
        <f t="shared" si="129"/>
        <v>40305.198123855873</v>
      </c>
      <c r="AQ20" s="369">
        <f t="shared" si="129"/>
        <v>41514.354067571541</v>
      </c>
      <c r="AR20" s="369">
        <f t="shared" si="129"/>
        <v>42759.784689598695</v>
      </c>
      <c r="AS20" s="369">
        <f t="shared" si="129"/>
        <v>44042.578230286657</v>
      </c>
      <c r="AT20" s="369">
        <f t="shared" si="129"/>
        <v>45363.85557719526</v>
      </c>
      <c r="AU20" s="369">
        <f t="shared" si="129"/>
        <v>46724.771244511117</v>
      </c>
      <c r="AV20" s="369">
        <f t="shared" si="129"/>
        <v>48126.514381846457</v>
      </c>
      <c r="AW20" s="369">
        <f t="shared" si="129"/>
        <v>49570.30981330185</v>
      </c>
      <c r="AX20" s="369">
        <f t="shared" si="129"/>
        <v>51057.419107700902</v>
      </c>
      <c r="AY20" s="369">
        <f t="shared" si="129"/>
        <v>51057.419107700902</v>
      </c>
      <c r="AZ20" s="369">
        <f t="shared" si="129"/>
        <v>51057.419107700902</v>
      </c>
      <c r="BA20" s="369">
        <f t="shared" si="129"/>
        <v>51057.419107700902</v>
      </c>
      <c r="BB20" s="369">
        <f t="shared" si="129"/>
        <v>51057.419107700902</v>
      </c>
      <c r="BC20" s="369">
        <f t="shared" si="129"/>
        <v>51057.419107700902</v>
      </c>
      <c r="BD20" s="369">
        <f t="shared" si="129"/>
        <v>51057.419107700902</v>
      </c>
      <c r="BE20" s="369">
        <f t="shared" si="129"/>
        <v>51057.419107700902</v>
      </c>
      <c r="BF20" s="369">
        <f t="shared" si="129"/>
        <v>51057.419107700902</v>
      </c>
      <c r="BG20" s="369">
        <f t="shared" si="129"/>
        <v>51057.419107700902</v>
      </c>
      <c r="BH20" s="369">
        <f t="shared" si="129"/>
        <v>51057.419107700902</v>
      </c>
    </row>
    <row r="21" spans="10:60" x14ac:dyDescent="0.4">
      <c r="J21" s="368" t="s">
        <v>451</v>
      </c>
      <c r="K21" s="370">
        <f>K20*Inputs!$D$29*Inputs!$D$32*(1-Inputs!$D$31)+Inputs!$D$33*Inputs!$D$30*K20*(1-Inputs!$D$31)</f>
        <v>0</v>
      </c>
      <c r="L21" s="370">
        <f>L20*Inputs!$D$29*Inputs!$D$32*(1-Inputs!$D$31)+Inputs!$D$33*Inputs!$D$30*L20*(1-Inputs!$D$31)</f>
        <v>0</v>
      </c>
      <c r="M21" s="370">
        <f>M20*Inputs!$D$29*Inputs!$D$32*(1-Inputs!$D$31)+Inputs!$D$33*Inputs!$D$30*M20*(1-Inputs!$D$31)</f>
        <v>0</v>
      </c>
      <c r="N21" s="370">
        <f>N20*Inputs!$D$29*Inputs!$D$32*(1-Inputs!$D$31)+Inputs!$D$33*Inputs!$D$30*N20*(1-Inputs!$D$31)</f>
        <v>0</v>
      </c>
      <c r="O21" s="370">
        <f>O20*Inputs!$D$29*Inputs!$D$32*(1-Inputs!$D$31)+Inputs!$D$33*Inputs!$D$30*O20*(1-Inputs!$D$31)</f>
        <v>14301.630000000001</v>
      </c>
      <c r="P21" s="370">
        <f>P20*Inputs!$D$29*Inputs!$D$32*(1-Inputs!$D$31)+Inputs!$D$33*Inputs!$D$30*P20*(1-Inputs!$D$31)</f>
        <v>17161.955999999998</v>
      </c>
      <c r="Q21" s="370">
        <f>Q20*Inputs!$D$29*Inputs!$D$32*(1-Inputs!$D$31)+Inputs!$D$33*Inputs!$D$30*Q20*(1-Inputs!$D$31)</f>
        <v>20594.347199999997</v>
      </c>
      <c r="R21" s="370">
        <f>R20*Inputs!$D$29*Inputs!$D$32*(1-Inputs!$D$31)+Inputs!$D$33*Inputs!$D$30*R20*(1-Inputs!$D$31)</f>
        <v>24713.216639999999</v>
      </c>
      <c r="S21" s="370">
        <f>S20*Inputs!$D$29*Inputs!$D$32*(1-Inputs!$D$31)+Inputs!$D$33*Inputs!$D$30*S20*(1-Inputs!$D$31)</f>
        <v>29655.859967999997</v>
      </c>
      <c r="T21" s="370">
        <f>T20*Inputs!$D$29*Inputs!$D$32*(1-Inputs!$D$31)+Inputs!$D$33*Inputs!$D$30*T20*(1-Inputs!$D$31)</f>
        <v>35587.031961599991</v>
      </c>
      <c r="U21" s="370">
        <f>U20*Inputs!$D$29*Inputs!$D$32*(1-Inputs!$D$31)+Inputs!$D$33*Inputs!$D$30*U20*(1-Inputs!$D$31)</f>
        <v>46974.882189311997</v>
      </c>
      <c r="V21" s="370">
        <f>V20*Inputs!$D$29*Inputs!$D$32*(1-Inputs!$D$31)+Inputs!$D$33*Inputs!$D$30*V20*(1-Inputs!$D$31)</f>
        <v>62006.844489891839</v>
      </c>
      <c r="W21" s="370">
        <f>W20*Inputs!$D$29*Inputs!$D$32*(1-Inputs!$D$31)+Inputs!$D$33*Inputs!$D$30*W20*(1-Inputs!$D$31)</f>
        <v>81849.034726657206</v>
      </c>
      <c r="X21" s="370">
        <f>X20*Inputs!$D$29*Inputs!$D$32*(1-Inputs!$D$31)+Inputs!$D$33*Inputs!$D$30*X20*(1-Inputs!$D$31)</f>
        <v>108040.72583918754</v>
      </c>
      <c r="Y21" s="370">
        <f>Y20*Inputs!$D$29*Inputs!$D$32*(1-Inputs!$D$31)+Inputs!$D$33*Inputs!$D$30*Y20*(1-Inputs!$D$31)</f>
        <v>142613.75810772754</v>
      </c>
      <c r="Z21" s="370">
        <f>Z20*Inputs!$D$29*Inputs!$D$32*(1-Inputs!$D$31)+Inputs!$D$33*Inputs!$D$30*Z20*(1-Inputs!$D$31)</f>
        <v>94125.080351100172</v>
      </c>
      <c r="AA21" s="370">
        <f>AA20*Inputs!$D$29*Inputs!$D$32*(1-Inputs!$D$31)+Inputs!$D$33*Inputs!$D$30*AA20*(1-Inputs!$D$31)</f>
        <v>124245.10606345223</v>
      </c>
      <c r="AB21" s="370">
        <f>AB20*Inputs!$D$29*Inputs!$D$32*(1-Inputs!$D$31)+Inputs!$D$33*Inputs!$D$30*AB20*(1-Inputs!$D$31)</f>
        <v>127972.4592453558</v>
      </c>
      <c r="AC21" s="370">
        <f>AC20*Inputs!$D$29*Inputs!$D$32*(1-Inputs!$D$31)+Inputs!$D$33*Inputs!$D$30*AC20*(1-Inputs!$D$31)</f>
        <v>131811.63302271647</v>
      </c>
      <c r="AD21" s="370">
        <f>AD20*Inputs!$D$29*Inputs!$D$32*(1-Inputs!$D$31)+Inputs!$D$33*Inputs!$D$30*AD20*(1-Inputs!$D$31)</f>
        <v>159297.25210117301</v>
      </c>
      <c r="AE21" s="370">
        <f>AE20*Inputs!$D$29*Inputs!$D$32*(1-Inputs!$D$31)+Inputs!$D$33*Inputs!$D$30*AE20*(1-Inputs!$D$31)</f>
        <v>164076.1696642082</v>
      </c>
      <c r="AF21" s="370">
        <f>AF20*Inputs!$D$29*Inputs!$D$32*(1-Inputs!$D$31)+Inputs!$D$33*Inputs!$D$30*AF20*(1-Inputs!$D$31)</f>
        <v>168998.45475413449</v>
      </c>
      <c r="AG21" s="370">
        <f>AG20*Inputs!$D$29*Inputs!$D$32*(1-Inputs!$D$31)+Inputs!$D$33*Inputs!$D$30*AG20*(1-Inputs!$D$31)</f>
        <v>174068.40839675852</v>
      </c>
      <c r="AH21" s="370">
        <f>AH20*Inputs!$D$29*Inputs!$D$32*(1-Inputs!$D$31)+Inputs!$D$33*Inputs!$D$30*AH20*(1-Inputs!$D$31)</f>
        <v>179290.46064866125</v>
      </c>
      <c r="AI21" s="370">
        <f>AI20*Inputs!$D$29*Inputs!$D$32*(1-Inputs!$D$31)+Inputs!$D$33*Inputs!$D$30*AI20*(1-Inputs!$D$31)</f>
        <v>184669.17446812114</v>
      </c>
      <c r="AJ21" s="370">
        <f>AJ20*Inputs!$D$29*Inputs!$D$32*(1-Inputs!$D$31)+Inputs!$D$33*Inputs!$D$30*AJ20*(1-Inputs!$D$31)</f>
        <v>190209.24970216476</v>
      </c>
      <c r="AK21" s="370">
        <f>AK20*Inputs!$D$29*Inputs!$D$32*(1-Inputs!$D$31)+Inputs!$D$33*Inputs!$D$30*AK20*(1-Inputs!$D$31)</f>
        <v>195915.52719322967</v>
      </c>
      <c r="AL21" s="370">
        <f>AL20*Inputs!$D$29*Inputs!$D$32*(1-Inputs!$D$31)+Inputs!$D$33*Inputs!$D$30*AL20*(1-Inputs!$D$31)</f>
        <v>201792.9930090266</v>
      </c>
      <c r="AM21" s="370">
        <f>AM20*Inputs!$D$29*Inputs!$D$32*(1-Inputs!$D$31)+Inputs!$D$33*Inputs!$D$30*AM20*(1-Inputs!$D$31)</f>
        <v>207846.78279929739</v>
      </c>
      <c r="AN21" s="370">
        <f>AN20*Inputs!$D$29*Inputs!$D$32*(1-Inputs!$D$31)+Inputs!$D$33*Inputs!$D$30*AN20*(1-Inputs!$D$31)</f>
        <v>214082.18628327633</v>
      </c>
      <c r="AO21" s="370">
        <f>AO20*Inputs!$D$29*Inputs!$D$32*(1-Inputs!$D$31)+Inputs!$D$33*Inputs!$D$30*AO20*(1-Inputs!$D$31)</f>
        <v>220504.65187177461</v>
      </c>
      <c r="AP21" s="370">
        <f>AP20*Inputs!$D$29*Inputs!$D$32*(1-Inputs!$D$31)+Inputs!$D$33*Inputs!$D$30*AP20*(1-Inputs!$D$31)</f>
        <v>227119.79142792785</v>
      </c>
      <c r="AQ21" s="370">
        <f>AQ20*Inputs!$D$29*Inputs!$D$32*(1-Inputs!$D$31)+Inputs!$D$33*Inputs!$D$30*AQ20*(1-Inputs!$D$31)</f>
        <v>233933.38517076563</v>
      </c>
      <c r="AR21" s="370">
        <f>AR20*Inputs!$D$29*Inputs!$D$32*(1-Inputs!$D$31)+Inputs!$D$33*Inputs!$D$30*AR20*(1-Inputs!$D$31)</f>
        <v>240951.38672588862</v>
      </c>
      <c r="AS21" s="370">
        <f>AS20*Inputs!$D$29*Inputs!$D$32*(1-Inputs!$D$31)+Inputs!$D$33*Inputs!$D$30*AS20*(1-Inputs!$D$31)</f>
        <v>248179.92832766532</v>
      </c>
      <c r="AT21" s="370">
        <f>AT20*Inputs!$D$29*Inputs!$D$32*(1-Inputs!$D$31)+Inputs!$D$33*Inputs!$D$30*AT20*(1-Inputs!$D$31)</f>
        <v>255625.3261774953</v>
      </c>
      <c r="AU21" s="370">
        <f>AU20*Inputs!$D$29*Inputs!$D$32*(1-Inputs!$D$31)+Inputs!$D$33*Inputs!$D$30*AU20*(1-Inputs!$D$31)</f>
        <v>263294.08596282016</v>
      </c>
      <c r="AV21" s="370">
        <f>AV20*Inputs!$D$29*Inputs!$D$32*(1-Inputs!$D$31)+Inputs!$D$33*Inputs!$D$30*AV20*(1-Inputs!$D$31)</f>
        <v>271192.90854170476</v>
      </c>
      <c r="AW21" s="370">
        <f>AW20*Inputs!$D$29*Inputs!$D$32*(1-Inputs!$D$31)+Inputs!$D$33*Inputs!$D$30*AW20*(1-Inputs!$D$31)</f>
        <v>279328.69579795591</v>
      </c>
      <c r="AX21" s="370">
        <f>AX20*Inputs!$D$29*Inputs!$D$32*(1-Inputs!$D$31)+Inputs!$D$33*Inputs!$D$30*AX20*(1-Inputs!$D$31)</f>
        <v>287708.55667189456</v>
      </c>
      <c r="AY21" s="370">
        <f>AY20*Inputs!$D$29*Inputs!$D$32*(1-Inputs!$D$31)+Inputs!$D$33*Inputs!$D$30*AY20*(1-Inputs!$D$31)</f>
        <v>287708.55667189456</v>
      </c>
      <c r="AZ21" s="370">
        <f>AZ20*Inputs!$D$29*Inputs!$D$32*(1-Inputs!$D$31)+Inputs!$D$33*Inputs!$D$30*AZ20*(1-Inputs!$D$31)</f>
        <v>287708.55667189456</v>
      </c>
      <c r="BA21" s="370">
        <f>BA20*Inputs!$D$29*Inputs!$D$32*(1-Inputs!$D$31)+Inputs!$D$33*Inputs!$D$30*BA20*(1-Inputs!$D$31)</f>
        <v>287708.55667189456</v>
      </c>
      <c r="BB21" s="370">
        <f>BB20*Inputs!$D$29*Inputs!$D$32*(1-Inputs!$D$31)+Inputs!$D$33*Inputs!$D$30*BB20*(1-Inputs!$D$31)</f>
        <v>287708.55667189456</v>
      </c>
      <c r="BC21" s="370">
        <f>BC20*Inputs!$D$29*Inputs!$D$32*(1-Inputs!$D$31)+Inputs!$D$33*Inputs!$D$30*BC20*(1-Inputs!$D$31)</f>
        <v>287708.55667189456</v>
      </c>
      <c r="BD21" s="370">
        <f>BD20*Inputs!$D$29*Inputs!$D$32*(1-Inputs!$D$31)+Inputs!$D$33*Inputs!$D$30*BD20*(1-Inputs!$D$31)</f>
        <v>287708.55667189456</v>
      </c>
      <c r="BE21" s="370">
        <f>BE20*Inputs!$D$29*Inputs!$D$32*(1-Inputs!$D$31)+Inputs!$D$33*Inputs!$D$30*BE20*(1-Inputs!$D$31)</f>
        <v>287708.55667189456</v>
      </c>
      <c r="BF21" s="370">
        <f>BF20*Inputs!$D$29*Inputs!$D$32*(1-Inputs!$D$31)+Inputs!$D$33*Inputs!$D$30*BF20*(1-Inputs!$D$31)</f>
        <v>287708.55667189456</v>
      </c>
      <c r="BG21" s="370">
        <f>BG20*Inputs!$D$29*Inputs!$D$32*(1-Inputs!$D$31)+Inputs!$D$33*Inputs!$D$30*BG20*(1-Inputs!$D$31)</f>
        <v>287708.55667189456</v>
      </c>
      <c r="BH21" s="370">
        <f>BH20*Inputs!$D$29*Inputs!$D$32*(1-Inputs!$D$31)+Inputs!$D$33*Inputs!$D$30*BH20*(1-Inputs!$D$31)</f>
        <v>287708.55667189456</v>
      </c>
    </row>
    <row r="22" spans="10:60" hidden="1" x14ac:dyDescent="0.4">
      <c r="J22" s="368" t="s">
        <v>471</v>
      </c>
      <c r="K22" s="370">
        <f>K13*Inputs!$D$29*Inputs!$D$32+Inputs!$D$33*Inputs!$D$30*K13*(1-Inputs!$D$31)</f>
        <v>0</v>
      </c>
      <c r="L22" s="370">
        <f>L13*Inputs!$D$29*Inputs!$D$32+Inputs!$D$33*Inputs!$D$30*L13*(1-Inputs!$D$31)</f>
        <v>0</v>
      </c>
      <c r="M22" s="370">
        <f>M13*Inputs!$D$29*Inputs!$D$32+Inputs!$D$33*Inputs!$D$30*M13*(1-Inputs!$D$31)</f>
        <v>0</v>
      </c>
      <c r="N22" s="370">
        <f>N13*Inputs!$D$29*Inputs!$D$32+Inputs!$D$33*Inputs!$D$30*N13*(1-Inputs!$D$31)</f>
        <v>1434.6045000000001</v>
      </c>
      <c r="O22" s="370">
        <f>O13*Inputs!$D$29*Inputs!$D$32+Inputs!$D$33*Inputs!$D$30*O13*(1-Inputs!$D$31)</f>
        <v>14346.045</v>
      </c>
      <c r="P22" s="370">
        <f>P13*Inputs!$D$29*Inputs!$D$32+Inputs!$D$33*Inputs!$D$30*P13*(1-Inputs!$D$31)</f>
        <v>17215.254000000001</v>
      </c>
      <c r="Q22" s="370">
        <f>Q13*Inputs!$D$29*Inputs!$D$32+Inputs!$D$33*Inputs!$D$30*Q13*(1-Inputs!$D$31)</f>
        <v>20658.304799999998</v>
      </c>
      <c r="R22" s="370">
        <f>R13*Inputs!$D$29*Inputs!$D$32+Inputs!$D$33*Inputs!$D$30*R13*(1-Inputs!$D$31)</f>
        <v>24789.965759999995</v>
      </c>
      <c r="S22" s="370">
        <f>S13*Inputs!$D$29*Inputs!$D$32+Inputs!$D$33*Inputs!$D$30*S13*(1-Inputs!$D$31)</f>
        <v>29747.958911999995</v>
      </c>
      <c r="T22" s="370">
        <f>T13*Inputs!$D$29*Inputs!$D$32+Inputs!$D$33*Inputs!$D$30*T13*(1-Inputs!$D$31)</f>
        <v>35697.550694399994</v>
      </c>
      <c r="U22" s="370">
        <f>U13*Inputs!$D$29*Inputs!$D$32+Inputs!$D$33*Inputs!$D$30*U13*(1-Inputs!$D$31)</f>
        <v>47120.766916608001</v>
      </c>
      <c r="V22" s="370">
        <f>V13*Inputs!$D$29*Inputs!$D$32+Inputs!$D$33*Inputs!$D$30*V13*(1-Inputs!$D$31)</f>
        <v>62199.412329922554</v>
      </c>
      <c r="W22" s="370">
        <f>W13*Inputs!$D$29*Inputs!$D$32+Inputs!$D$33*Inputs!$D$30*W13*(1-Inputs!$D$31)</f>
        <v>82103.224275497763</v>
      </c>
      <c r="X22" s="370">
        <f>X13*Inputs!$D$29*Inputs!$D$32+Inputs!$D$33*Inputs!$D$30*X13*(1-Inputs!$D$31)</f>
        <v>108376.25604365708</v>
      </c>
      <c r="Y22" s="370">
        <f>Y13*Inputs!$D$29*Inputs!$D$32+Inputs!$D$33*Inputs!$D$30*Y13*(1-Inputs!$D$31)</f>
        <v>143056.65797762733</v>
      </c>
      <c r="Z22" s="370">
        <f>Z13*Inputs!$D$29*Inputs!$D$32+Inputs!$D$33*Inputs!$D$30*Z13*(1-Inputs!$D$31)</f>
        <v>94417.394265234034</v>
      </c>
      <c r="AA22" s="370">
        <f>AA13*Inputs!$D$29*Inputs!$D$32+Inputs!$D$33*Inputs!$D$30*AA13*(1-Inputs!$D$31)</f>
        <v>124630.96043010891</v>
      </c>
      <c r="AB22" s="370">
        <f>AB13*Inputs!$D$29*Inputs!$D$32+Inputs!$D$33*Inputs!$D$30*AB13*(1-Inputs!$D$31)</f>
        <v>128369.88924301218</v>
      </c>
      <c r="AC22" s="370">
        <f>AC13*Inputs!$D$29*Inputs!$D$32+Inputs!$D$33*Inputs!$D$30*AC13*(1-Inputs!$D$31)</f>
        <v>132220.98592030257</v>
      </c>
      <c r="AD22" s="370">
        <f>AD13*Inputs!$D$29*Inputs!$D$32+Inputs!$D$33*Inputs!$D$30*AD13*(1-Inputs!$D$31)</f>
        <v>159791.96406422011</v>
      </c>
      <c r="AE22" s="370">
        <f>AE13*Inputs!$D$29*Inputs!$D$32+Inputs!$D$33*Inputs!$D$30*AE13*(1-Inputs!$D$31)</f>
        <v>164585.72298614675</v>
      </c>
      <c r="AF22" s="370">
        <f>AF13*Inputs!$D$29*Inputs!$D$32+Inputs!$D$33*Inputs!$D$30*AF13*(1-Inputs!$D$31)</f>
        <v>169523.29467573119</v>
      </c>
      <c r="AG22" s="370">
        <f>AG13*Inputs!$D$29*Inputs!$D$32+Inputs!$D$33*Inputs!$D$30*AG13*(1-Inputs!$D$31)</f>
        <v>174608.99351600313</v>
      </c>
      <c r="AH22" s="370">
        <f>AH13*Inputs!$D$29*Inputs!$D$32+Inputs!$D$33*Inputs!$D$30*AH13*(1-Inputs!$D$31)</f>
        <v>179847.26332148319</v>
      </c>
      <c r="AI22" s="370">
        <f>AI13*Inputs!$D$29*Inputs!$D$32+Inputs!$D$33*Inputs!$D$30*AI13*(1-Inputs!$D$31)</f>
        <v>185242.68122112771</v>
      </c>
      <c r="AJ22" s="370">
        <f>AJ13*Inputs!$D$29*Inputs!$D$32+Inputs!$D$33*Inputs!$D$30*AJ13*(1-Inputs!$D$31)</f>
        <v>190799.96165776154</v>
      </c>
      <c r="AK22" s="370">
        <f>AK13*Inputs!$D$29*Inputs!$D$32+Inputs!$D$33*Inputs!$D$30*AK13*(1-Inputs!$D$31)</f>
        <v>196523.96050749437</v>
      </c>
      <c r="AL22" s="370">
        <f>AL13*Inputs!$D$29*Inputs!$D$32+Inputs!$D$33*Inputs!$D$30*AL13*(1-Inputs!$D$31)</f>
        <v>202419.67932271922</v>
      </c>
      <c r="AM22" s="370">
        <f>AM13*Inputs!$D$29*Inputs!$D$32+Inputs!$D$33*Inputs!$D$30*AM13*(1-Inputs!$D$31)</f>
        <v>208492.26970240078</v>
      </c>
      <c r="AN22" s="370">
        <f>AN13*Inputs!$D$29*Inputs!$D$32+Inputs!$D$33*Inputs!$D$30*AN13*(1-Inputs!$D$31)</f>
        <v>214747.03779347285</v>
      </c>
      <c r="AO22" s="370">
        <f>AO13*Inputs!$D$29*Inputs!$D$32+Inputs!$D$33*Inputs!$D$30*AO13*(1-Inputs!$D$31)</f>
        <v>221189.448927277</v>
      </c>
      <c r="AP22" s="370">
        <f>AP13*Inputs!$D$29*Inputs!$D$32+Inputs!$D$33*Inputs!$D$30*AP13*(1-Inputs!$D$31)</f>
        <v>227825.13239509534</v>
      </c>
      <c r="AQ22" s="370">
        <f>AQ13*Inputs!$D$29*Inputs!$D$32+Inputs!$D$33*Inputs!$D$30*AQ13*(1-Inputs!$D$31)</f>
        <v>234659.88636694814</v>
      </c>
      <c r="AR22" s="370">
        <f>AR13*Inputs!$D$29*Inputs!$D$32+Inputs!$D$33*Inputs!$D$30*AR13*(1-Inputs!$D$31)</f>
        <v>241699.6829579566</v>
      </c>
      <c r="AS22" s="370">
        <f>AS13*Inputs!$D$29*Inputs!$D$32+Inputs!$D$33*Inputs!$D$30*AS13*(1-Inputs!$D$31)</f>
        <v>248950.67344669532</v>
      </c>
      <c r="AT22" s="370">
        <f>AT13*Inputs!$D$29*Inputs!$D$32+Inputs!$D$33*Inputs!$D$30*AT13*(1-Inputs!$D$31)</f>
        <v>256419.19365009622</v>
      </c>
      <c r="AU22" s="370">
        <f>AU13*Inputs!$D$29*Inputs!$D$32+Inputs!$D$33*Inputs!$D$30*AU13*(1-Inputs!$D$31)</f>
        <v>264111.76945959911</v>
      </c>
      <c r="AV22" s="370">
        <f>AV13*Inputs!$D$29*Inputs!$D$32+Inputs!$D$33*Inputs!$D$30*AV13*(1-Inputs!$D$31)</f>
        <v>272035.12254338712</v>
      </c>
      <c r="AW22" s="370">
        <f>AW13*Inputs!$D$29*Inputs!$D$32+Inputs!$D$33*Inputs!$D$30*AW13*(1-Inputs!$D$31)</f>
        <v>280196.17621968873</v>
      </c>
      <c r="AX22" s="370">
        <f>AX13*Inputs!$D$29*Inputs!$D$32+Inputs!$D$33*Inputs!$D$30*AX13*(1-Inputs!$D$31)</f>
        <v>288602.06150627934</v>
      </c>
      <c r="AY22" s="370">
        <f>AY13*Inputs!$D$29*Inputs!$D$32+Inputs!$D$33*Inputs!$D$30*AY13*(1-Inputs!$D$31)</f>
        <v>288602.06150627934</v>
      </c>
      <c r="AZ22" s="370">
        <f>AZ13*Inputs!$D$29*Inputs!$D$32+Inputs!$D$33*Inputs!$D$30*AZ13*(1-Inputs!$D$31)</f>
        <v>288602.06150627934</v>
      </c>
      <c r="BA22" s="370">
        <f>BA13*Inputs!$D$29*Inputs!$D$32+Inputs!$D$33*Inputs!$D$30*BA13*(1-Inputs!$D$31)</f>
        <v>288602.06150627934</v>
      </c>
      <c r="BB22" s="370">
        <f>BB13*Inputs!$D$29*Inputs!$D$32+Inputs!$D$33*Inputs!$D$30*BB13*(1-Inputs!$D$31)</f>
        <v>288602.06150627934</v>
      </c>
      <c r="BC22" s="370">
        <f>BC13*Inputs!$D$29*Inputs!$D$32+Inputs!$D$33*Inputs!$D$30*BC13*(1-Inputs!$D$31)</f>
        <v>288602.06150627934</v>
      </c>
      <c r="BD22" s="370">
        <f>BD13*Inputs!$D$29*Inputs!$D$32+Inputs!$D$33*Inputs!$D$30*BD13*(1-Inputs!$D$31)</f>
        <v>288602.06150627934</v>
      </c>
      <c r="BE22" s="370">
        <f>BE13*Inputs!$D$29*Inputs!$D$32+Inputs!$D$33*Inputs!$D$30*BE13*(1-Inputs!$D$31)</f>
        <v>288602.06150627934</v>
      </c>
      <c r="BF22" s="370">
        <f>BF13*Inputs!$D$29*Inputs!$D$32+Inputs!$D$33*Inputs!$D$30*BF13*(1-Inputs!$D$31)</f>
        <v>288602.06150627934</v>
      </c>
      <c r="BG22" s="370">
        <f>BG13*Inputs!$D$29*Inputs!$D$32+Inputs!$D$33*Inputs!$D$30*BG13*(1-Inputs!$D$31)</f>
        <v>288602.06150627934</v>
      </c>
      <c r="BH22" s="370">
        <f>BH13*Inputs!$D$29*Inputs!$D$32+Inputs!$D$33*Inputs!$D$30*BH13*(1-Inputs!$D$31)</f>
        <v>288602.06150627934</v>
      </c>
    </row>
    <row r="23" spans="10:60" hidden="1" x14ac:dyDescent="0.4">
      <c r="J23" s="368" t="s">
        <v>472</v>
      </c>
      <c r="K23" s="370">
        <f>Labor!$D$6*Inputs!$D$3+Labor!$D$7*Inputs!$D$30*K13+K13*Inputs!$D$29*Inputs!$D$32*Production!$D$27+K13*Inputs!$D$33*Inputs!$D$30*Production!$D$28+IF(K13&gt;0,SUM(Production!$F$25,Production!$F$26,Production!$F$36,Production!$F$37)*IF(Investment!$N$43=Investment!$H$2,Investment!$N$44,Investment!$O$44)*Inputs!$D$3,0)+(Labor!$D$6*Inputs!$D$3+Labor!$D$7*Inputs!$D$30*K13+IF(K13&gt;0,SUM(Production!$F$25:$F$26)*IF(Investment!$N$43=Investment!$H$2,Investment!$N$44,Investment!$O$44),0)*Inputs!$D$3+K13*Inputs!$D$29*Inputs!$D$32*Production!$D$27+K13*Inputs!$D$33*Inputs!$D$30*Production!$D$28)*Inputs!$H$21/2</f>
        <v>260</v>
      </c>
      <c r="L23" s="370">
        <f>Labor!$D$6*Inputs!$D$3+Labor!$D$7*Inputs!$D$30*L13+L13*Inputs!$D$29*Inputs!$D$32*Production!$D$27+L13*Inputs!$D$33*Inputs!$D$30*Production!$D$28+IF(L13&gt;0,SUM(Production!$F$25,Production!$F$26,Production!$F$36,Production!$F$37)*IF(Investment!$N$43=Investment!$H$2,Investment!$N$44,Investment!$O$44)*Inputs!$D$3,0)+(Labor!$D$6*Inputs!$D$3+Labor!$D$7*Inputs!$D$30*L13+IF(L13&gt;0,SUM(Production!$F$25:$F$26)*IF(Investment!$N$43=Investment!$H$2,Investment!$N$44,Investment!$O$44),0)*Inputs!$D$3+L13*Inputs!$D$29*Inputs!$D$32*Production!$D$27+L13*Inputs!$D$33*Inputs!$D$30*Production!$D$28)*Inputs!$H$21/2</f>
        <v>260</v>
      </c>
      <c r="M23" s="370">
        <f>Labor!$D$6*Inputs!$D$3+Labor!$D$7*Inputs!$D$30*M13+M13*Inputs!$D$29*Inputs!$D$32*Production!$D$27+M13*Inputs!$D$33*Inputs!$D$30*Production!$D$28+IF(M13&gt;0,SUM(Production!$F$25,Production!$F$26,Production!$F$36,Production!$F$37)*IF(Investment!$N$43=Investment!$H$2,Investment!$N$44,Investment!$O$44)*Inputs!$D$3,0)+(Labor!$D$6*Inputs!$D$3+Labor!$D$7*Inputs!$D$30*M13+IF(M13&gt;0,SUM(Production!$F$25:$F$26)*IF(Investment!$N$43=Investment!$H$2,Investment!$N$44,Investment!$O$44),0)*Inputs!$D$3+M13*Inputs!$D$29*Inputs!$D$32*Production!$D$27+M13*Inputs!$D$33*Inputs!$D$30*Production!$D$28)*Inputs!$H$21/2</f>
        <v>260</v>
      </c>
      <c r="N23" s="370">
        <f>Labor!$D$6*Inputs!$D$3+Labor!$D$7*Inputs!$D$30*N13+N13*Inputs!$D$29*Inputs!$D$32*Production!$D$27+N13*Inputs!$D$33*Inputs!$D$30*Production!$D$28+IF(N13&gt;0,SUM(Production!$F$25,Production!$F$26,Production!$F$36,Production!$F$37)*IF(Investment!$N$43=Investment!$H$2,Investment!$N$44,Investment!$O$44)*Inputs!$D$3,0)+(Labor!$D$6*Inputs!$D$3+Labor!$D$7*Inputs!$D$30*N13+IF(N13&gt;0,SUM(Production!$F$25:$F$26)*IF(Investment!$N$43=Investment!$H$2,Investment!$N$44,Investment!$O$44),0)*Inputs!$D$3+N13*Inputs!$D$29*Inputs!$D$32*Production!$D$27+N13*Inputs!$D$33*Inputs!$D$30*Production!$D$28)*Inputs!$H$21/2</f>
        <v>7735.4668268676241</v>
      </c>
      <c r="O23" s="370">
        <f>Labor!$D$6*Inputs!$D$3+Labor!$D$7*Inputs!$D$30*O13+O13*Inputs!$D$29*Inputs!$D$32*Production!$D$27+O13*Inputs!$D$33*Inputs!$D$30*Production!$D$28+IF(O13&gt;0,SUM(Production!$F$25,Production!$F$26,Production!$F$36,Production!$F$37)*IF(Investment!$N$43=Investment!$H$2,Investment!$N$44,Investment!$O$44)*Inputs!$D$3,0)+(Labor!$D$6*Inputs!$D$3+Labor!$D$7*Inputs!$D$30*O13+IF(O13&gt;0,SUM(Production!$F$25:$F$26)*IF(Investment!$N$43=Investment!$H$2,Investment!$N$44,Investment!$O$44),0)*Inputs!$D$3+O13*Inputs!$D$29*Inputs!$D$32*Production!$D$27+O13*Inputs!$D$33*Inputs!$D$30*Production!$D$28)*Inputs!$H$21/2</f>
        <v>9724.8565538676248</v>
      </c>
      <c r="P23" s="370">
        <f>Labor!$D$6*Inputs!$D$3+Labor!$D$7*Inputs!$D$30*P13+P13*Inputs!$D$29*Inputs!$D$32*Production!$D$27+P13*Inputs!$D$33*Inputs!$D$30*Production!$D$28+IF(P13&gt;0,SUM(Production!$F$25,Production!$F$26,Production!$F$36,Production!$F$37)*IF(Investment!$N$43=Investment!$H$2,Investment!$N$44,Investment!$O$44)*Inputs!$D$3,0)+(Labor!$D$6*Inputs!$D$3+Labor!$D$7*Inputs!$D$30*P13+IF(P13&gt;0,SUM(Production!$F$25:$F$26)*IF(Investment!$N$43=Investment!$H$2,Investment!$N$44,Investment!$O$44),0)*Inputs!$D$3+P13*Inputs!$D$29*Inputs!$D$32*Production!$D$27+P13*Inputs!$D$33*Inputs!$D$30*Production!$D$28)*Inputs!$H$21/2</f>
        <v>10166.943159867624</v>
      </c>
      <c r="Q23" s="370">
        <f>Labor!$D$6*Inputs!$D$3+Labor!$D$7*Inputs!$D$30*Q13+Q13*Inputs!$D$29*Inputs!$D$32*Production!$D$27+Q13*Inputs!$D$33*Inputs!$D$30*Production!$D$28+IF(Q13&gt;0,SUM(Production!$F$25,Production!$F$26,Production!$F$36,Production!$F$37)*IF(Investment!$N$43=Investment!$H$2,Investment!$N$44,Investment!$O$44)*Inputs!$D$3,0)+(Labor!$D$6*Inputs!$D$3+Labor!$D$7*Inputs!$D$30*Q13+IF(Q13&gt;0,SUM(Production!$F$25:$F$26)*IF(Investment!$N$43=Investment!$H$2,Investment!$N$44,Investment!$O$44),0)*Inputs!$D$3+Q13*Inputs!$D$29*Inputs!$D$32*Production!$D$27+Q13*Inputs!$D$33*Inputs!$D$30*Production!$D$28)*Inputs!$H$21/2</f>
        <v>10697.447087067625</v>
      </c>
      <c r="R23" s="370">
        <f>Labor!$D$6*Inputs!$D$3+Labor!$D$7*Inputs!$D$30*R13+R13*Inputs!$D$29*Inputs!$D$32*Production!$D$27+R13*Inputs!$D$33*Inputs!$D$30*Production!$D$28+IF(R13&gt;0,SUM(Production!$F$25,Production!$F$26,Production!$F$36,Production!$F$37)*IF(Investment!$N$43=Investment!$H$2,Investment!$N$44,Investment!$O$44)*Inputs!$D$3,0)+(Labor!$D$6*Inputs!$D$3+Labor!$D$7*Inputs!$D$30*R13+IF(R13&gt;0,SUM(Production!$F$25:$F$26)*IF(Investment!$N$43=Investment!$H$2,Investment!$N$44,Investment!$O$44),0)*Inputs!$D$3+R13*Inputs!$D$29*Inputs!$D$32*Production!$D$27+R13*Inputs!$D$33*Inputs!$D$30*Production!$D$28)*Inputs!$H$21/2</f>
        <v>11334.051799707624</v>
      </c>
      <c r="S23" s="370">
        <f>Labor!$D$6*Inputs!$D$3+Labor!$D$7*Inputs!$D$30*S13+S13*Inputs!$D$29*Inputs!$D$32*Production!$D$27+S13*Inputs!$D$33*Inputs!$D$30*Production!$D$28+IF(S13&gt;0,SUM(Production!$F$25,Production!$F$26,Production!$F$36,Production!$F$37)*IF(Investment!$N$43=Investment!$H$2,Investment!$N$44,Investment!$O$44)*Inputs!$D$3,0)+(Labor!$D$6*Inputs!$D$3+Labor!$D$7*Inputs!$D$30*S13+IF(S13&gt;0,SUM(Production!$F$25:$F$26)*IF(Investment!$N$43=Investment!$H$2,Investment!$N$44,Investment!$O$44),0)*Inputs!$D$3+S13*Inputs!$D$29*Inputs!$D$32*Production!$D$27+S13*Inputs!$D$33*Inputs!$D$30*Production!$D$28)*Inputs!$H$21/2</f>
        <v>12097.977454875623</v>
      </c>
      <c r="T23" s="370">
        <f>Labor!$D$6*Inputs!$D$3+Labor!$D$7*Inputs!$D$30*T13+T13*Inputs!$D$29*Inputs!$D$32*Production!$D$27+T13*Inputs!$D$33*Inputs!$D$30*Production!$D$28+IF(T13&gt;0,SUM(Production!$F$25,Production!$F$26,Production!$F$36,Production!$F$37)*IF(Investment!$N$43=Investment!$H$2,Investment!$N$44,Investment!$O$44)*Inputs!$D$3,0)+(Labor!$D$6*Inputs!$D$3+Labor!$D$7*Inputs!$D$30*T13+IF(T13&gt;0,SUM(Production!$F$25:$F$26)*IF(Investment!$N$43=Investment!$H$2,Investment!$N$44,Investment!$O$44),0)*Inputs!$D$3+T13*Inputs!$D$29*Inputs!$D$32*Production!$D$27+T13*Inputs!$D$33*Inputs!$D$30*Production!$D$28)*Inputs!$H$21/2</f>
        <v>13014.688241077221</v>
      </c>
      <c r="U23" s="370">
        <f>Labor!$D$6*Inputs!$D$3+Labor!$D$7*Inputs!$D$30*U13+U13*Inputs!$D$29*Inputs!$D$32*Production!$D$27+U13*Inputs!$D$33*Inputs!$D$30*Production!$D$28+IF(U13&gt;0,SUM(Production!$F$25,Production!$F$26,Production!$F$36,Production!$F$37)*IF(Investment!$N$43=Investment!$H$2,Investment!$N$44,Investment!$O$44)*Inputs!$D$3,0)+(Labor!$D$6*Inputs!$D$3+Labor!$D$7*Inputs!$D$30*U13+IF(U13&gt;0,SUM(Production!$F$25:$F$26)*IF(Investment!$N$43=Investment!$H$2,Investment!$N$44,Investment!$O$44),0)*Inputs!$D$3+U13*Inputs!$D$29*Inputs!$D$32*Production!$D$27+U13*Inputs!$D$33*Inputs!$D$30*Production!$D$28)*Inputs!$H$21/2</f>
        <v>14774.772950584294</v>
      </c>
      <c r="V23" s="370">
        <f>Labor!$D$6*Inputs!$D$3+Labor!$D$7*Inputs!$D$30*V13+V13*Inputs!$D$29*Inputs!$D$32*Production!$D$27+V13*Inputs!$D$33*Inputs!$D$30*Production!$D$28+IF(V13&gt;0,SUM(Production!$F$25,Production!$F$26,Production!$F$36,Production!$F$37)*IF(Investment!$N$43=Investment!$H$2,Investment!$N$44,Investment!$O$44)*Inputs!$D$3,0)+(Labor!$D$6*Inputs!$D$3+Labor!$D$7*Inputs!$D$30*V13+IF(V13&gt;0,SUM(Production!$F$25:$F$26)*IF(Investment!$N$43=Investment!$H$2,Investment!$N$44,Investment!$O$44),0)*Inputs!$D$3+V13*Inputs!$D$29*Inputs!$D$32*Production!$D$27+V13*Inputs!$D$33*Inputs!$D$30*Production!$D$28)*Inputs!$H$21/2</f>
        <v>17098.084767133631</v>
      </c>
      <c r="W23" s="370">
        <f>Labor!$D$6*Inputs!$D$3+Labor!$D$7*Inputs!$D$30*W13+W13*Inputs!$D$29*Inputs!$D$32*Production!$D$27+W13*Inputs!$D$33*Inputs!$D$30*Production!$D$28+IF(W13&gt;0,SUM(Production!$F$25,Production!$F$26,Production!$F$36,Production!$F$37)*IF(Investment!$N$43=Investment!$H$2,Investment!$N$44,Investment!$O$44)*Inputs!$D$3,0)+(Labor!$D$6*Inputs!$D$3+Labor!$D$7*Inputs!$D$30*W13+IF(W13&gt;0,SUM(Production!$F$25:$F$26)*IF(Investment!$N$43=Investment!$H$2,Investment!$N$44,Investment!$O$44),0)*Inputs!$D$3+W13*Inputs!$D$29*Inputs!$D$32*Production!$D$27+W13*Inputs!$D$33*Inputs!$D$30*Production!$D$28)*Inputs!$H$21/2</f>
        <v>20164.85636497875</v>
      </c>
      <c r="X23" s="370">
        <f>Labor!$D$6*Inputs!$D$3+Labor!$D$7*Inputs!$D$30*X13+X13*Inputs!$D$29*Inputs!$D$32*Production!$D$27+X13*Inputs!$D$33*Inputs!$D$30*Production!$D$28+IF(X13&gt;0,SUM(Production!$F$25,Production!$F$26,Production!$F$36,Production!$F$37)*IF(Investment!$N$43=Investment!$H$2,Investment!$N$44,Investment!$O$44)*Inputs!$D$3,0)+(Labor!$D$6*Inputs!$D$3+Labor!$D$7*Inputs!$D$30*X13+IF(X13&gt;0,SUM(Production!$F$25:$F$26)*IF(Investment!$N$43=Investment!$H$2,Investment!$N$44,Investment!$O$44),0)*Inputs!$D$3+X13*Inputs!$D$29*Inputs!$D$32*Production!$D$27+X13*Inputs!$D$33*Inputs!$D$30*Production!$D$28)*Inputs!$H$21/2</f>
        <v>24212.994874134314</v>
      </c>
      <c r="Y23" s="370">
        <f>Labor!$D$6*Inputs!$D$3+Labor!$D$7*Inputs!$D$30*Y13+Y13*Inputs!$D$29*Inputs!$D$32*Production!$D$27+Y13*Inputs!$D$33*Inputs!$D$30*Production!$D$28+IF(Y13&gt;0,SUM(Production!$F$25,Production!$F$26,Production!$F$36,Production!$F$37)*IF(Investment!$N$43=Investment!$H$2,Investment!$N$44,Investment!$O$44)*Inputs!$D$3,0)+(Labor!$D$6*Inputs!$D$3+Labor!$D$7*Inputs!$D$30*Y13+IF(Y13&gt;0,SUM(Production!$F$25:$F$26)*IF(Investment!$N$43=Investment!$H$2,Investment!$N$44,Investment!$O$44),0)*Inputs!$D$3+Y13*Inputs!$D$29*Inputs!$D$32*Production!$D$27+Y13*Inputs!$D$33*Inputs!$D$30*Production!$D$28)*Inputs!$H$21/2</f>
        <v>29556.537706219653</v>
      </c>
      <c r="Z23" s="370">
        <f>Labor!$D$6*Inputs!$D$3+Labor!$D$7*Inputs!$D$30*Z13+Z13*Inputs!$D$29*Inputs!$D$32*Production!$D$27+Z13*Inputs!$D$33*Inputs!$D$30*Production!$D$28+IF(Z13&gt;0,SUM(Production!$F$25,Production!$F$26,Production!$F$36,Production!$F$37)*IF(Investment!$N$43=Investment!$H$2,Investment!$N$44,Investment!$O$44)*Inputs!$D$3,0)+(Labor!$D$6*Inputs!$D$3+Labor!$D$7*Inputs!$D$30*Z13+IF(Z13&gt;0,SUM(Production!$F$25:$F$26)*IF(Investment!$N$43=Investment!$H$2,Investment!$N$44,Investment!$O$44),0)*Inputs!$D$3+Z13*Inputs!$D$29*Inputs!$D$32*Production!$D$27+Z13*Inputs!$D$33*Inputs!$D$30*Production!$D$28)*Inputs!$H$21/2</f>
        <v>22062.218884219961</v>
      </c>
      <c r="AA23" s="370">
        <f>Labor!$D$6*Inputs!$D$3+Labor!$D$7*Inputs!$D$30*AA13+AA13*Inputs!$D$29*Inputs!$D$32*Production!$D$27+AA13*Inputs!$D$33*Inputs!$D$30*Production!$D$28+IF(AA13&gt;0,SUM(Production!$F$25,Production!$F$26,Production!$F$36,Production!$F$37)*IF(Investment!$N$43=Investment!$H$2,Investment!$N$44,Investment!$O$44)*Inputs!$D$3,0)+(Labor!$D$6*Inputs!$D$3+Labor!$D$7*Inputs!$D$30*AA13+IF(AA13&gt;0,SUM(Production!$F$25:$F$26)*IF(Investment!$N$43=Investment!$H$2,Investment!$N$44,Investment!$O$44),0)*Inputs!$D$3+AA13*Inputs!$D$29*Inputs!$D$32*Production!$D$27+AA13*Inputs!$D$33*Inputs!$D$30*Production!$D$28)*Inputs!$H$21/2</f>
        <v>26717.513399532712</v>
      </c>
      <c r="AB23" s="370">
        <f>Labor!$D$6*Inputs!$D$3+Labor!$D$7*Inputs!$D$30*AB13+AB13*Inputs!$D$29*Inputs!$D$32*Production!$D$27+AB13*Inputs!$D$33*Inputs!$D$30*Production!$D$28+IF(AB13&gt;0,SUM(Production!$F$25,Production!$F$26,Production!$F$36,Production!$F$37)*IF(Investment!$N$43=Investment!$H$2,Investment!$N$44,Investment!$O$44)*Inputs!$D$3,0)+(Labor!$D$6*Inputs!$D$3+Labor!$D$7*Inputs!$D$30*AB13+IF(AB13&gt;0,SUM(Production!$F$25:$F$26)*IF(Investment!$N$43=Investment!$H$2,Investment!$N$44,Investment!$O$44),0)*Inputs!$D$3+AB13*Inputs!$D$29*Inputs!$D$32*Production!$D$27+AB13*Inputs!$D$33*Inputs!$D$30*Production!$D$28)*Inputs!$H$21/2</f>
        <v>27293.606095802665</v>
      </c>
      <c r="AC23" s="370">
        <f>Labor!$D$6*Inputs!$D$3+Labor!$D$7*Inputs!$D$30*AC13+AC13*Inputs!$D$29*Inputs!$D$32*Production!$D$27+AC13*Inputs!$D$33*Inputs!$D$30*Production!$D$28+IF(AC13&gt;0,SUM(Production!$F$25,Production!$F$26,Production!$F$36,Production!$F$37)*IF(Investment!$N$43=Investment!$H$2,Investment!$N$44,Investment!$O$44)*Inputs!$D$3,0)+(Labor!$D$6*Inputs!$D$3+Labor!$D$7*Inputs!$D$30*AC13+IF(AC13&gt;0,SUM(Production!$F$25:$F$26)*IF(Investment!$N$43=Investment!$H$2,Investment!$N$44,Investment!$O$44),0)*Inputs!$D$3+AC13*Inputs!$D$29*Inputs!$D$32*Production!$D$27+AC13*Inputs!$D$33*Inputs!$D$30*Production!$D$28)*Inputs!$H$21/2</f>
        <v>27886.981572960718</v>
      </c>
      <c r="AD23" s="370">
        <f>Labor!$D$6*Inputs!$D$3+Labor!$D$7*Inputs!$D$30*AD13+AD13*Inputs!$D$29*Inputs!$D$32*Production!$D$27+AD13*Inputs!$D$33*Inputs!$D$30*Production!$D$28+IF(AD13&gt;0,SUM(Production!$F$25,Production!$F$26,Production!$F$36,Production!$F$37)*IF(Investment!$N$43=Investment!$H$2,Investment!$N$44,Investment!$O$44)*Inputs!$D$3,0)+(Labor!$D$6*Inputs!$D$3+Labor!$D$7*Inputs!$D$30*AD13+IF(AD13&gt;0,SUM(Production!$F$25:$F$26)*IF(Investment!$N$43=Investment!$H$2,Investment!$N$44,Investment!$O$44),0)*Inputs!$D$3+AD13*Inputs!$D$29*Inputs!$D$32*Production!$D$27+AD13*Inputs!$D$33*Inputs!$D$30*Production!$D$28)*Inputs!$H$21/2</f>
        <v>32135.107154521593</v>
      </c>
      <c r="AE23" s="370">
        <f>Labor!$D$6*Inputs!$D$3+Labor!$D$7*Inputs!$D$30*AE13+AE13*Inputs!$D$29*Inputs!$D$32*Production!$D$27+AE13*Inputs!$D$33*Inputs!$D$30*Production!$D$28+IF(AE13&gt;0,SUM(Production!$F$25,Production!$F$26,Production!$F$36,Production!$F$37)*IF(Investment!$N$43=Investment!$H$2,Investment!$N$44,Investment!$O$44)*Inputs!$D$3,0)+(Labor!$D$6*Inputs!$D$3+Labor!$D$7*Inputs!$D$30*AE13+IF(AE13&gt;0,SUM(Production!$F$25:$F$26)*IF(Investment!$N$43=Investment!$H$2,Investment!$N$44,Investment!$O$44),0)*Inputs!$D$3+AE13*Inputs!$D$29*Inputs!$D$32*Production!$D$27+AE13*Inputs!$D$33*Inputs!$D$30*Production!$D$28)*Inputs!$H$21/2</f>
        <v>32873.727663441212</v>
      </c>
      <c r="AF23" s="370">
        <f>Labor!$D$6*Inputs!$D$3+Labor!$D$7*Inputs!$D$30*AF13+AF13*Inputs!$D$29*Inputs!$D$32*Production!$D$27+AF13*Inputs!$D$33*Inputs!$D$30*Production!$D$28+IF(AF13&gt;0,SUM(Production!$F$25,Production!$F$26,Production!$F$36,Production!$F$37)*IF(Investment!$N$43=Investment!$H$2,Investment!$N$44,Investment!$O$44)*Inputs!$D$3,0)+(Labor!$D$6*Inputs!$D$3+Labor!$D$7*Inputs!$D$30*AF13+IF(AF13&gt;0,SUM(Production!$F$25:$F$26)*IF(Investment!$N$43=Investment!$H$2,Investment!$N$44,Investment!$O$44),0)*Inputs!$D$3+AF13*Inputs!$D$29*Inputs!$D$32*Production!$D$27+AF13*Inputs!$D$33*Inputs!$D$30*Production!$D$28)*Inputs!$H$21/2</f>
        <v>33634.506787628423</v>
      </c>
      <c r="AG23" s="370">
        <f>Labor!$D$6*Inputs!$D$3+Labor!$D$7*Inputs!$D$30*AG13+AG13*Inputs!$D$29*Inputs!$D$32*Production!$D$27+AG13*Inputs!$D$33*Inputs!$D$30*Production!$D$28+IF(AG13&gt;0,SUM(Production!$F$25,Production!$F$26,Production!$F$36,Production!$F$37)*IF(Investment!$N$43=Investment!$H$2,Investment!$N$44,Investment!$O$44)*Inputs!$D$3,0)+(Labor!$D$6*Inputs!$D$3+Labor!$D$7*Inputs!$D$30*AG13+IF(AG13&gt;0,SUM(Production!$F$25:$F$26)*IF(Investment!$N$43=Investment!$H$2,Investment!$N$44,Investment!$O$44),0)*Inputs!$D$3+AG13*Inputs!$D$29*Inputs!$D$32*Production!$D$27+AG13*Inputs!$D$33*Inputs!$D$30*Production!$D$28)*Inputs!$H$21/2</f>
        <v>34418.10928554125</v>
      </c>
      <c r="AH23" s="370">
        <f>Labor!$D$6*Inputs!$D$3+Labor!$D$7*Inputs!$D$30*AH13+AH13*Inputs!$D$29*Inputs!$D$32*Production!$D$27+AH13*Inputs!$D$33*Inputs!$D$30*Production!$D$28+IF(AH13&gt;0,SUM(Production!$F$25,Production!$F$26,Production!$F$36,Production!$F$37)*IF(Investment!$N$43=Investment!$H$2,Investment!$N$44,Investment!$O$44)*Inputs!$D$3,0)+(Labor!$D$6*Inputs!$D$3+Labor!$D$7*Inputs!$D$30*AH13+IF(AH13&gt;0,SUM(Production!$F$25:$F$26)*IF(Investment!$N$43=Investment!$H$2,Investment!$N$44,Investment!$O$44),0)*Inputs!$D$3+AH13*Inputs!$D$29*Inputs!$D$32*Production!$D$27+AH13*Inputs!$D$33*Inputs!$D$30*Production!$D$28)*Inputs!$H$21/2</f>
        <v>35225.219858391458</v>
      </c>
      <c r="AI23" s="370">
        <f>Labor!$D$6*Inputs!$D$3+Labor!$D$7*Inputs!$D$30*AI13+AI13*Inputs!$D$29*Inputs!$D$32*Production!$D$27+AI13*Inputs!$D$33*Inputs!$D$30*Production!$D$28+IF(AI13&gt;0,SUM(Production!$F$25,Production!$F$26,Production!$F$36,Production!$F$37)*IF(Investment!$N$43=Investment!$H$2,Investment!$N$44,Investment!$O$44)*Inputs!$D$3,0)+(Labor!$D$6*Inputs!$D$3+Labor!$D$7*Inputs!$D$30*AI13+IF(AI13&gt;0,SUM(Production!$F$25:$F$26)*IF(Investment!$N$43=Investment!$H$2,Investment!$N$44,Investment!$O$44),0)*Inputs!$D$3+AI13*Inputs!$D$29*Inputs!$D$32*Production!$D$27+AI13*Inputs!$D$33*Inputs!$D$30*Production!$D$28)*Inputs!$H$21/2</f>
        <v>36056.543748427175</v>
      </c>
      <c r="AJ23" s="370">
        <f>Labor!$D$6*Inputs!$D$3+Labor!$D$7*Inputs!$D$30*AJ13+AJ13*Inputs!$D$29*Inputs!$D$32*Production!$D$27+AJ13*Inputs!$D$33*Inputs!$D$30*Production!$D$28+IF(AJ13&gt;0,SUM(Production!$F$25,Production!$F$26,Production!$F$36,Production!$F$37)*IF(Investment!$N$43=Investment!$H$2,Investment!$N$44,Investment!$O$44)*Inputs!$D$3,0)+(Labor!$D$6*Inputs!$D$3+Labor!$D$7*Inputs!$D$30*AJ13+IF(AJ13&gt;0,SUM(Production!$F$25:$F$26)*IF(Investment!$N$43=Investment!$H$2,Investment!$N$44,Investment!$O$44),0)*Inputs!$D$3+AJ13*Inputs!$D$29*Inputs!$D$32*Production!$D$27+AJ13*Inputs!$D$33*Inputs!$D$30*Production!$D$28)*Inputs!$H$21/2</f>
        <v>36912.807355163961</v>
      </c>
      <c r="AK23" s="370">
        <f>Labor!$D$6*Inputs!$D$3+Labor!$D$7*Inputs!$D$30*AK13+AK13*Inputs!$D$29*Inputs!$D$32*Production!$D$27+AK13*Inputs!$D$33*Inputs!$D$30*Production!$D$28+IF(AK13&gt;0,SUM(Production!$F$25,Production!$F$26,Production!$F$36,Production!$F$37)*IF(Investment!$N$43=Investment!$H$2,Investment!$N$44,Investment!$O$44)*Inputs!$D$3,0)+(Labor!$D$6*Inputs!$D$3+Labor!$D$7*Inputs!$D$30*AK13+IF(AK13&gt;0,SUM(Production!$F$25:$F$26)*IF(Investment!$N$43=Investment!$H$2,Investment!$N$44,Investment!$O$44),0)*Inputs!$D$3+AK13*Inputs!$D$29*Inputs!$D$32*Production!$D$27+AK13*Inputs!$D$33*Inputs!$D$30*Production!$D$28)*Inputs!$H$21/2</f>
        <v>37794.758870102844</v>
      </c>
      <c r="AL23" s="370">
        <f>Labor!$D$6*Inputs!$D$3+Labor!$D$7*Inputs!$D$30*AL13+AL13*Inputs!$D$29*Inputs!$D$32*Production!$D$27+AL13*Inputs!$D$33*Inputs!$D$30*Production!$D$28+IF(AL13&gt;0,SUM(Production!$F$25,Production!$F$26,Production!$F$36,Production!$F$37)*IF(Investment!$N$43=Investment!$H$2,Investment!$N$44,Investment!$O$44)*Inputs!$D$3,0)+(Labor!$D$6*Inputs!$D$3+Labor!$D$7*Inputs!$D$30*AL13+IF(AL13&gt;0,SUM(Production!$F$25:$F$26)*IF(Investment!$N$43=Investment!$H$2,Investment!$N$44,Investment!$O$44),0)*Inputs!$D$3+AL13*Inputs!$D$29*Inputs!$D$32*Production!$D$27+AL13*Inputs!$D$33*Inputs!$D$30*Production!$D$28)*Inputs!$H$21/2</f>
        <v>38703.168930489905</v>
      </c>
      <c r="AM23" s="370">
        <f>Labor!$D$6*Inputs!$D$3+Labor!$D$7*Inputs!$D$30*AM13+AM13*Inputs!$D$29*Inputs!$D$32*Production!$D$27+AM13*Inputs!$D$33*Inputs!$D$30*Production!$D$28+IF(AM13&gt;0,SUM(Production!$F$25,Production!$F$26,Production!$F$36,Production!$F$37)*IF(Investment!$N$43=Investment!$H$2,Investment!$N$44,Investment!$O$44)*Inputs!$D$3,0)+(Labor!$D$6*Inputs!$D$3+Labor!$D$7*Inputs!$D$30*AM13+IF(AM13&gt;0,SUM(Production!$F$25:$F$26)*IF(Investment!$N$43=Investment!$H$2,Investment!$N$44,Investment!$O$44),0)*Inputs!$D$3+AM13*Inputs!$D$29*Inputs!$D$32*Production!$D$27+AM13*Inputs!$D$33*Inputs!$D$30*Production!$D$28)*Inputs!$H$21/2</f>
        <v>39638.83129268857</v>
      </c>
      <c r="AN23" s="370">
        <f>Labor!$D$6*Inputs!$D$3+Labor!$D$7*Inputs!$D$30*AN13+AN13*Inputs!$D$29*Inputs!$D$32*Production!$D$27+AN13*Inputs!$D$33*Inputs!$D$30*Production!$D$28+IF(AN13&gt;0,SUM(Production!$F$25,Production!$F$26,Production!$F$36,Production!$F$37)*IF(Investment!$N$43=Investment!$H$2,Investment!$N$44,Investment!$O$44)*Inputs!$D$3,0)+(Labor!$D$6*Inputs!$D$3+Labor!$D$7*Inputs!$D$30*AN13+IF(AN13&gt;0,SUM(Production!$F$25:$F$26)*IF(Investment!$N$43=Investment!$H$2,Investment!$N$44,Investment!$O$44),0)*Inputs!$D$3+AN13*Inputs!$D$29*Inputs!$D$32*Production!$D$27+AN13*Inputs!$D$33*Inputs!$D$30*Production!$D$28)*Inputs!$H$21/2</f>
        <v>40602.563525753205</v>
      </c>
      <c r="AO23" s="370">
        <f>Labor!$D$6*Inputs!$D$3+Labor!$D$7*Inputs!$D$30*AO13+AO13*Inputs!$D$29*Inputs!$D$32*Production!$D$27+AO13*Inputs!$D$33*Inputs!$D$30*Production!$D$28+IF(AO13&gt;0,SUM(Production!$F$25,Production!$F$26,Production!$F$36,Production!$F$37)*IF(Investment!$N$43=Investment!$H$2,Investment!$N$44,Investment!$O$44)*Inputs!$D$3,0)+(Labor!$D$6*Inputs!$D$3+Labor!$D$7*Inputs!$D$30*AO13+IF(AO13&gt;0,SUM(Production!$F$25:$F$26)*IF(Investment!$N$43=Investment!$H$2,Investment!$N$44,Investment!$O$44),0)*Inputs!$D$3+AO13*Inputs!$D$29*Inputs!$D$32*Production!$D$27+AO13*Inputs!$D$33*Inputs!$D$30*Production!$D$28)*Inputs!$H$21/2</f>
        <v>41595.207725809771</v>
      </c>
      <c r="AP23" s="370">
        <f>Labor!$D$6*Inputs!$D$3+Labor!$D$7*Inputs!$D$30*AP13+AP13*Inputs!$D$29*Inputs!$D$32*Production!$D$27+AP13*Inputs!$D$33*Inputs!$D$30*Production!$D$28+IF(AP13&gt;0,SUM(Production!$F$25,Production!$F$26,Production!$F$36,Production!$F$37)*IF(Investment!$N$43=Investment!$H$2,Investment!$N$44,Investment!$O$44)*Inputs!$D$3,0)+(Labor!$D$6*Inputs!$D$3+Labor!$D$7*Inputs!$D$30*AP13+IF(AP13&gt;0,SUM(Production!$F$25:$F$26)*IF(Investment!$N$43=Investment!$H$2,Investment!$N$44,Investment!$O$44),0)*Inputs!$D$3+AP13*Inputs!$D$29*Inputs!$D$32*Production!$D$27+AP13*Inputs!$D$33*Inputs!$D$30*Production!$D$28)*Inputs!$H$21/2</f>
        <v>42617.631251868042</v>
      </c>
      <c r="AQ23" s="370">
        <f>Labor!$D$6*Inputs!$D$3+Labor!$D$7*Inputs!$D$30*AQ13+AQ13*Inputs!$D$29*Inputs!$D$32*Production!$D$27+AQ13*Inputs!$D$33*Inputs!$D$30*Production!$D$28+IF(AQ13&gt;0,SUM(Production!$F$25,Production!$F$26,Production!$F$36,Production!$F$37)*IF(Investment!$N$43=Investment!$H$2,Investment!$N$44,Investment!$O$44)*Inputs!$D$3,0)+(Labor!$D$6*Inputs!$D$3+Labor!$D$7*Inputs!$D$30*AQ13+IF(AQ13&gt;0,SUM(Production!$F$25:$F$26)*IF(Investment!$N$43=Investment!$H$2,Investment!$N$44,Investment!$O$44),0)*Inputs!$D$3+AQ13*Inputs!$D$29*Inputs!$D$32*Production!$D$27+AQ13*Inputs!$D$33*Inputs!$D$30*Production!$D$28)*Inputs!$H$21/2</f>
        <v>43670.72748370804</v>
      </c>
      <c r="AR23" s="370">
        <f>Labor!$D$6*Inputs!$D$3+Labor!$D$7*Inputs!$D$30*AR13+AR13*Inputs!$D$29*Inputs!$D$32*Production!$D$27+AR13*Inputs!$D$33*Inputs!$D$30*Production!$D$28+IF(AR13&gt;0,SUM(Production!$F$25,Production!$F$26,Production!$F$36,Production!$F$37)*IF(Investment!$N$43=Investment!$H$2,Investment!$N$44,Investment!$O$44)*Inputs!$D$3,0)+(Labor!$D$6*Inputs!$D$3+Labor!$D$7*Inputs!$D$30*AR13+IF(AR13&gt;0,SUM(Production!$F$25:$F$26)*IF(Investment!$N$43=Investment!$H$2,Investment!$N$44,Investment!$O$44),0)*Inputs!$D$3+AR13*Inputs!$D$29*Inputs!$D$32*Production!$D$27+AR13*Inputs!$D$33*Inputs!$D$30*Production!$D$28)*Inputs!$H$21/2</f>
        <v>44755.416602503268</v>
      </c>
      <c r="AS23" s="370">
        <f>Labor!$D$6*Inputs!$D$3+Labor!$D$7*Inputs!$D$30*AS13+AS13*Inputs!$D$29*Inputs!$D$32*Production!$D$27+AS13*Inputs!$D$33*Inputs!$D$30*Production!$D$28+IF(AS13&gt;0,SUM(Production!$F$25,Production!$F$26,Production!$F$36,Production!$F$37)*IF(Investment!$N$43=Investment!$H$2,Investment!$N$44,Investment!$O$44)*Inputs!$D$3,0)+(Labor!$D$6*Inputs!$D$3+Labor!$D$7*Inputs!$D$30*AS13+IF(AS13&gt;0,SUM(Production!$F$25:$F$26)*IF(Investment!$N$43=Investment!$H$2,Investment!$N$44,Investment!$O$44),0)*Inputs!$D$3+AS13*Inputs!$D$29*Inputs!$D$32*Production!$D$27+AS13*Inputs!$D$33*Inputs!$D$30*Production!$D$28)*Inputs!$H$21/2</f>
        <v>45872.646394862335</v>
      </c>
      <c r="AT23" s="370">
        <f>Labor!$D$6*Inputs!$D$3+Labor!$D$7*Inputs!$D$30*AT13+AT13*Inputs!$D$29*Inputs!$D$32*Production!$D$27+AT13*Inputs!$D$33*Inputs!$D$30*Production!$D$28+IF(AT13&gt;0,SUM(Production!$F$25,Production!$F$26,Production!$F$36,Production!$F$37)*IF(Investment!$N$43=Investment!$H$2,Investment!$N$44,Investment!$O$44)*Inputs!$D$3,0)+(Labor!$D$6*Inputs!$D$3+Labor!$D$7*Inputs!$D$30*AT13+IF(AT13&gt;0,SUM(Production!$F$25:$F$26)*IF(Investment!$N$43=Investment!$H$2,Investment!$N$44,Investment!$O$44),0)*Inputs!$D$3+AT13*Inputs!$D$29*Inputs!$D$32*Production!$D$27+AT13*Inputs!$D$33*Inputs!$D$30*Production!$D$28)*Inputs!$H$21/2</f>
        <v>47023.393080992188</v>
      </c>
      <c r="AU23" s="370">
        <f>Labor!$D$6*Inputs!$D$3+Labor!$D$7*Inputs!$D$30*AU13+AU13*Inputs!$D$29*Inputs!$D$32*Production!$D$27+AU13*Inputs!$D$33*Inputs!$D$30*Production!$D$28+IF(AU13&gt;0,SUM(Production!$F$25,Production!$F$26,Production!$F$36,Production!$F$37)*IF(Investment!$N$43=Investment!$H$2,Investment!$N$44,Investment!$O$44)*Inputs!$D$3,0)+(Labor!$D$6*Inputs!$D$3+Labor!$D$7*Inputs!$D$30*AU13+IF(AU13&gt;0,SUM(Production!$F$25:$F$26)*IF(Investment!$N$43=Investment!$H$2,Investment!$N$44,Investment!$O$44),0)*Inputs!$D$3+AU13*Inputs!$D$29*Inputs!$D$32*Production!$D$27+AU13*Inputs!$D$33*Inputs!$D$30*Production!$D$28)*Inputs!$H$21/2</f>
        <v>48208.662167705908</v>
      </c>
      <c r="AV23" s="370">
        <f>Labor!$D$6*Inputs!$D$3+Labor!$D$7*Inputs!$D$30*AV13+AV13*Inputs!$D$29*Inputs!$D$32*Production!$D$27+AV13*Inputs!$D$33*Inputs!$D$30*Production!$D$28+IF(AV13&gt;0,SUM(Production!$F$25,Production!$F$26,Production!$F$36,Production!$F$37)*IF(Investment!$N$43=Investment!$H$2,Investment!$N$44,Investment!$O$44)*Inputs!$D$3,0)+(Labor!$D$6*Inputs!$D$3+Labor!$D$7*Inputs!$D$30*AV13+IF(AV13&gt;0,SUM(Production!$F$25:$F$26)*IF(Investment!$N$43=Investment!$H$2,Investment!$N$44,Investment!$O$44),0)*Inputs!$D$3+AV13*Inputs!$D$29*Inputs!$D$32*Production!$D$27+AV13*Inputs!$D$33*Inputs!$D$30*Production!$D$28)*Inputs!$H$21/2</f>
        <v>49429.48932702106</v>
      </c>
      <c r="AW23" s="370">
        <f>Labor!$D$6*Inputs!$D$3+Labor!$D$7*Inputs!$D$30*AW13+AW13*Inputs!$D$29*Inputs!$D$32*Production!$D$27+AW13*Inputs!$D$33*Inputs!$D$30*Production!$D$28+IF(AW13&gt;0,SUM(Production!$F$25,Production!$F$26,Production!$F$36,Production!$F$37)*IF(Investment!$N$43=Investment!$H$2,Investment!$N$44,Investment!$O$44)*Inputs!$D$3,0)+(Labor!$D$6*Inputs!$D$3+Labor!$D$7*Inputs!$D$30*AW13+IF(AW13&gt;0,SUM(Production!$F$25:$F$26)*IF(Investment!$N$43=Investment!$H$2,Investment!$N$44,Investment!$O$44),0)*Inputs!$D$3+AW13*Inputs!$D$29*Inputs!$D$32*Production!$D$27+AW13*Inputs!$D$33*Inputs!$D$30*Production!$D$28)*Inputs!$H$21/2</f>
        <v>50686.941301115672</v>
      </c>
      <c r="AX23" s="370">
        <f>Labor!$D$6*Inputs!$D$3+Labor!$D$7*Inputs!$D$30*AX13+AX13*Inputs!$D$29*Inputs!$D$32*Production!$D$27+AX13*Inputs!$D$33*Inputs!$D$30*Production!$D$28+IF(AX13&gt;0,SUM(Production!$F$25,Production!$F$26,Production!$F$36,Production!$F$37)*IF(Investment!$N$43=Investment!$H$2,Investment!$N$44,Investment!$O$44)*Inputs!$D$3,0)+(Labor!$D$6*Inputs!$D$3+Labor!$D$7*Inputs!$D$30*AX13+IF(AX13&gt;0,SUM(Production!$F$25:$F$26)*IF(Investment!$N$43=Investment!$H$2,Investment!$N$44,Investment!$O$44),0)*Inputs!$D$3+AX13*Inputs!$D$29*Inputs!$D$32*Production!$D$27+AX13*Inputs!$D$33*Inputs!$D$30*Production!$D$28)*Inputs!$H$21/2</f>
        <v>51982.116834433116</v>
      </c>
      <c r="AY23" s="370">
        <f>Labor!$D$6*Inputs!$D$3+Labor!$D$7*Inputs!$D$30*AY13+AY13*Inputs!$D$29*Inputs!$D$32*Production!$D$27+AY13*Inputs!$D$33*Inputs!$D$30*Production!$D$28+IF(AY13&gt;0,SUM(Production!$F$25,Production!$F$26,Production!$F$36,Production!$F$37)*IF(Investment!$N$43=Investment!$H$2,Investment!$N$44,Investment!$O$44)*Inputs!$D$3,0)+(Labor!$D$6*Inputs!$D$3+Labor!$D$7*Inputs!$D$30*AY13+IF(AY13&gt;0,SUM(Production!$F$25:$F$26)*IF(Investment!$N$43=Investment!$H$2,Investment!$N$44,Investment!$O$44),0)*Inputs!$D$3+AY13*Inputs!$D$29*Inputs!$D$32*Production!$D$27+AY13*Inputs!$D$33*Inputs!$D$30*Production!$D$28)*Inputs!$H$21/2</f>
        <v>51982.116834433116</v>
      </c>
      <c r="AZ23" s="370">
        <f>Labor!$D$6*Inputs!$D$3+Labor!$D$7*Inputs!$D$30*AZ13+AZ13*Inputs!$D$29*Inputs!$D$32*Production!$D$27+AZ13*Inputs!$D$33*Inputs!$D$30*Production!$D$28+IF(AZ13&gt;0,SUM(Production!$F$25,Production!$F$26,Production!$F$36,Production!$F$37)*IF(Investment!$N$43=Investment!$H$2,Investment!$N$44,Investment!$O$44)*Inputs!$D$3,0)+(Labor!$D$6*Inputs!$D$3+Labor!$D$7*Inputs!$D$30*AZ13+IF(AZ13&gt;0,SUM(Production!$F$25:$F$26)*IF(Investment!$N$43=Investment!$H$2,Investment!$N$44,Investment!$O$44),0)*Inputs!$D$3+AZ13*Inputs!$D$29*Inputs!$D$32*Production!$D$27+AZ13*Inputs!$D$33*Inputs!$D$30*Production!$D$28)*Inputs!$H$21/2</f>
        <v>51982.116834433116</v>
      </c>
      <c r="BA23" s="370">
        <f>Labor!$D$6*Inputs!$D$3+Labor!$D$7*Inputs!$D$30*BA13+BA13*Inputs!$D$29*Inputs!$D$32*Production!$D$27+BA13*Inputs!$D$33*Inputs!$D$30*Production!$D$28+IF(BA13&gt;0,SUM(Production!$F$25,Production!$F$26,Production!$F$36,Production!$F$37)*IF(Investment!$N$43=Investment!$H$2,Investment!$N$44,Investment!$O$44)*Inputs!$D$3,0)+(Labor!$D$6*Inputs!$D$3+Labor!$D$7*Inputs!$D$30*BA13+IF(BA13&gt;0,SUM(Production!$F$25:$F$26)*IF(Investment!$N$43=Investment!$H$2,Investment!$N$44,Investment!$O$44),0)*Inputs!$D$3+BA13*Inputs!$D$29*Inputs!$D$32*Production!$D$27+BA13*Inputs!$D$33*Inputs!$D$30*Production!$D$28)*Inputs!$H$21/2</f>
        <v>51982.116834433116</v>
      </c>
      <c r="BB23" s="370">
        <f>Labor!$D$6*Inputs!$D$3+Labor!$D$7*Inputs!$D$30*BB13+BB13*Inputs!$D$29*Inputs!$D$32*Production!$D$27+BB13*Inputs!$D$33*Inputs!$D$30*Production!$D$28+IF(BB13&gt;0,SUM(Production!$F$25,Production!$F$26,Production!$F$36,Production!$F$37)*IF(Investment!$N$43=Investment!$H$2,Investment!$N$44,Investment!$O$44)*Inputs!$D$3,0)+(Labor!$D$6*Inputs!$D$3+Labor!$D$7*Inputs!$D$30*BB13+IF(BB13&gt;0,SUM(Production!$F$25:$F$26)*IF(Investment!$N$43=Investment!$H$2,Investment!$N$44,Investment!$O$44),0)*Inputs!$D$3+BB13*Inputs!$D$29*Inputs!$D$32*Production!$D$27+BB13*Inputs!$D$33*Inputs!$D$30*Production!$D$28)*Inputs!$H$21/2</f>
        <v>51982.116834433116</v>
      </c>
      <c r="BC23" s="370">
        <f>Labor!$D$6*Inputs!$D$3+Labor!$D$7*Inputs!$D$30*BC13+BC13*Inputs!$D$29*Inputs!$D$32*Production!$D$27+BC13*Inputs!$D$33*Inputs!$D$30*Production!$D$28+IF(BC13&gt;0,SUM(Production!$F$25,Production!$F$26,Production!$F$36,Production!$F$37)*IF(Investment!$N$43=Investment!$H$2,Investment!$N$44,Investment!$O$44)*Inputs!$D$3,0)+(Labor!$D$6*Inputs!$D$3+Labor!$D$7*Inputs!$D$30*BC13+IF(BC13&gt;0,SUM(Production!$F$25:$F$26)*IF(Investment!$N$43=Investment!$H$2,Investment!$N$44,Investment!$O$44),0)*Inputs!$D$3+BC13*Inputs!$D$29*Inputs!$D$32*Production!$D$27+BC13*Inputs!$D$33*Inputs!$D$30*Production!$D$28)*Inputs!$H$21/2</f>
        <v>51982.116834433116</v>
      </c>
      <c r="BD23" s="370">
        <f>Labor!$D$6*Inputs!$D$3+Labor!$D$7*Inputs!$D$30*BD13+BD13*Inputs!$D$29*Inputs!$D$32*Production!$D$27+BD13*Inputs!$D$33*Inputs!$D$30*Production!$D$28+IF(BD13&gt;0,SUM(Production!$F$25,Production!$F$26,Production!$F$36,Production!$F$37)*IF(Investment!$N$43=Investment!$H$2,Investment!$N$44,Investment!$O$44)*Inputs!$D$3,0)+(Labor!$D$6*Inputs!$D$3+Labor!$D$7*Inputs!$D$30*BD13+IF(BD13&gt;0,SUM(Production!$F$25:$F$26)*IF(Investment!$N$43=Investment!$H$2,Investment!$N$44,Investment!$O$44),0)*Inputs!$D$3+BD13*Inputs!$D$29*Inputs!$D$32*Production!$D$27+BD13*Inputs!$D$33*Inputs!$D$30*Production!$D$28)*Inputs!$H$21/2</f>
        <v>51982.116834433116</v>
      </c>
      <c r="BE23" s="370">
        <f>Labor!$D$6*Inputs!$D$3+Labor!$D$7*Inputs!$D$30*BE13+BE13*Inputs!$D$29*Inputs!$D$32*Production!$D$27+BE13*Inputs!$D$33*Inputs!$D$30*Production!$D$28+IF(BE13&gt;0,SUM(Production!$F$25,Production!$F$26,Production!$F$36,Production!$F$37)*IF(Investment!$N$43=Investment!$H$2,Investment!$N$44,Investment!$O$44)*Inputs!$D$3,0)+(Labor!$D$6*Inputs!$D$3+Labor!$D$7*Inputs!$D$30*BE13+IF(BE13&gt;0,SUM(Production!$F$25:$F$26)*IF(Investment!$N$43=Investment!$H$2,Investment!$N$44,Investment!$O$44),0)*Inputs!$D$3+BE13*Inputs!$D$29*Inputs!$D$32*Production!$D$27+BE13*Inputs!$D$33*Inputs!$D$30*Production!$D$28)*Inputs!$H$21/2</f>
        <v>51982.116834433116</v>
      </c>
      <c r="BF23" s="370">
        <f>Labor!$D$6*Inputs!$D$3+Labor!$D$7*Inputs!$D$30*BF13+BF13*Inputs!$D$29*Inputs!$D$32*Production!$D$27+BF13*Inputs!$D$33*Inputs!$D$30*Production!$D$28+IF(BF13&gt;0,SUM(Production!$F$25,Production!$F$26,Production!$F$36,Production!$F$37)*IF(Investment!$N$43=Investment!$H$2,Investment!$N$44,Investment!$O$44)*Inputs!$D$3,0)+(Labor!$D$6*Inputs!$D$3+Labor!$D$7*Inputs!$D$30*BF13+IF(BF13&gt;0,SUM(Production!$F$25:$F$26)*IF(Investment!$N$43=Investment!$H$2,Investment!$N$44,Investment!$O$44),0)*Inputs!$D$3+BF13*Inputs!$D$29*Inputs!$D$32*Production!$D$27+BF13*Inputs!$D$33*Inputs!$D$30*Production!$D$28)*Inputs!$H$21/2</f>
        <v>51982.116834433116</v>
      </c>
      <c r="BG23" s="370">
        <f>Labor!$D$6*Inputs!$D$3+Labor!$D$7*Inputs!$D$30*BG13+BG13*Inputs!$D$29*Inputs!$D$32*Production!$D$27+BG13*Inputs!$D$33*Inputs!$D$30*Production!$D$28+IF(BG13&gt;0,SUM(Production!$F$25,Production!$F$26,Production!$F$36,Production!$F$37)*IF(Investment!$N$43=Investment!$H$2,Investment!$N$44,Investment!$O$44)*Inputs!$D$3,0)+(Labor!$D$6*Inputs!$D$3+Labor!$D$7*Inputs!$D$30*BG13+IF(BG13&gt;0,SUM(Production!$F$25:$F$26)*IF(Investment!$N$43=Investment!$H$2,Investment!$N$44,Investment!$O$44),0)*Inputs!$D$3+BG13*Inputs!$D$29*Inputs!$D$32*Production!$D$27+BG13*Inputs!$D$33*Inputs!$D$30*Production!$D$28)*Inputs!$H$21/2</f>
        <v>51982.116834433116</v>
      </c>
      <c r="BH23" s="370">
        <f>Labor!$D$6*Inputs!$D$3+Labor!$D$7*Inputs!$D$30*BH13+BH13*Inputs!$D$29*Inputs!$D$32*Production!$D$27+BH13*Inputs!$D$33*Inputs!$D$30*Production!$D$28+IF(BH13&gt;0,SUM(Production!$F$25,Production!$F$26,Production!$F$36,Production!$F$37)*IF(Investment!$N$43=Investment!$H$2,Investment!$N$44,Investment!$O$44)*Inputs!$D$3,0)+(Labor!$D$6*Inputs!$D$3+Labor!$D$7*Inputs!$D$30*BH13+IF(BH13&gt;0,SUM(Production!$F$25:$F$26)*IF(Investment!$N$43=Investment!$H$2,Investment!$N$44,Investment!$O$44),0)*Inputs!$D$3+BH13*Inputs!$D$29*Inputs!$D$32*Production!$D$27+BH13*Inputs!$D$33*Inputs!$D$30*Production!$D$28)*Inputs!$H$21/2</f>
        <v>51982.116834433116</v>
      </c>
    </row>
    <row r="24" spans="10:60" hidden="1" x14ac:dyDescent="0.4">
      <c r="J24" s="368" t="s">
        <v>452</v>
      </c>
      <c r="K24" s="370">
        <f>SUM(Labor!B$27,Labor!B$25)*Inputs!$D$3+K20*(1-Inputs!$D$31)*Inputs!$D$29*Inputs!$D$32*Production!$D$27+K20*(1-Inputs!$D$31)*Inputs!$D$33*Inputs!$D$30*Production!$D$28+IF(K20&gt;0,SUM(Production!$F$25,Production!$F$26,Production!$F$36,Production!$F$37)*IF(Investment!$N$43=Investment!$H$2,Investment!$N$44,Investment!$O$44)*Inputs!$D$3,0)+(SUM(Labor!B$27,Labor!B$25)*Inputs!$D$3+IF(K20&gt;0,SUM(Production!$F$25:$F$26)*IF(Investment!$N$43=Investment!$H$2,Investment!$N$44,Investment!$O$44),0)*Inputs!$D$3+K20*Inputs!$D$29*Inputs!$D$32*Production!$D$27+K20*Inputs!$D$33*Inputs!$D$30*Production!$D$28)*Inputs!$H$21/2</f>
        <v>0</v>
      </c>
      <c r="L24" s="370">
        <f>SUM(Labor!C$27,Labor!C$25)*Inputs!$D$3+L20*(1-Inputs!$D$31)*Inputs!$D$29*Inputs!$D$32*Production!$D$27+L20*(1-Inputs!$D$31)*Inputs!$D$33*Inputs!$D$30*Production!$D$28+IF(L20&gt;0,SUM(Production!$F$25,Production!$F$26,Production!$F$36,Production!$F$37)*IF(Investment!$N$43=Investment!$H$2,Investment!$N$44,Investment!$O$44)*Inputs!$D$3,0)+(SUM(Labor!C$27,Labor!C$25)*Inputs!$D$3+IF(L20&gt;0,SUM(Production!$F$25:$F$26)*IF(Investment!$N$43=Investment!$H$2,Investment!$N$44,Investment!$O$44),0)*Inputs!$D$3+L20*Inputs!$D$29*Inputs!$D$32*Production!$D$27+L20*Inputs!$D$33*Inputs!$D$30*Production!$D$28)*Inputs!$H$21/2</f>
        <v>0</v>
      </c>
      <c r="M24" s="370">
        <f>SUM(Labor!D$27,Labor!D$25)*Inputs!$D$3+M20*(1-Inputs!$D$31)*Inputs!$D$29*Inputs!$D$32*Production!$D$27+M20*(1-Inputs!$D$31)*Inputs!$D$33*Inputs!$D$30*Production!$D$28+IF(M20&gt;0,SUM(Production!$F$25,Production!$F$26,Production!$F$36,Production!$F$37)*IF(Investment!$N$43=Investment!$H$2,Investment!$N$44,Investment!$O$44)*Inputs!$D$3,0)+(SUM(Labor!D$27,Labor!D$25)*Inputs!$D$3+IF(M20&gt;0,SUM(Production!$F$25:$F$26)*IF(Investment!$N$43=Investment!$H$2,Investment!$N$44,Investment!$O$44),0)*Inputs!$D$3+M20*Inputs!$D$29*Inputs!$D$32*Production!$D$27+M20*Inputs!$D$33*Inputs!$D$30*Production!$D$28)*Inputs!$H$21/2</f>
        <v>0</v>
      </c>
      <c r="N24" s="370">
        <f>SUM(Labor!E$27,Labor!E$25)*Inputs!$D$3+N20*(1-Inputs!$D$31)*Inputs!$D$29*Inputs!$D$32*Production!$D$27+N20*(1-Inputs!$D$31)*Inputs!$D$33*Inputs!$D$30*Production!$D$28+IF(N20&gt;0,SUM(Production!$F$25,Production!$F$26,Production!$F$36,Production!$F$37)*IF(Investment!$N$43=Investment!$H$2,Investment!$N$44,Investment!$O$44)*Inputs!$D$3,0)+(SUM(Labor!E$27,Labor!E$25)*Inputs!$D$3+IF(N20&gt;0,SUM(Production!$F$25:$F$26)*IF(Investment!$N$43=Investment!$H$2,Investment!$N$44,Investment!$O$44),0)*Inputs!$D$3+N20*Inputs!$D$29*Inputs!$D$32*Production!$D$27+N20*Inputs!$D$33*Inputs!$D$30*Production!$D$28)*Inputs!$H$21/2</f>
        <v>0</v>
      </c>
      <c r="O24" s="370">
        <f>SUM(Labor!F$27,Labor!F$25)*Inputs!$D$3+O20*(1-Inputs!$D$31)*Inputs!$D$29*Inputs!$D$32*Production!$D$27+O20*(1-Inputs!$D$31)*Inputs!$D$33*Inputs!$D$30*Production!$D$28+IF(O20&gt;0,SUM(Production!$F$25,Production!$F$26,Production!$F$36,Production!$F$37)*IF(Investment!$N$43=Investment!$H$2,Investment!$N$44,Investment!$O$44)*Inputs!$D$3,0)+(SUM(Labor!F$27,Labor!F$25)*Inputs!$D$3+IF(O20&gt;0,SUM(Production!$F$25:$F$26)*IF(Investment!$N$43=Investment!$H$2,Investment!$N$44,Investment!$O$44),0)*Inputs!$D$3+O20*Inputs!$D$29*Inputs!$D$32*Production!$D$27+O20*Inputs!$D$33*Inputs!$D$30*Production!$D$28)*Inputs!$H$21/2</f>
        <v>10402.139953867623</v>
      </c>
      <c r="P24" s="370">
        <f>SUM(Labor!G$27,Labor!G$25)*Inputs!$D$3+P20*(1-Inputs!$D$31)*Inputs!$D$29*Inputs!$D$32*Production!$D$27+P20*(1-Inputs!$D$31)*Inputs!$D$33*Inputs!$D$30*Production!$D$28+IF(P20&gt;0,SUM(Production!$F$25,Production!$F$26,Production!$F$36,Production!$F$37)*IF(Investment!$N$43=Investment!$H$2,Investment!$N$44,Investment!$O$44)*Inputs!$D$3,0)+(SUM(Labor!G$27,Labor!G$25)*Inputs!$D$3+IF(P20&gt;0,SUM(Production!$F$25:$F$26)*IF(Investment!$N$43=Investment!$H$2,Investment!$N$44,Investment!$O$44),0)*Inputs!$D$3+P20*Inputs!$D$29*Inputs!$D$32*Production!$D$27+P20*Inputs!$D$33*Inputs!$D$30*Production!$D$28)*Inputs!$H$21/2</f>
        <v>11031.683239867623</v>
      </c>
      <c r="Q24" s="370">
        <f>SUM(Labor!H$27,Labor!H$25)*Inputs!$D$3+Q20*(1-Inputs!$D$31)*Inputs!$D$29*Inputs!$D$32*Production!$D$27+Q20*(1-Inputs!$D$31)*Inputs!$D$33*Inputs!$D$30*Production!$D$28+IF(Q20&gt;0,SUM(Production!$F$25,Production!$F$26,Production!$F$36,Production!$F$37)*IF(Investment!$N$43=Investment!$H$2,Investment!$N$44,Investment!$O$44)*Inputs!$D$3,0)+(SUM(Labor!H$27,Labor!H$25)*Inputs!$D$3+IF(Q20&gt;0,SUM(Production!$F$25:$F$26)*IF(Investment!$N$43=Investment!$H$2,Investment!$N$44,Investment!$O$44),0)*Inputs!$D$3+Q20*Inputs!$D$29*Inputs!$D$32*Production!$D$27+Q20*Inputs!$D$33*Inputs!$D$30*Production!$D$28)*Inputs!$H$21/2</f>
        <v>11787.135183067623</v>
      </c>
      <c r="R24" s="370">
        <f>SUM(Labor!I$27,Labor!I$25)*Inputs!$D$3+R20*(1-Inputs!$D$31)*Inputs!$D$29*Inputs!$D$32*Production!$D$27+R20*(1-Inputs!$D$31)*Inputs!$D$33*Inputs!$D$30*Production!$D$28+IF(R20&gt;0,SUM(Production!$F$25,Production!$F$26,Production!$F$36,Production!$F$37)*IF(Investment!$N$43=Investment!$H$2,Investment!$N$44,Investment!$O$44)*Inputs!$D$3,0)+(SUM(Labor!I$27,Labor!I$25)*Inputs!$D$3+IF(R20&gt;0,SUM(Production!$F$25:$F$26)*IF(Investment!$N$43=Investment!$H$2,Investment!$N$44,Investment!$O$44),0)*Inputs!$D$3+R20*Inputs!$D$29*Inputs!$D$32*Production!$D$27+R20*Inputs!$D$33*Inputs!$D$30*Production!$D$28)*Inputs!$H$21/2</f>
        <v>12693.677514907626</v>
      </c>
      <c r="S24" s="370">
        <f>SUM(Labor!J$27,Labor!J$25)*Inputs!$D$3+S20*(1-Inputs!$D$31)*Inputs!$D$29*Inputs!$D$32*Production!$D$27+S20*(1-Inputs!$D$31)*Inputs!$D$33*Inputs!$D$30*Production!$D$28+IF(S20&gt;0,SUM(Production!$F$25,Production!$F$26,Production!$F$36,Production!$F$37)*IF(Investment!$N$43=Investment!$H$2,Investment!$N$44,Investment!$O$44)*Inputs!$D$3,0)+(SUM(Labor!J$27,Labor!J$25)*Inputs!$D$3+IF(S20&gt;0,SUM(Production!$F$25:$F$26)*IF(Investment!$N$43=Investment!$H$2,Investment!$N$44,Investment!$O$44),0)*Inputs!$D$3+S20*Inputs!$D$29*Inputs!$D$32*Production!$D$27+S20*Inputs!$D$33*Inputs!$D$30*Production!$D$28)*Inputs!$H$21/2</f>
        <v>13781.528313115623</v>
      </c>
      <c r="T24" s="370">
        <f>SUM(Labor!K$27,Labor!K$25)*Inputs!$D$3+T20*(1-Inputs!$D$31)*Inputs!$D$29*Inputs!$D$32*Production!$D$27+T20*(1-Inputs!$D$31)*Inputs!$D$33*Inputs!$D$30*Production!$D$28+IF(T20&gt;0,SUM(Production!$F$25,Production!$F$26,Production!$F$36,Production!$F$37)*IF(Investment!$N$43=Investment!$H$2,Investment!$N$44,Investment!$O$44)*Inputs!$D$3,0)+(SUM(Labor!K$27,Labor!K$25)*Inputs!$D$3+IF(T20&gt;0,SUM(Production!$F$25:$F$26)*IF(Investment!$N$43=Investment!$H$2,Investment!$N$44,Investment!$O$44),0)*Inputs!$D$3+T20*Inputs!$D$29*Inputs!$D$32*Production!$D$27+T20*Inputs!$D$33*Inputs!$D$30*Production!$D$28)*Inputs!$H$21/2</f>
        <v>15086.949270965222</v>
      </c>
      <c r="U24" s="370">
        <f>SUM(Labor!L$27,Labor!L$25)*Inputs!$D$3+U20*(1-Inputs!$D$31)*Inputs!$D$29*Inputs!$D$32*Production!$D$27+U20*(1-Inputs!$D$31)*Inputs!$D$33*Inputs!$D$30*Production!$D$28+IF(U20&gt;0,SUM(Production!$F$25,Production!$F$26,Production!$F$36,Production!$F$37)*IF(Investment!$N$43=Investment!$H$2,Investment!$N$44,Investment!$O$44)*Inputs!$D$3,0)+(SUM(Labor!L$27,Labor!L$25)*Inputs!$D$3+IF(U20&gt;0,SUM(Production!$F$25:$F$26)*IF(Investment!$N$43=Investment!$H$2,Investment!$N$44,Investment!$O$44),0)*Inputs!$D$3+U20*Inputs!$D$29*Inputs!$D$32*Production!$D$27+U20*Inputs!$D$33*Inputs!$D$30*Production!$D$28)*Inputs!$H$21/2</f>
        <v>17593.357510036454</v>
      </c>
      <c r="V24" s="370">
        <f>SUM(Labor!M$27,Labor!M$25)*Inputs!$D$3+V20*(1-Inputs!$D$31)*Inputs!$D$29*Inputs!$D$32*Production!$D$27+V20*(1-Inputs!$D$31)*Inputs!$D$33*Inputs!$D$30*Production!$D$28+IF(V20&gt;0,SUM(Production!$F$25,Production!$F$26,Production!$F$36,Production!$F$37)*IF(Investment!$N$43=Investment!$H$2,Investment!$N$44,Investment!$O$44)*Inputs!$D$3,0)+(SUM(Labor!M$27,Labor!M$25)*Inputs!$D$3+IF(V20&gt;0,SUM(Production!$F$25:$F$26)*IF(Investment!$N$43=Investment!$H$2,Investment!$N$44,Investment!$O$44),0)*Inputs!$D$3+V20*Inputs!$D$29*Inputs!$D$32*Production!$D$27+V20*Inputs!$D$33*Inputs!$D$30*Production!$D$28)*Inputs!$H$21/2</f>
        <v>20901.81638561048</v>
      </c>
      <c r="W24" s="370">
        <f>SUM(Labor!N$27,Labor!N$25)*Inputs!$D$3+W20*(1-Inputs!$D$31)*Inputs!$D$29*Inputs!$D$32*Production!$D$27+W20*(1-Inputs!$D$31)*Inputs!$D$33*Inputs!$D$30*Production!$D$28+IF(W20&gt;0,SUM(Production!$F$25,Production!$F$26,Production!$F$36,Production!$F$37)*IF(Investment!$N$43=Investment!$H$2,Investment!$N$44,Investment!$O$44)*Inputs!$D$3,0)+(SUM(Labor!N$27,Labor!N$25)*Inputs!$D$3+IF(W20&gt;0,SUM(Production!$F$25:$F$26)*IF(Investment!$N$43=Investment!$H$2,Investment!$N$44,Investment!$O$44),0)*Inputs!$D$3+W20*Inputs!$D$29*Inputs!$D$32*Production!$D$27+W20*Inputs!$D$33*Inputs!$D$30*Production!$D$28)*Inputs!$H$21/2</f>
        <v>25268.982101368194</v>
      </c>
      <c r="X24" s="370">
        <f>SUM(Labor!O$27,Labor!O$25)*Inputs!$D$3+X20*(1-Inputs!$D$31)*Inputs!$D$29*Inputs!$D$32*Production!$D$27+X20*(1-Inputs!$D$31)*Inputs!$D$33*Inputs!$D$30*Production!$D$28+IF(X20&gt;0,SUM(Production!$F$25,Production!$F$26,Production!$F$36,Production!$F$37)*IF(Investment!$N$43=Investment!$H$2,Investment!$N$44,Investment!$O$44)*Inputs!$D$3,0)+(SUM(Labor!O$27,Labor!O$25)*Inputs!$D$3+IF(X20&gt;0,SUM(Production!$F$25:$F$26)*IF(Investment!$N$43=Investment!$H$2,Investment!$N$44,Investment!$O$44),0)*Inputs!$D$3+X20*Inputs!$D$29*Inputs!$D$32*Production!$D$27+X20*Inputs!$D$33*Inputs!$D$30*Production!$D$28)*Inputs!$H$21/2</f>
        <v>31033.640846168382</v>
      </c>
      <c r="Y24" s="370">
        <f>SUM(Labor!P$27,Labor!P$25)*Inputs!$D$3+Y20*(1-Inputs!$D$31)*Inputs!$D$29*Inputs!$D$32*Production!$D$27+Y20*(1-Inputs!$D$31)*Inputs!$D$33*Inputs!$D$30*Production!$D$28+IF(Y20&gt;0,SUM(Production!$F$25,Production!$F$26,Production!$F$36,Production!$F$37)*IF(Investment!$N$43=Investment!$H$2,Investment!$N$44,Investment!$O$44)*Inputs!$D$3,0)+(SUM(Labor!P$27,Labor!P$25)*Inputs!$D$3+IF(Y20&gt;0,SUM(Production!$F$25:$F$26)*IF(Investment!$N$43=Investment!$H$2,Investment!$N$44,Investment!$O$44),0)*Inputs!$D$3+Y20*Inputs!$D$29*Inputs!$D$32*Production!$D$27+Y20*Inputs!$D$33*Inputs!$D$30*Production!$D$28)*Inputs!$H$21/2</f>
        <v>38642.990389304614</v>
      </c>
      <c r="Z24" s="370">
        <f>SUM(Labor!Q$27,Labor!Q$25)*Inputs!$D$3+Z20*(1-Inputs!$D$31)*Inputs!$D$29*Inputs!$D$32*Production!$D$27+Z20*(1-Inputs!$D$31)*Inputs!$D$33*Inputs!$D$30*Production!$D$28+IF(Z20&gt;0,SUM(Production!$F$25,Production!$F$26,Production!$F$36,Production!$F$37)*IF(Investment!$N$43=Investment!$H$2,Investment!$N$44,Investment!$O$44)*Inputs!$D$3,0)+(SUM(Labor!Q$27,Labor!Q$25)*Inputs!$D$3+IF(Z20&gt;0,SUM(Production!$F$25:$F$26)*IF(Investment!$N$43=Investment!$H$2,Investment!$N$44,Investment!$O$44),0)*Inputs!$D$3+Z20*Inputs!$D$29*Inputs!$D$32*Production!$D$27+Z20*Inputs!$D$33*Inputs!$D$30*Production!$D$28)*Inputs!$H$21/2</f>
        <v>27970.87765505604</v>
      </c>
      <c r="AA24" s="370">
        <f>SUM(Labor!R$27,Labor!R$25)*Inputs!$D$3+AA20*(1-Inputs!$D$31)*Inputs!$D$29*Inputs!$D$32*Production!$D$27+AA20*(1-Inputs!$D$31)*Inputs!$D$33*Inputs!$D$30*Production!$D$28+IF(AA20&gt;0,SUM(Production!$F$25,Production!$F$26,Production!$F$36,Production!$F$37)*IF(Investment!$N$43=Investment!$H$2,Investment!$N$44,Investment!$O$44)*Inputs!$D$3,0)+(SUM(Labor!R$27,Labor!R$25)*Inputs!$D$3+IF(AA20&gt;0,SUM(Production!$F$25:$F$26)*IF(Investment!$N$43=Investment!$H$2,Investment!$N$44,Investment!$O$44),0)*Inputs!$D$3+AA20*Inputs!$D$29*Inputs!$D$32*Production!$D$27+AA20*Inputs!$D$33*Inputs!$D$30*Production!$D$28)*Inputs!$H$21/2</f>
        <v>34600.142977036332</v>
      </c>
      <c r="AB24" s="370">
        <f>SUM(Labor!S$27,Labor!S$25)*Inputs!$D$3+AB20*(1-Inputs!$D$31)*Inputs!$D$29*Inputs!$D$32*Production!$D$27+AB20*(1-Inputs!$D$31)*Inputs!$D$33*Inputs!$D$30*Production!$D$28+IF(AB20&gt;0,SUM(Production!$F$25,Production!$F$26,Production!$F$36,Production!$F$37)*IF(Investment!$N$43=Investment!$H$2,Investment!$N$44,Investment!$O$44)*Inputs!$D$3,0)+(SUM(Labor!S$27,Labor!S$25)*Inputs!$D$3+IF(AB20&gt;0,SUM(Production!$F$25:$F$26)*IF(Investment!$N$43=Investment!$H$2,Investment!$N$44,Investment!$O$44),0)*Inputs!$D$3+AB20*Inputs!$D$29*Inputs!$D$32*Production!$D$27+AB20*Inputs!$D$33*Inputs!$D$30*Production!$D$28)*Inputs!$H$21/2</f>
        <v>35420.514560631389</v>
      </c>
      <c r="AC24" s="370">
        <f>SUM(Labor!T$27,Labor!T$25)*Inputs!$D$3+AC20*(1-Inputs!$D$31)*Inputs!$D$29*Inputs!$D$32*Production!$D$27+AC20*(1-Inputs!$D$31)*Inputs!$D$33*Inputs!$D$30*Production!$D$28+IF(AC20&gt;0,SUM(Production!$F$25,Production!$F$26,Production!$F$36,Production!$F$37)*IF(Investment!$N$43=Investment!$H$2,Investment!$N$44,Investment!$O$44)*Inputs!$D$3,0)+(SUM(Labor!T$27,Labor!T$25)*Inputs!$D$3+IF(AC20&gt;0,SUM(Production!$F$25:$F$26)*IF(Investment!$N$43=Investment!$H$2,Investment!$N$44,Investment!$O$44),0)*Inputs!$D$3+AC20*Inputs!$D$29*Inputs!$D$32*Production!$D$27+AC20*Inputs!$D$33*Inputs!$D$30*Production!$D$28)*Inputs!$H$21/2</f>
        <v>36265.497291734304</v>
      </c>
      <c r="AD24" s="370">
        <f>SUM(Labor!U$27,Labor!U$25)*Inputs!$D$3+AD20*(1-Inputs!$D$31)*Inputs!$D$29*Inputs!$D$32*Production!$D$27+AD20*(1-Inputs!$D$31)*Inputs!$D$33*Inputs!$D$30*Production!$D$28+IF(AD20&gt;0,SUM(Production!$F$25,Production!$F$26,Production!$F$36,Production!$F$37)*IF(Investment!$N$43=Investment!$H$2,Investment!$N$44,Investment!$O$44)*Inputs!$D$3,0)+(SUM(Labor!U$27,Labor!U$25)*Inputs!$D$3+IF(AD20&gt;0,SUM(Production!$F$25:$F$26)*IF(Investment!$N$43=Investment!$H$2,Investment!$N$44,Investment!$O$44),0)*Inputs!$D$3+AD20*Inputs!$D$29*Inputs!$D$32*Production!$D$27+AD20*Inputs!$D$33*Inputs!$D$30*Production!$D$28)*Inputs!$H$21/2</f>
        <v>42314.94303756742</v>
      </c>
      <c r="AE24" s="370">
        <f>SUM(Labor!V$27,Labor!V$25)*Inputs!$D$3+AE20*(1-Inputs!$D$31)*Inputs!$D$29*Inputs!$D$32*Production!$D$27+AE20*(1-Inputs!$D$31)*Inputs!$D$33*Inputs!$D$30*Production!$D$28+IF(AE20&gt;0,SUM(Production!$F$25,Production!$F$26,Production!$F$36,Production!$F$37)*IF(Investment!$N$43=Investment!$H$2,Investment!$N$44,Investment!$O$44)*Inputs!$D$3,0)+(SUM(Labor!V$27,Labor!V$25)*Inputs!$D$3+IF(AE20&gt;0,SUM(Production!$F$25:$F$26)*IF(Investment!$N$43=Investment!$H$2,Investment!$N$44,Investment!$O$44),0)*Inputs!$D$3+AE20*Inputs!$D$29*Inputs!$D$32*Production!$D$27+AE20*Inputs!$D$33*Inputs!$D$30*Production!$D$28)*Inputs!$H$21/2</f>
        <v>43366.758622978414</v>
      </c>
      <c r="AF24" s="370">
        <f>SUM(Labor!W$27,Labor!W$25)*Inputs!$D$3+AF20*(1-Inputs!$D$31)*Inputs!$D$29*Inputs!$D$32*Production!$D$27+AF20*(1-Inputs!$D$31)*Inputs!$D$33*Inputs!$D$30*Production!$D$28+IF(AF20&gt;0,SUM(Production!$F$25,Production!$F$26,Production!$F$36,Production!$F$37)*IF(Investment!$N$43=Investment!$H$2,Investment!$N$44,Investment!$O$44)*Inputs!$D$3,0)+(SUM(Labor!W$27,Labor!W$25)*Inputs!$D$3+IF(AF20&gt;0,SUM(Production!$F$25:$F$26)*IF(Investment!$N$43=Investment!$H$2,Investment!$N$44,Investment!$O$44),0)*Inputs!$D$3+AF20*Inputs!$D$29*Inputs!$D$32*Production!$D$27+AF20*Inputs!$D$33*Inputs!$D$30*Production!$D$28)*Inputs!$H$21/2</f>
        <v>44450.128675951746</v>
      </c>
      <c r="AG24" s="370">
        <f>SUM(Labor!X$27,Labor!X$25)*Inputs!$D$3+AG20*(1-Inputs!$D$31)*Inputs!$D$29*Inputs!$D$32*Production!$D$27+AG20*(1-Inputs!$D$31)*Inputs!$D$33*Inputs!$D$30*Production!$D$28+IF(AG20&gt;0,SUM(Production!$F$25,Production!$F$26,Production!$F$36,Production!$F$37)*IF(Investment!$N$43=Investment!$H$2,Investment!$N$44,Investment!$O$44)*Inputs!$D$3,0)+(SUM(Labor!X$27,Labor!X$25)*Inputs!$D$3+IF(AG20&gt;0,SUM(Production!$F$25:$F$26)*IF(Investment!$N$43=Investment!$H$2,Investment!$N$44,Investment!$O$44),0)*Inputs!$D$3+AG20*Inputs!$D$29*Inputs!$D$32*Production!$D$27+AG20*Inputs!$D$33*Inputs!$D$30*Production!$D$28)*Inputs!$H$21/2</f>
        <v>45565.999830514258</v>
      </c>
      <c r="AH24" s="370">
        <f>SUM(Labor!Y$27,Labor!Y$25)*Inputs!$D$3+AH20*(1-Inputs!$D$31)*Inputs!$D$29*Inputs!$D$32*Production!$D$27+AH20*(1-Inputs!$D$31)*Inputs!$D$33*Inputs!$D$30*Production!$D$28+IF(AH20&gt;0,SUM(Production!$F$25,Production!$F$26,Production!$F$36,Production!$F$37)*IF(Investment!$N$43=Investment!$H$2,Investment!$N$44,Investment!$O$44)*Inputs!$D$3,0)+(SUM(Labor!Y$27,Labor!Y$25)*Inputs!$D$3+IF(AH20&gt;0,SUM(Production!$F$25:$F$26)*IF(Investment!$N$43=Investment!$H$2,Investment!$N$44,Investment!$O$44),0)*Inputs!$D$3+AH20*Inputs!$D$29*Inputs!$D$32*Production!$D$27+AH20*Inputs!$D$33*Inputs!$D$30*Production!$D$28)*Inputs!$H$21/2</f>
        <v>46715.347119713668</v>
      </c>
      <c r="AI24" s="370">
        <f>SUM(Labor!Z$27,Labor!Z$25)*Inputs!$D$3+AI20*(1-Inputs!$D$31)*Inputs!$D$29*Inputs!$D$32*Production!$D$27+AI20*(1-Inputs!$D$31)*Inputs!$D$33*Inputs!$D$30*Production!$D$28+IF(AI20&gt;0,SUM(Production!$F$25,Production!$F$26,Production!$F$36,Production!$F$37)*IF(Investment!$N$43=Investment!$H$2,Investment!$N$44,Investment!$O$44)*Inputs!$D$3,0)+(SUM(Labor!Z$27,Labor!Z$25)*Inputs!$D$3+IF(AI20&gt;0,SUM(Production!$F$25:$F$26)*IF(Investment!$N$43=Investment!$H$2,Investment!$N$44,Investment!$O$44),0)*Inputs!$D$3+AI20*Inputs!$D$29*Inputs!$D$32*Production!$D$27+AI20*Inputs!$D$33*Inputs!$D$30*Production!$D$28)*Inputs!$H$21/2</f>
        <v>47899.174827589057</v>
      </c>
      <c r="AJ24" s="370">
        <f>SUM(Labor!AA$27,Labor!AA$25)*Inputs!$D$3+AJ20*(1-Inputs!$D$31)*Inputs!$D$29*Inputs!$D$32*Production!$D$27+AJ20*(1-Inputs!$D$31)*Inputs!$D$33*Inputs!$D$30*Production!$D$28+IF(AJ20&gt;0,SUM(Production!$F$25,Production!$F$26,Production!$F$36,Production!$F$37)*IF(Investment!$N$43=Investment!$H$2,Investment!$N$44,Investment!$O$44)*Inputs!$D$3,0)+(SUM(Labor!AA$27,Labor!AA$25)*Inputs!$D$3+IF(AJ20&gt;0,SUM(Production!$F$25:$F$26)*IF(Investment!$N$43=Investment!$H$2,Investment!$N$44,Investment!$O$44),0)*Inputs!$D$3+AJ20*Inputs!$D$29*Inputs!$D$32*Production!$D$27+AJ20*Inputs!$D$33*Inputs!$D$30*Production!$D$28)*Inputs!$H$21/2</f>
        <v>49118.517366700697</v>
      </c>
      <c r="AK24" s="370">
        <f>SUM(Labor!AB$27,Labor!AB$25)*Inputs!$D$3+AK20*(1-Inputs!$D$31)*Inputs!$D$29*Inputs!$D$32*Production!$D$27+AK20*(1-Inputs!$D$31)*Inputs!$D$33*Inputs!$D$30*Production!$D$28+IF(AK20&gt;0,SUM(Production!$F$25,Production!$F$26,Production!$F$36,Production!$F$37)*IF(Investment!$N$43=Investment!$H$2,Investment!$N$44,Investment!$O$44)*Inputs!$D$3,0)+(SUM(Labor!AB$27,Labor!AB$25)*Inputs!$D$3+IF(AK20&gt;0,SUM(Production!$F$25:$F$26)*IF(Investment!$N$43=Investment!$H$2,Investment!$N$44,Investment!$O$44),0)*Inputs!$D$3+AK20*Inputs!$D$29*Inputs!$D$32*Production!$D$27+AK20*Inputs!$D$33*Inputs!$D$30*Production!$D$28)*Inputs!$H$21/2</f>
        <v>50374.440181985672</v>
      </c>
      <c r="AL24" s="370">
        <f>SUM(Labor!AC$27,Labor!AC$25)*Inputs!$D$3+AL20*(1-Inputs!$D$31)*Inputs!$D$29*Inputs!$D$32*Production!$D$27+AL20*(1-Inputs!$D$31)*Inputs!$D$33*Inputs!$D$30*Production!$D$28+IF(AL20&gt;0,SUM(Production!$F$25,Production!$F$26,Production!$F$36,Production!$F$37)*IF(Investment!$N$43=Investment!$H$2,Investment!$N$44,Investment!$O$44)*Inputs!$D$3,0)+(SUM(Labor!AC$27,Labor!AC$25)*Inputs!$D$3+IF(AL20&gt;0,SUM(Production!$F$25:$F$26)*IF(Investment!$N$43=Investment!$H$2,Investment!$N$44,Investment!$O$44),0)*Inputs!$D$3+AL20*Inputs!$D$29*Inputs!$D$32*Production!$D$27+AL20*Inputs!$D$33*Inputs!$D$30*Production!$D$28)*Inputs!$H$21/2</f>
        <v>51668.040681729217</v>
      </c>
      <c r="AM24" s="370">
        <f>SUM(Labor!AD$27,Labor!AD$25)*Inputs!$D$3+AM20*(1-Inputs!$D$31)*Inputs!$D$29*Inputs!$D$32*Production!$D$27+AM20*(1-Inputs!$D$31)*Inputs!$D$33*Inputs!$D$30*Production!$D$28+IF(AM20&gt;0,SUM(Production!$F$25,Production!$F$26,Production!$F$36,Production!$F$37)*IF(Investment!$N$43=Investment!$H$2,Investment!$N$44,Investment!$O$44)*Inputs!$D$3,0)+(SUM(Labor!AD$27,Labor!AD$25)*Inputs!$D$3+IF(AM20&gt;0,SUM(Production!$F$25:$F$26)*IF(Investment!$N$43=Investment!$H$2,Investment!$N$44,Investment!$O$44),0)*Inputs!$D$3+AM20*Inputs!$D$29*Inputs!$D$32*Production!$D$27+AM20*Inputs!$D$33*Inputs!$D$30*Production!$D$28)*Inputs!$H$21/2</f>
        <v>53000.449196465066</v>
      </c>
      <c r="AN24" s="370">
        <f>SUM(Labor!AE$27,Labor!AE$25)*Inputs!$D$3+AN20*(1-Inputs!$D$31)*Inputs!$D$29*Inputs!$D$32*Production!$D$27+AN20*(1-Inputs!$D$31)*Inputs!$D$33*Inputs!$D$30*Production!$D$28+IF(AN20&gt;0,SUM(Production!$F$25,Production!$F$26,Production!$F$36,Production!$F$37)*IF(Investment!$N$43=Investment!$H$2,Investment!$N$44,Investment!$O$44)*Inputs!$D$3,0)+(SUM(Labor!AE$27,Labor!AE$25)*Inputs!$D$3+IF(AN20&gt;0,SUM(Production!$F$25:$F$26)*IF(Investment!$N$43=Investment!$H$2,Investment!$N$44,Investment!$O$44),0)*Inputs!$D$3+AN20*Inputs!$D$29*Inputs!$D$32*Production!$D$27+AN20*Inputs!$D$33*Inputs!$D$30*Production!$D$28)*Inputs!$H$21/2</f>
        <v>54372.829966643003</v>
      </c>
      <c r="AO24" s="370">
        <f>SUM(Labor!AF$27,Labor!AF$25)*Inputs!$D$3+AO20*(1-Inputs!$D$31)*Inputs!$D$29*Inputs!$D$32*Production!$D$27+AO20*(1-Inputs!$D$31)*Inputs!$D$33*Inputs!$D$30*Production!$D$28+IF(AO20&gt;0,SUM(Production!$F$25,Production!$F$26,Production!$F$36,Production!$F$37)*IF(Investment!$N$43=Investment!$H$2,Investment!$N$44,Investment!$O$44)*Inputs!$D$3,0)+(SUM(Labor!AF$27,Labor!AF$25)*Inputs!$D$3+IF(AO20&gt;0,SUM(Production!$F$25:$F$26)*IF(Investment!$N$43=Investment!$H$2,Investment!$N$44,Investment!$O$44),0)*Inputs!$D$3+AO20*Inputs!$D$29*Inputs!$D$32*Production!$D$27+AO20*Inputs!$D$33*Inputs!$D$30*Production!$D$28)*Inputs!$H$21/2</f>
        <v>55786.382159926245</v>
      </c>
      <c r="AP24" s="370">
        <f>SUM(Labor!AG$27,Labor!AG$25)*Inputs!$D$3+AP20*(1-Inputs!$D$31)*Inputs!$D$29*Inputs!$D$32*Production!$D$27+AP20*(1-Inputs!$D$31)*Inputs!$D$33*Inputs!$D$30*Production!$D$28+IF(AP20&gt;0,SUM(Production!$F$25,Production!$F$26,Production!$F$36,Production!$F$37)*IF(Investment!$N$43=Investment!$H$2,Investment!$N$44,Investment!$O$44)*Inputs!$D$3,0)+(SUM(Labor!AG$27,Labor!AG$25)*Inputs!$D$3+IF(AP20&gt;0,SUM(Production!$F$25:$F$26)*IF(Investment!$N$43=Investment!$H$2,Investment!$N$44,Investment!$O$44),0)*Inputs!$D$3+AP20*Inputs!$D$29*Inputs!$D$32*Production!$D$27+AP20*Inputs!$D$33*Inputs!$D$30*Production!$D$28)*Inputs!$H$21/2</f>
        <v>57242.340919008013</v>
      </c>
      <c r="AQ24" s="370">
        <f>SUM(Labor!AH$27,Labor!AH$25)*Inputs!$D$3+AQ20*(1-Inputs!$D$31)*Inputs!$D$29*Inputs!$D$32*Production!$D$27+AQ20*(1-Inputs!$D$31)*Inputs!$D$33*Inputs!$D$30*Production!$D$28+IF(AQ20&gt;0,SUM(Production!$F$25,Production!$F$26,Production!$F$36,Production!$F$37)*IF(Investment!$N$43=Investment!$H$2,Investment!$N$44,Investment!$O$44)*Inputs!$D$3,0)+(SUM(Labor!AH$27,Labor!AH$25)*Inputs!$D$3+IF(AQ20&gt;0,SUM(Production!$F$25:$F$26)*IF(Investment!$N$43=Investment!$H$2,Investment!$N$44,Investment!$O$44),0)*Inputs!$D$3+AQ20*Inputs!$D$29*Inputs!$D$32*Production!$D$27+AQ20*Inputs!$D$33*Inputs!$D$30*Production!$D$28)*Inputs!$H$21/2</f>
        <v>58741.978440862214</v>
      </c>
      <c r="AR24" s="370">
        <f>SUM(Labor!AI$27,Labor!AI$25)*Inputs!$D$3+AR20*(1-Inputs!$D$31)*Inputs!$D$29*Inputs!$D$32*Production!$D$27+AR20*(1-Inputs!$D$31)*Inputs!$D$33*Inputs!$D$30*Production!$D$28+IF(AR20&gt;0,SUM(Production!$F$25,Production!$F$26,Production!$F$36,Production!$F$37)*IF(Investment!$N$43=Investment!$H$2,Investment!$N$44,Investment!$O$44)*Inputs!$D$3,0)+(SUM(Labor!AI$27,Labor!AI$25)*Inputs!$D$3+IF(AR20&gt;0,SUM(Production!$F$25:$F$26)*IF(Investment!$N$43=Investment!$H$2,Investment!$N$44,Investment!$O$44),0)*Inputs!$D$3+AR20*Inputs!$D$29*Inputs!$D$32*Production!$D$27+AR20*Inputs!$D$33*Inputs!$D$30*Production!$D$28)*Inputs!$H$21/2</f>
        <v>60286.605088372067</v>
      </c>
      <c r="AS24" s="370">
        <f>SUM(Labor!AJ$27,Labor!AJ$25)*Inputs!$D$3+AS20*(1-Inputs!$D$31)*Inputs!$D$29*Inputs!$D$32*Production!$D$27+AS20*(1-Inputs!$D$31)*Inputs!$D$33*Inputs!$D$30*Production!$D$28+IF(AS20&gt;0,SUM(Production!$F$25,Production!$F$26,Production!$F$36,Production!$F$37)*IF(Investment!$N$43=Investment!$H$2,Investment!$N$44,Investment!$O$44)*Inputs!$D$3,0)+(SUM(Labor!AJ$27,Labor!AJ$25)*Inputs!$D$3+IF(AS20&gt;0,SUM(Production!$F$25:$F$26)*IF(Investment!$N$43=Investment!$H$2,Investment!$N$44,Investment!$O$44),0)*Inputs!$D$3+AS20*Inputs!$D$29*Inputs!$D$32*Production!$D$27+AS20*Inputs!$D$33*Inputs!$D$30*Production!$D$28)*Inputs!$H$21/2</f>
        <v>61877.570535307197</v>
      </c>
      <c r="AT24" s="370">
        <f>SUM(Labor!AK$27,Labor!AK$25)*Inputs!$D$3+AT20*(1-Inputs!$D$31)*Inputs!$D$29*Inputs!$D$32*Production!$D$27+AT20*(1-Inputs!$D$31)*Inputs!$D$33*Inputs!$D$30*Production!$D$28+IF(AT20&gt;0,SUM(Production!$F$25,Production!$F$26,Production!$F$36,Production!$F$37)*IF(Investment!$N$43=Investment!$H$2,Investment!$N$44,Investment!$O$44)*Inputs!$D$3,0)+(SUM(Labor!AK$27,Labor!AK$25)*Inputs!$D$3+IF(AT20&gt;0,SUM(Production!$F$25:$F$26)*IF(Investment!$N$43=Investment!$H$2,Investment!$N$44,Investment!$O$44),0)*Inputs!$D$3+AT20*Inputs!$D$29*Inputs!$D$32*Production!$D$27+AT20*Inputs!$D$33*Inputs!$D$30*Production!$D$28)*Inputs!$H$21/2</f>
        <v>63516.264945650393</v>
      </c>
      <c r="AU24" s="370">
        <f>SUM(Labor!AL$27,Labor!AL$25)*Inputs!$D$3+AU20*(1-Inputs!$D$31)*Inputs!$D$29*Inputs!$D$32*Production!$D$27+AU20*(1-Inputs!$D$31)*Inputs!$D$33*Inputs!$D$30*Production!$D$28+IF(AU20&gt;0,SUM(Production!$F$25,Production!$F$26,Production!$F$36,Production!$F$37)*IF(Investment!$N$43=Investment!$H$2,Investment!$N$44,Investment!$O$44)*Inputs!$D$3,0)+(SUM(Labor!AL$27,Labor!AL$25)*Inputs!$D$3+IF(AU20&gt;0,SUM(Production!$F$25:$F$26)*IF(Investment!$N$43=Investment!$H$2,Investment!$N$44,Investment!$O$44),0)*Inputs!$D$3+AU20*Inputs!$D$29*Inputs!$D$32*Production!$D$27+AU20*Inputs!$D$33*Inputs!$D$30*Production!$D$28)*Inputs!$H$21/2</f>
        <v>65204.120188303874</v>
      </c>
      <c r="AV24" s="370">
        <f>SUM(Labor!AM$27,Labor!AM$25)*Inputs!$D$3+AV20*(1-Inputs!$D$31)*Inputs!$D$29*Inputs!$D$32*Production!$D$27+AV20*(1-Inputs!$D$31)*Inputs!$D$33*Inputs!$D$30*Production!$D$28+IF(AV20&gt;0,SUM(Production!$F$25,Production!$F$26,Production!$F$36,Production!$F$37)*IF(Investment!$N$43=Investment!$H$2,Investment!$N$44,Investment!$O$44)*Inputs!$D$3,0)+(SUM(Labor!AM$27,Labor!AM$25)*Inputs!$D$3+IF(AV20&gt;0,SUM(Production!$F$25:$F$26)*IF(Investment!$N$43=Investment!$H$2,Investment!$N$44,Investment!$O$44),0)*Inputs!$D$3+AV20*Inputs!$D$29*Inputs!$D$32*Production!$D$27+AV20*Inputs!$D$33*Inputs!$D$30*Production!$D$28)*Inputs!$H$21/2</f>
        <v>66942.611088236968</v>
      </c>
      <c r="AW24" s="370">
        <f>SUM(Labor!AN$27,Labor!AN$25)*Inputs!$D$3+AW20*(1-Inputs!$D$31)*Inputs!$D$29*Inputs!$D$32*Production!$D$27+AW20*(1-Inputs!$D$31)*Inputs!$D$33*Inputs!$D$30*Production!$D$28+IF(AW20&gt;0,SUM(Production!$F$25,Production!$F$26,Production!$F$36,Production!$F$37)*IF(Investment!$N$43=Investment!$H$2,Investment!$N$44,Investment!$O$44)*Inputs!$D$3,0)+(SUM(Labor!AN$27,Labor!AN$25)*Inputs!$D$3+IF(AW20&gt;0,SUM(Production!$F$25:$F$26)*IF(Investment!$N$43=Investment!$H$2,Investment!$N$44,Investment!$O$44),0)*Inputs!$D$3+AW20*Inputs!$D$29*Inputs!$D$32*Production!$D$27+AW20*Inputs!$D$33*Inputs!$D$30*Production!$D$28)*Inputs!$H$21/2</f>
        <v>68733.256715168041</v>
      </c>
      <c r="AX24" s="370">
        <f>SUM(Labor!AO$27,Labor!AO$25)*Inputs!$D$3+AX20*(1-Inputs!$D$31)*Inputs!$D$29*Inputs!$D$32*Production!$D$27+AX20*(1-Inputs!$D$31)*Inputs!$D$33*Inputs!$D$30*Production!$D$28+IF(AX20&gt;0,SUM(Production!$F$25,Production!$F$26,Production!$F$36,Production!$F$37)*IF(Investment!$N$43=Investment!$H$2,Investment!$N$44,Investment!$O$44)*Inputs!$D$3,0)+(SUM(Labor!AO$27,Labor!AO$25)*Inputs!$D$3+IF(AX20&gt;0,SUM(Production!$F$25:$F$26)*IF(Investment!$N$43=Investment!$H$2,Investment!$N$44,Investment!$O$44),0)*Inputs!$D$3+AX20*Inputs!$D$29*Inputs!$D$32*Production!$D$27+AX20*Inputs!$D$33*Inputs!$D$30*Production!$D$28)*Inputs!$H$21/2</f>
        <v>70577.621710907057</v>
      </c>
      <c r="AY24" s="370">
        <f>SUM(Labor!AP$27,Labor!AP$25)*Inputs!$D$3+AY20*(1-Inputs!$D$31)*Inputs!$D$29*Inputs!$D$32*Production!$D$27+AY20*(1-Inputs!$D$31)*Inputs!$D$33*Inputs!$D$30*Production!$D$28+IF(AY20&gt;0,SUM(Production!$F$25,Production!$F$26,Production!$F$36,Production!$F$37)*IF(Investment!$N$43=Investment!$H$2,Investment!$N$44,Investment!$O$44)*Inputs!$D$3,0)+(SUM(Labor!AP$27,Labor!AP$25)*Inputs!$D$3+IF(AY20&gt;0,SUM(Production!$F$25:$F$26)*IF(Investment!$N$43=Investment!$H$2,Investment!$N$44,Investment!$O$44),0)*Inputs!$D$3+AY20*Inputs!$D$29*Inputs!$D$32*Production!$D$27+AY20*Inputs!$D$33*Inputs!$D$30*Production!$D$28)*Inputs!$H$21/2</f>
        <v>70577.621710907057</v>
      </c>
      <c r="AZ24" s="370">
        <f>SUM(Labor!AQ$27,Labor!AQ$25)*Inputs!$D$3+AZ20*(1-Inputs!$D$31)*Inputs!$D$29*Inputs!$D$32*Production!$D$27+AZ20*(1-Inputs!$D$31)*Inputs!$D$33*Inputs!$D$30*Production!$D$28+IF(AZ20&gt;0,SUM(Production!$F$25,Production!$F$26,Production!$F$36,Production!$F$37)*IF(Investment!$N$43=Investment!$H$2,Investment!$N$44,Investment!$O$44)*Inputs!$D$3,0)+(SUM(Labor!AQ$27,Labor!AQ$25)*Inputs!$D$3+IF(AZ20&gt;0,SUM(Production!$F$25:$F$26)*IF(Investment!$N$43=Investment!$H$2,Investment!$N$44,Investment!$O$44),0)*Inputs!$D$3+AZ20*Inputs!$D$29*Inputs!$D$32*Production!$D$27+AZ20*Inputs!$D$33*Inputs!$D$30*Production!$D$28)*Inputs!$H$21/2</f>
        <v>70577.621710907057</v>
      </c>
      <c r="BA24" s="370">
        <f>SUM(Labor!AR$27,Labor!AR$25)*Inputs!$D$3+BA20*(1-Inputs!$D$31)*Inputs!$D$29*Inputs!$D$32*Production!$D$27+BA20*(1-Inputs!$D$31)*Inputs!$D$33*Inputs!$D$30*Production!$D$28+IF(BA20&gt;0,SUM(Production!$F$25,Production!$F$26,Production!$F$36,Production!$F$37)*IF(Investment!$N$43=Investment!$H$2,Investment!$N$44,Investment!$O$44)*Inputs!$D$3,0)+(SUM(Labor!AR$27,Labor!AR$25)*Inputs!$D$3+IF(BA20&gt;0,SUM(Production!$F$25:$F$26)*IF(Investment!$N$43=Investment!$H$2,Investment!$N$44,Investment!$O$44),0)*Inputs!$D$3+BA20*Inputs!$D$29*Inputs!$D$32*Production!$D$27+BA20*Inputs!$D$33*Inputs!$D$30*Production!$D$28)*Inputs!$H$21/2</f>
        <v>70577.621710907057</v>
      </c>
      <c r="BB24" s="370">
        <f>SUM(Labor!AS$27,Labor!AS$25)*Inputs!$D$3+BB20*(1-Inputs!$D$31)*Inputs!$D$29*Inputs!$D$32*Production!$D$27+BB20*(1-Inputs!$D$31)*Inputs!$D$33*Inputs!$D$30*Production!$D$28+IF(BB20&gt;0,SUM(Production!$F$25,Production!$F$26,Production!$F$36,Production!$F$37)*IF(Investment!$N$43=Investment!$H$2,Investment!$N$44,Investment!$O$44)*Inputs!$D$3,0)+(SUM(Labor!AS$27,Labor!AS$25)*Inputs!$D$3+IF(BB20&gt;0,SUM(Production!$F$25:$F$26)*IF(Investment!$N$43=Investment!$H$2,Investment!$N$44,Investment!$O$44),0)*Inputs!$D$3+BB20*Inputs!$D$29*Inputs!$D$32*Production!$D$27+BB20*Inputs!$D$33*Inputs!$D$30*Production!$D$28)*Inputs!$H$21/2</f>
        <v>70577.621710907057</v>
      </c>
      <c r="BC24" s="370">
        <f>SUM(Labor!AT$27,Labor!AT$25)*Inputs!$D$3+BC20*(1-Inputs!$D$31)*Inputs!$D$29*Inputs!$D$32*Production!$D$27+BC20*(1-Inputs!$D$31)*Inputs!$D$33*Inputs!$D$30*Production!$D$28+IF(BC20&gt;0,SUM(Production!$F$25,Production!$F$26,Production!$F$36,Production!$F$37)*IF(Investment!$N$43=Investment!$H$2,Investment!$N$44,Investment!$O$44)*Inputs!$D$3,0)+(SUM(Labor!AT$27,Labor!AT$25)*Inputs!$D$3+IF(BC20&gt;0,SUM(Production!$F$25:$F$26)*IF(Investment!$N$43=Investment!$H$2,Investment!$N$44,Investment!$O$44),0)*Inputs!$D$3+BC20*Inputs!$D$29*Inputs!$D$32*Production!$D$27+BC20*Inputs!$D$33*Inputs!$D$30*Production!$D$28)*Inputs!$H$21/2</f>
        <v>70577.621710907057</v>
      </c>
      <c r="BD24" s="370">
        <f>SUM(Labor!AU$27,Labor!AU$25)*Inputs!$D$3+BD20*(1-Inputs!$D$31)*Inputs!$D$29*Inputs!$D$32*Production!$D$27+BD20*(1-Inputs!$D$31)*Inputs!$D$33*Inputs!$D$30*Production!$D$28+IF(BD20&gt;0,SUM(Production!$F$25,Production!$F$26,Production!$F$36,Production!$F$37)*IF(Investment!$N$43=Investment!$H$2,Investment!$N$44,Investment!$O$44)*Inputs!$D$3,0)+(SUM(Labor!AU$27,Labor!AU$25)*Inputs!$D$3+IF(BD20&gt;0,SUM(Production!$F$25:$F$26)*IF(Investment!$N$43=Investment!$H$2,Investment!$N$44,Investment!$O$44),0)*Inputs!$D$3+BD20*Inputs!$D$29*Inputs!$D$32*Production!$D$27+BD20*Inputs!$D$33*Inputs!$D$30*Production!$D$28)*Inputs!$H$21/2</f>
        <v>70577.621710907057</v>
      </c>
      <c r="BE24" s="370">
        <f>SUM(Labor!AV$27,Labor!AV$25)*Inputs!$D$3+BE20*(1-Inputs!$D$31)*Inputs!$D$29*Inputs!$D$32*Production!$D$27+BE20*(1-Inputs!$D$31)*Inputs!$D$33*Inputs!$D$30*Production!$D$28+IF(BE20&gt;0,SUM(Production!$F$25,Production!$F$26,Production!$F$36,Production!$F$37)*IF(Investment!$N$43=Investment!$H$2,Investment!$N$44,Investment!$O$44)*Inputs!$D$3,0)+(SUM(Labor!AV$27,Labor!AV$25)*Inputs!$D$3+IF(BE20&gt;0,SUM(Production!$F$25:$F$26)*IF(Investment!$N$43=Investment!$H$2,Investment!$N$44,Investment!$O$44),0)*Inputs!$D$3+BE20*Inputs!$D$29*Inputs!$D$32*Production!$D$27+BE20*Inputs!$D$33*Inputs!$D$30*Production!$D$28)*Inputs!$H$21/2</f>
        <v>70577.621710907057</v>
      </c>
      <c r="BF24" s="370">
        <f>SUM(Labor!AW$27,Labor!AW$25)*Inputs!$D$3+BF20*(1-Inputs!$D$31)*Inputs!$D$29*Inputs!$D$32*Production!$D$27+BF20*(1-Inputs!$D$31)*Inputs!$D$33*Inputs!$D$30*Production!$D$28+IF(BF20&gt;0,SUM(Production!$F$25,Production!$F$26,Production!$F$36,Production!$F$37)*IF(Investment!$N$43=Investment!$H$2,Investment!$N$44,Investment!$O$44)*Inputs!$D$3,0)+(SUM(Labor!AW$27,Labor!AW$25)*Inputs!$D$3+IF(BF20&gt;0,SUM(Production!$F$25:$F$26)*IF(Investment!$N$43=Investment!$H$2,Investment!$N$44,Investment!$O$44),0)*Inputs!$D$3+BF20*Inputs!$D$29*Inputs!$D$32*Production!$D$27+BF20*Inputs!$D$33*Inputs!$D$30*Production!$D$28)*Inputs!$H$21/2</f>
        <v>70577.621710907057</v>
      </c>
      <c r="BG24" s="370">
        <f>SUM(Labor!AX$27,Labor!AX$25)*Inputs!$D$3+BG20*(1-Inputs!$D$31)*Inputs!$D$29*Inputs!$D$32*Production!$D$27+BG20*(1-Inputs!$D$31)*Inputs!$D$33*Inputs!$D$30*Production!$D$28+IF(BG20&gt;0,SUM(Production!$F$25,Production!$F$26,Production!$F$36,Production!$F$37)*IF(Investment!$N$43=Investment!$H$2,Investment!$N$44,Investment!$O$44)*Inputs!$D$3,0)+(SUM(Labor!AX$27,Labor!AX$25)*Inputs!$D$3+IF(BG20&gt;0,SUM(Production!$F$25:$F$26)*IF(Investment!$N$43=Investment!$H$2,Investment!$N$44,Investment!$O$44),0)*Inputs!$D$3+BG20*Inputs!$D$29*Inputs!$D$32*Production!$D$27+BG20*Inputs!$D$33*Inputs!$D$30*Production!$D$28)*Inputs!$H$21/2</f>
        <v>70577.621710907057</v>
      </c>
      <c r="BH24" s="370">
        <f>SUM(Labor!AY$27,Labor!AY$25)*Inputs!$D$3+BH20*(1-Inputs!$D$31)*Inputs!$D$29*Inputs!$D$32*Production!$D$27+BH20*(1-Inputs!$D$31)*Inputs!$D$33*Inputs!$D$30*Production!$D$28+IF(BH20&gt;0,SUM(Production!$F$25,Production!$F$26,Production!$F$36,Production!$F$37)*IF(Investment!$N$43=Investment!$H$2,Investment!$N$44,Investment!$O$44)*Inputs!$D$3,0)+(SUM(Labor!AY$27,Labor!AY$25)*Inputs!$D$3+IF(BH20&gt;0,SUM(Production!$F$25:$F$26)*IF(Investment!$N$43=Investment!$H$2,Investment!$N$44,Investment!$O$44),0)*Inputs!$D$3+BH20*Inputs!$D$29*Inputs!$D$32*Production!$D$27+BH20*Inputs!$D$33*Inputs!$D$30*Production!$D$28)*Inputs!$H$21/2</f>
        <v>70577.621710907057</v>
      </c>
    </row>
    <row r="25" spans="10:60" hidden="1" x14ac:dyDescent="0.4">
      <c r="J25" s="368" t="s">
        <v>453</v>
      </c>
      <c r="K25" s="370">
        <f>IF(K19&lt;$L$3,Establishment!$F$38*Inputs!$D$3-IF(J28&lt;0,J28*Inputs!$H$23,0),(SUM(Production!$F$9,Production!$F$18,Production!$F$23:$F$24,Production!$F$29:$F$31,Production!$F$38:$F$39,Labor!B23,Labor!B29,Labor!B31)+SUM(Production!$F$25:$F$26,Production!$F$36:$F$37)*IF(Investment!$H$2=Investment!$N$43,Investment!$N$45,Investment!$O$45)*Inputs!$D$3)+((SUM(Production!$F$9,Production!$F$18,Production!$F$23:$F$24,Production!$F$29:$F$31,Labor!B23,Labor!B29,Labor!B31)+SUM(Production!$F$25:$F$26)/3)*Inputs!$D$3*Inputs!$H$21/2)-IF(J28&gt;0,0,J28*Inputs!$H$23))</f>
        <v>49811.092708333337</v>
      </c>
      <c r="L25" s="370">
        <f>IF(L19&lt;$L$3,Establishment!$I$38*Inputs!$D$3-IF(K28&lt;0,K28*Inputs!$H$23,0),(SUM(Production!$F$9,Production!$F$18,Production!$F$23:$F$24,Production!$F$29:$F$31,Production!$F$38:$F$39,Labor!C23,Labor!C29,Labor!C31)+SUM(Production!$F$25:$F$26,Production!$F$36:$F$37)*IF(Investment!$H$2=Investment!$N$43,Investment!$N$45,Investment!$O$45))*Inputs!$D$3+((SUM(Production!$F$9,Production!$F$18,Production!$F$23:$F$24,Production!$F$29:$F$31,Labor!C23,Labor!C29,Labor!C31)+SUM(Production!$F$25:$F$26)/3)*Inputs!$D$3*Inputs!$H$21/2)-IF(K28&gt;0,0,K28*Inputs!$H$23))</f>
        <v>21918.932708333337</v>
      </c>
      <c r="M25" s="370">
        <f>IF(M19&lt;$L$3,Establishment!$I$38*Inputs!$D$3-IF(L28&lt;0,L28*Inputs!$H$23,0),(SUM(Production!$F$9,Production!$F$18,Production!$F$23:$F$24,Production!$F$29:$F$31,Production!$F$38:$F$39,Labor!D23,Labor!D29,Labor!D31)+SUM(Production!$F$25:$F$26,Production!$F$36:$F$37)*IF(Investment!$H$2=Investment!$N$43,Investment!$N$45,Investment!$O$45))*Inputs!$D$3+((SUM(Production!$F$9,Production!$F$18,Production!$F$23:$F$24,Production!$F$29:$F$31,Labor!D23,Labor!D29,Labor!D31)+SUM(Production!$F$25:$F$26)/3)*Inputs!$D$3*Inputs!$H$21/2)-IF(L28&gt;0,0,L28*Inputs!$H$23))</f>
        <v>21918.932708333337</v>
      </c>
      <c r="N25" s="370">
        <f>IF(N19&lt;$L$3,Establishment!$I$38*Inputs!$D$3-IF(M28&lt;0,M28*Inputs!$H$23,0),(SUM(Production!$F$9,Production!$F$18,Production!$F$23:$F$24,Production!$F$29:$F$31,Production!$F$38:$F$39,Labor!E23,Labor!E29,Labor!E31)+SUM(Production!$F$25:$F$26,Production!$F$36:$F$37)*IF(Investment!$H$2=Investment!$N$43,Investment!$N$45,Investment!$O$45))*Inputs!$D$3+((SUM(Production!$F$9,Production!$F$18,Production!$F$23:$F$24,Production!$F$29:$F$31,Labor!E23,Labor!E29,Labor!E31)+SUM(Production!$F$25:$F$26)/3)*Inputs!$D$3*Inputs!$H$21/2)-IF(M28&gt;0,0,M28*Inputs!$H$23))</f>
        <v>21918.932708333337</v>
      </c>
      <c r="O25" s="370">
        <f>IF(O19&lt;$L$3,Establishment!$I$38*Inputs!$D$3-IF(N28&lt;0,N28*Inputs!$H$23,0),(SUM(Production!$F$9,Production!$F$18,Production!$F$23:$F$24,Production!$F$29:$F$31,Production!$F$38:$F$39,Labor!F23,Labor!F29,Labor!F31)+SUM(Production!$F$25:$F$26,Production!$F$36:$F$37)*IF(Investment!$H$2=Investment!$N$43,Investment!$N$45,Investment!$O$45))*Inputs!$D$3+((SUM(Production!$F$9,Production!$F$18,Production!$F$23:$F$24,Production!$F$29:$F$31,Labor!F23,Labor!F29,Labor!F31)+SUM(Production!$F$25:$F$26)/3)*Inputs!$D$3*Inputs!$H$21/2)-IF(N28&gt;0,0,N28*Inputs!$H$23))</f>
        <v>26376.077258417259</v>
      </c>
      <c r="P25" s="370">
        <f>IF(P19&lt;$L$3,Establishment!$I$38*Inputs!$D$3-IF(O28&lt;0,O28*Inputs!$H$23,0),(SUM(Production!$F$9,Production!$F$18,Production!$F$23:$F$24,Production!$F$29:$F$31,Production!$F$38:$F$39,Labor!G23,Labor!G29,Labor!G31)+SUM(Production!$F$25:$F$26,Production!$F$36:$F$37)*IF(Investment!$H$2=Investment!$N$43,Investment!$N$45,Investment!$O$45))*Inputs!$D$3+((SUM(Production!$F$9,Production!$F$18,Production!$F$23:$F$24,Production!$F$29:$F$31,Labor!G23,Labor!G29,Labor!G31)+SUM(Production!$F$25:$F$26)/3)*Inputs!$D$3*Inputs!$H$21/2)-IF(O28&gt;0,0,O28*Inputs!$H$23))</f>
        <v>26376.077258417259</v>
      </c>
      <c r="Q25" s="370">
        <f>IF(Q19&lt;$L$3,Establishment!$I$38*Inputs!$D$3-IF(P28&lt;0,P28*Inputs!$H$23,0),(SUM(Production!$F$9,Production!$F$18,Production!$F$23:$F$24,Production!$F$29:$F$31,Production!$F$38:$F$39,Labor!H23,Labor!H29,Labor!H31)+SUM(Production!$F$25:$F$26,Production!$F$36:$F$37)*IF(Investment!$H$2=Investment!$N$43,Investment!$N$45,Investment!$O$45))*Inputs!$D$3+((SUM(Production!$F$9,Production!$F$18,Production!$F$23:$F$24,Production!$F$29:$F$31,Labor!H23,Labor!H29,Labor!H31)+SUM(Production!$F$25:$F$26)/3)*Inputs!$D$3*Inputs!$H$21/2)-IF(P28&gt;0,0,P28*Inputs!$H$23))</f>
        <v>26376.077258417259</v>
      </c>
      <c r="R25" s="370">
        <f>IF(R19&lt;$L$3,Establishment!$I$38*Inputs!$D$3-IF(Q28&lt;0,Q28*Inputs!$H$23,0),(SUM(Production!$F$9,Production!$F$18,Production!$F$23:$F$24,Production!$F$29:$F$31,Production!$F$38:$F$39,Labor!I23,Labor!I29,Labor!I31)+SUM(Production!$F$25:$F$26,Production!$F$36:$F$37)*IF(Investment!$H$2=Investment!$N$43,Investment!$N$45,Investment!$O$45))*Inputs!$D$3+((SUM(Production!$F$9,Production!$F$18,Production!$F$23:$F$24,Production!$F$29:$F$31,Labor!I23,Labor!I29,Labor!I31)+SUM(Production!$F$25:$F$26)/3)*Inputs!$D$3*Inputs!$H$21/2)-IF(Q28&gt;0,0,Q28*Inputs!$H$23))</f>
        <v>26376.077258417259</v>
      </c>
      <c r="S25" s="370">
        <f>IF(S19&lt;$L$3,Establishment!$I$38*Inputs!$D$3-IF(R28&lt;0,R28*Inputs!$H$23,0),(SUM(Production!$F$9,Production!$F$18,Production!$F$23:$F$24,Production!$F$29:$F$31,Production!$F$38:$F$39,Labor!J23,Labor!J29,Labor!J31)+SUM(Production!$F$25:$F$26,Production!$F$36:$F$37)*IF(Investment!$H$2=Investment!$N$43,Investment!$N$45,Investment!$O$45))*Inputs!$D$3+((SUM(Production!$F$9,Production!$F$18,Production!$F$23:$F$24,Production!$F$29:$F$31,Labor!J23,Labor!J29,Labor!J31)+SUM(Production!$F$25:$F$26)/3)*Inputs!$D$3*Inputs!$H$21/2)-IF(R28&gt;0,0,R28*Inputs!$H$23))</f>
        <v>26376.077258417259</v>
      </c>
      <c r="T25" s="370">
        <f>IF(T19&lt;$L$3,Establishment!$I$38*Inputs!$D$3-IF(S28&lt;0,S28*Inputs!$H$23,0),(SUM(Production!$F$9,Production!$F$18,Production!$F$23:$F$24,Production!$F$29:$F$31,Production!$F$38:$F$39,Labor!K23,Labor!K29,Labor!K31)+SUM(Production!$F$25:$F$26,Production!$F$36:$F$37)*IF(Investment!$H$2=Investment!$N$43,Investment!$N$45,Investment!$O$45))*Inputs!$D$3+((SUM(Production!$F$9,Production!$F$18,Production!$F$23:$F$24,Production!$F$29:$F$31,Labor!K23,Labor!K29,Labor!K31)+SUM(Production!$F$25:$F$26)/3)*Inputs!$D$3*Inputs!$H$21/2)-IF(S28&gt;0,0,S28*Inputs!$H$23))</f>
        <v>26376.077258417259</v>
      </c>
      <c r="U25" s="370">
        <f>IF(U19&lt;$L$3,Establishment!$I$38*Inputs!$D$3-IF(T28&lt;0,T28*Inputs!$H$23,0),(SUM(Production!$F$9,Production!$F$18,Production!$F$23:$F$24,Production!$F$29:$F$31,Production!$F$38:$F$39,Labor!L23,Labor!L29,Labor!L31)+SUM(Production!$F$25:$F$26,Production!$F$36:$F$37)*IF(Investment!$H$2=Investment!$N$43,Investment!$N$45,Investment!$O$45))*Inputs!$D$3+((SUM(Production!$F$9,Production!$F$18,Production!$F$23:$F$24,Production!$F$29:$F$31,Labor!L23,Labor!L29,Labor!L31)+SUM(Production!$F$25:$F$26)/3)*Inputs!$D$3*Inputs!$H$21/2)-IF(T28&gt;0,0,T28*Inputs!$H$23))</f>
        <v>26376.077258417259</v>
      </c>
      <c r="V25" s="370">
        <f>IF(V19&lt;$L$3,Establishment!$I$38*Inputs!$D$3-IF(U28&lt;0,U28*Inputs!$H$23,0),(SUM(Production!$F$9,Production!$F$18,Production!$F$23:$F$24,Production!$F$29:$F$31,Production!$F$38:$F$39,Labor!M23,Labor!M29,Labor!M31)+SUM(Production!$F$25:$F$26,Production!$F$36:$F$37)*IF(Investment!$H$2=Investment!$N$43,Investment!$N$45,Investment!$O$45))*Inputs!$D$3+((SUM(Production!$F$9,Production!$F$18,Production!$F$23:$F$24,Production!$F$29:$F$31,Labor!M23,Labor!M29,Labor!M31)+SUM(Production!$F$25:$F$26)/3)*Inputs!$D$3*Inputs!$H$21/2)-IF(U28&gt;0,0,U28*Inputs!$H$23))</f>
        <v>26376.077258417259</v>
      </c>
      <c r="W25" s="370">
        <f>IF(W19&lt;$L$3,Establishment!$I$38*Inputs!$D$3-IF(V28&lt;0,V28*Inputs!$H$23,0),(SUM(Production!$F$9,Production!$F$18,Production!$F$23:$F$24,Production!$F$29:$F$31,Production!$F$38:$F$39,Labor!N23,Labor!N29,Labor!N31)+SUM(Production!$F$25:$F$26,Production!$F$36:$F$37)*IF(Investment!$H$2=Investment!$N$43,Investment!$N$45,Investment!$O$45))*Inputs!$D$3+((SUM(Production!$F$9,Production!$F$18,Production!$F$23:$F$24,Production!$F$29:$F$31,Labor!N23,Labor!N29,Labor!N31)+SUM(Production!$F$25:$F$26)/3)*Inputs!$D$3*Inputs!$H$21/2)-IF(V28&gt;0,0,V28*Inputs!$H$23))</f>
        <v>26376.077258417259</v>
      </c>
      <c r="X25" s="370">
        <f>IF(X19&lt;$L$3,Establishment!$I$38*Inputs!$D$3-IF(W28&lt;0,W28*Inputs!$H$23,0),(SUM(Production!$F$9,Production!$F$18,Production!$F$23:$F$24,Production!$F$29:$F$31,Production!$F$38:$F$39,Labor!O23,Labor!O29,Labor!O31)+SUM(Production!$F$25:$F$26,Production!$F$36:$F$37)*IF(Investment!$H$2=Investment!$N$43,Investment!$N$45,Investment!$O$45))*Inputs!$D$3+((SUM(Production!$F$9,Production!$F$18,Production!$F$23:$F$24,Production!$F$29:$F$31,Labor!O23,Labor!O29,Labor!O31)+SUM(Production!$F$25:$F$26)/3)*Inputs!$D$3*Inputs!$H$21/2)-IF(W28&gt;0,0,W28*Inputs!$H$23))</f>
        <v>26376.077258417259</v>
      </c>
      <c r="Y25" s="370">
        <f>IF(Y19&lt;$L$3,Establishment!$I$38*Inputs!$D$3-IF(X28&lt;0,X28*Inputs!$H$23,0),(SUM(Production!$F$9,Production!$F$18,Production!$F$23:$F$24,Production!$F$29:$F$31,Production!$F$38:$F$39,Labor!P23,Labor!P29,Labor!P31)+SUM(Production!$F$25:$F$26,Production!$F$36:$F$37)*IF(Investment!$H$2=Investment!$N$43,Investment!$N$45,Investment!$O$45))*Inputs!$D$3+((SUM(Production!$F$9,Production!$F$18,Production!$F$23:$F$24,Production!$F$29:$F$31,Labor!P23,Labor!P29,Labor!P31)+SUM(Production!$F$25:$F$26)/3)*Inputs!$D$3*Inputs!$H$21/2)-IF(X28&gt;0,0,X28*Inputs!$H$23))</f>
        <v>26376.077258417259</v>
      </c>
      <c r="Z25" s="370">
        <f>IF(Z19&lt;$L$3,Establishment!$I$38*Inputs!$D$3-IF(Y28&lt;0,Y28*Inputs!$H$23,0),(SUM(Production!$F$9,Production!$F$18,Production!$F$23:$F$24,Production!$F$29:$F$31,Production!$F$38:$F$39,Labor!Q23,Labor!Q29,Labor!Q31)+SUM(Production!$F$25:$F$26,Production!$F$36:$F$37)*IF(Investment!$H$2=Investment!$N$43,Investment!$N$45,Investment!$O$45))*Inputs!$D$3+((SUM(Production!$F$9,Production!$F$18,Production!$F$23:$F$24,Production!$F$29:$F$31,Labor!Q23,Labor!Q29,Labor!Q31)+SUM(Production!$F$25:$F$26)/3)*Inputs!$D$3*Inputs!$H$21/2)-IF(Y28&gt;0,0,Y28*Inputs!$H$23))</f>
        <v>25510.27725841726</v>
      </c>
      <c r="AA25" s="370">
        <f>IF(AA19&lt;$L$3,Establishment!$I$38*Inputs!$D$3-IF(Z28&lt;0,Z28*Inputs!$H$23,0),(SUM(Production!$F$9,Production!$F$18,Production!$F$23:$F$24,Production!$F$29:$F$31,Production!$F$38:$F$39,Labor!R23,Labor!R29,Labor!R31)+SUM(Production!$F$25:$F$26,Production!$F$36:$F$37)*IF(Investment!$H$2=Investment!$N$43,Investment!$N$45,Investment!$O$45))*Inputs!$D$3+((SUM(Production!$F$9,Production!$F$18,Production!$F$23:$F$24,Production!$F$29:$F$31,Labor!R23,Labor!R29,Labor!R31)+SUM(Production!$F$25:$F$26)/3)*Inputs!$D$3*Inputs!$H$21/2)-IF(Z28&gt;0,0,Z28*Inputs!$H$23))</f>
        <v>25510.27725841726</v>
      </c>
      <c r="AB25" s="370">
        <f>IF(AB19&lt;$L$3,Establishment!$I$38*Inputs!$D$3-IF(AA28&lt;0,AA28*Inputs!$H$23,0),(SUM(Production!$F$9,Production!$F$18,Production!$F$23:$F$24,Production!$F$29:$F$31,Production!$F$38:$F$39,Labor!S23,Labor!S29,Labor!S31)+SUM(Production!$F$25:$F$26,Production!$F$36:$F$37)*IF(Investment!$H$2=Investment!$N$43,Investment!$N$45,Investment!$O$45))*Inputs!$D$3+((SUM(Production!$F$9,Production!$F$18,Production!$F$23:$F$24,Production!$F$29:$F$31,Labor!S23,Labor!S29,Labor!S31)+SUM(Production!$F$25:$F$26)/3)*Inputs!$D$3*Inputs!$H$21/2)-IF(AA28&gt;0,0,AA28*Inputs!$H$23))</f>
        <v>25510.27725841726</v>
      </c>
      <c r="AC25" s="370">
        <f>IF(AC19&lt;$L$3,Establishment!$I$38*Inputs!$D$3-IF(AB28&lt;0,AB28*Inputs!$H$23,0),(SUM(Production!$F$9,Production!$F$18,Production!$F$23:$F$24,Production!$F$29:$F$31,Production!$F$38:$F$39,Labor!T23,Labor!T29,Labor!T31)+SUM(Production!$F$25:$F$26,Production!$F$36:$F$37)*IF(Investment!$H$2=Investment!$N$43,Investment!$N$45,Investment!$O$45))*Inputs!$D$3+((SUM(Production!$F$9,Production!$F$18,Production!$F$23:$F$24,Production!$F$29:$F$31,Labor!T23,Labor!T29,Labor!T31)+SUM(Production!$F$25:$F$26)/3)*Inputs!$D$3*Inputs!$H$21/2)-IF(AB28&gt;0,0,AB28*Inputs!$H$23))</f>
        <v>25510.27725841726</v>
      </c>
      <c r="AD25" s="370">
        <f>IF(AD19&lt;$L$3,Establishment!$I$38*Inputs!$D$3-IF(AC28&lt;0,AC28*Inputs!$H$23,0),(SUM(Production!$F$9,Production!$F$18,Production!$F$23:$F$24,Production!$F$29:$F$31,Production!$F$38:$F$39,Labor!U23,Labor!U29,Labor!U31)+SUM(Production!$F$25:$F$26,Production!$F$36:$F$37)*IF(Investment!$H$2=Investment!$N$43,Investment!$N$45,Investment!$O$45))*Inputs!$D$3+((SUM(Production!$F$9,Production!$F$18,Production!$F$23:$F$24,Production!$F$29:$F$31,Labor!U23,Labor!U29,Labor!U31)+SUM(Production!$F$25:$F$26)/3)*Inputs!$D$3*Inputs!$H$21/2)-IF(AC28&gt;0,0,AC28*Inputs!$H$23))</f>
        <v>25510.27725841726</v>
      </c>
      <c r="AE25" s="370">
        <f>IF(AE19&lt;$L$3,Establishment!$I$38*Inputs!$D$3-IF(AD28&lt;0,AD28*Inputs!$H$23,0),(SUM(Production!$F$9,Production!$F$18,Production!$F$23:$F$24,Production!$F$29:$F$31,Production!$F$38:$F$39,Labor!V23,Labor!V29,Labor!V31)+SUM(Production!$F$25:$F$26,Production!$F$36:$F$37)*IF(Investment!$H$2=Investment!$N$43,Investment!$N$45,Investment!$O$45))*Inputs!$D$3+((SUM(Production!$F$9,Production!$F$18,Production!$F$23:$F$24,Production!$F$29:$F$31,Labor!V23,Labor!V29,Labor!V31)+SUM(Production!$F$25:$F$26)/3)*Inputs!$D$3*Inputs!$H$21/2)-IF(AD28&gt;0,0,AD28*Inputs!$H$23))</f>
        <v>25510.27725841726</v>
      </c>
      <c r="AF25" s="370">
        <f>IF(AF19&lt;$L$3,Establishment!$I$38*Inputs!$D$3-IF(AE28&lt;0,AE28*Inputs!$H$23,0),(SUM(Production!$F$9,Production!$F$18,Production!$F$23:$F$24,Production!$F$29:$F$31,Production!$F$38:$F$39,Labor!W23,Labor!W29,Labor!W31)+SUM(Production!$F$25:$F$26,Production!$F$36:$F$37)*IF(Investment!$H$2=Investment!$N$43,Investment!$N$45,Investment!$O$45))*Inputs!$D$3+((SUM(Production!$F$9,Production!$F$18,Production!$F$23:$F$24,Production!$F$29:$F$31,Labor!W23,Labor!W29,Labor!W31)+SUM(Production!$F$25:$F$26)/3)*Inputs!$D$3*Inputs!$H$21/2)-IF(AE28&gt;0,0,AE28*Inputs!$H$23))</f>
        <v>25510.27725841726</v>
      </c>
      <c r="AG25" s="370">
        <f>IF(AG19&lt;$L$3,Establishment!$I$38*Inputs!$D$3-IF(AF28&lt;0,AF28*Inputs!$H$23,0),(SUM(Production!$F$9,Production!$F$18,Production!$F$23:$F$24,Production!$F$29:$F$31,Production!$F$38:$F$39,Labor!X23,Labor!X29,Labor!X31)+SUM(Production!$F$25:$F$26,Production!$F$36:$F$37)*IF(Investment!$H$2=Investment!$N$43,Investment!$N$45,Investment!$O$45))*Inputs!$D$3+((SUM(Production!$F$9,Production!$F$18,Production!$F$23:$F$24,Production!$F$29:$F$31,Labor!X23,Labor!X29,Labor!X31)+SUM(Production!$F$25:$F$26)/3)*Inputs!$D$3*Inputs!$H$21/2)-IF(AF28&gt;0,0,AF28*Inputs!$H$23))</f>
        <v>25510.27725841726</v>
      </c>
      <c r="AH25" s="370">
        <f>IF(AH19&lt;$L$3,Establishment!$I$38*Inputs!$D$3-IF(AG28&lt;0,AG28*Inputs!$H$23,0),(SUM(Production!$F$9,Production!$F$18,Production!$F$23:$F$24,Production!$F$29:$F$31,Production!$F$38:$F$39,Labor!Y23,Labor!Y29,Labor!Y31)+SUM(Production!$F$25:$F$26,Production!$F$36:$F$37)*IF(Investment!$H$2=Investment!$N$43,Investment!$N$45,Investment!$O$45))*Inputs!$D$3+((SUM(Production!$F$9,Production!$F$18,Production!$F$23:$F$24,Production!$F$29:$F$31,Labor!Y23,Labor!Y29,Labor!Y31)+SUM(Production!$F$25:$F$26)/3)*Inputs!$D$3*Inputs!$H$21/2)-IF(AG28&gt;0,0,AG28*Inputs!$H$23))</f>
        <v>25510.27725841726</v>
      </c>
      <c r="AI25" s="370">
        <f>IF(AI19&lt;$L$3,Establishment!$I$38*Inputs!$D$3-IF(AH28&lt;0,AH28*Inputs!$H$23,0),(SUM(Production!$F$9,Production!$F$18,Production!$F$23:$F$24,Production!$F$29:$F$31,Production!$F$38:$F$39,Labor!Z23,Labor!Z29,Labor!Z31)+SUM(Production!$F$25:$F$26,Production!$F$36:$F$37)*IF(Investment!$H$2=Investment!$N$43,Investment!$N$45,Investment!$O$45))*Inputs!$D$3+((SUM(Production!$F$9,Production!$F$18,Production!$F$23:$F$24,Production!$F$29:$F$31,Labor!Z23,Labor!Z29,Labor!Z31)+SUM(Production!$F$25:$F$26)/3)*Inputs!$D$3*Inputs!$H$21/2)-IF(AH28&gt;0,0,AH28*Inputs!$H$23))</f>
        <v>25510.27725841726</v>
      </c>
      <c r="AJ25" s="370">
        <f>IF(AJ19&lt;$L$3,Establishment!$I$38*Inputs!$D$3-IF(AI28&lt;0,AI28*Inputs!$H$23,0),(SUM(Production!$F$9,Production!$F$18,Production!$F$23:$F$24,Production!$F$29:$F$31,Production!$F$38:$F$39,Labor!AA23,Labor!AA29,Labor!AA31)+SUM(Production!$F$25:$F$26,Production!$F$36:$F$37)*IF(Investment!$H$2=Investment!$N$43,Investment!$N$45,Investment!$O$45))*Inputs!$D$3+((SUM(Production!$F$9,Production!$F$18,Production!$F$23:$F$24,Production!$F$29:$F$31,Labor!AA23,Labor!AA29,Labor!AA31)+SUM(Production!$F$25:$F$26)/3)*Inputs!$D$3*Inputs!$H$21/2)-IF(AI28&gt;0,0,AI28*Inputs!$H$23))</f>
        <v>25510.27725841726</v>
      </c>
      <c r="AK25" s="370">
        <f>IF(AK19&lt;$L$3,Establishment!$I$38*Inputs!$D$3-IF(AJ28&lt;0,AJ28*Inputs!$H$23,0),(SUM(Production!$F$9,Production!$F$18,Production!$F$23:$F$24,Production!$F$29:$F$31,Production!$F$38:$F$39,Labor!AB23,Labor!AB29,Labor!AB31)+SUM(Production!$F$25:$F$26,Production!$F$36:$F$37)*IF(Investment!$H$2=Investment!$N$43,Investment!$N$45,Investment!$O$45))*Inputs!$D$3+((SUM(Production!$F$9,Production!$F$18,Production!$F$23:$F$24,Production!$F$29:$F$31,Labor!AB23,Labor!AB29,Labor!AB31)+SUM(Production!$F$25:$F$26)/3)*Inputs!$D$3*Inputs!$H$21/2)-IF(AJ28&gt;0,0,AJ28*Inputs!$H$23))</f>
        <v>25510.27725841726</v>
      </c>
      <c r="AL25" s="370">
        <f>IF(AL19&lt;$L$3,Establishment!$I$38*Inputs!$D$3-IF(AK28&lt;0,AK28*Inputs!$H$23,0),(SUM(Production!$F$9,Production!$F$18,Production!$F$23:$F$24,Production!$F$29:$F$31,Production!$F$38:$F$39,Labor!AC23,Labor!AC29,Labor!AC31)+SUM(Production!$F$25:$F$26,Production!$F$36:$F$37)*IF(Investment!$H$2=Investment!$N$43,Investment!$N$45,Investment!$O$45))*Inputs!$D$3+((SUM(Production!$F$9,Production!$F$18,Production!$F$23:$F$24,Production!$F$29:$F$31,Labor!AC23,Labor!AC29,Labor!AC31)+SUM(Production!$F$25:$F$26)/3)*Inputs!$D$3*Inputs!$H$21/2)-IF(AK28&gt;0,0,AK28*Inputs!$H$23))</f>
        <v>25510.27725841726</v>
      </c>
      <c r="AM25" s="370">
        <f>IF(AM19&lt;$L$3,Establishment!$I$38*Inputs!$D$3-IF(AL28&lt;0,AL28*Inputs!$H$23,0),(SUM(Production!$F$9,Production!$F$18,Production!$F$23:$F$24,Production!$F$29:$F$31,Production!$F$38:$F$39,Labor!AD23,Labor!AD29,Labor!AD31)+SUM(Production!$F$25:$F$26,Production!$F$36:$F$37)*IF(Investment!$H$2=Investment!$N$43,Investment!$N$45,Investment!$O$45))*Inputs!$D$3+((SUM(Production!$F$9,Production!$F$18,Production!$F$23:$F$24,Production!$F$29:$F$31,Labor!AD23,Labor!AD29,Labor!AD31)+SUM(Production!$F$25:$F$26)/3)*Inputs!$D$3*Inputs!$H$21/2)-IF(AL28&gt;0,0,AL28*Inputs!$H$23))</f>
        <v>25510.27725841726</v>
      </c>
      <c r="AN25" s="370">
        <f>IF(AN19&lt;$L$3,Establishment!$I$38*Inputs!$D$3-IF(AM28&lt;0,AM28*Inputs!$H$23,0),(SUM(Production!$F$9,Production!$F$18,Production!$F$23:$F$24,Production!$F$29:$F$31,Production!$F$38:$F$39,Labor!AE23,Labor!AE29,Labor!AE31)+SUM(Production!$F$25:$F$26,Production!$F$36:$F$37)*IF(Investment!$H$2=Investment!$N$43,Investment!$N$45,Investment!$O$45))*Inputs!$D$3+((SUM(Production!$F$9,Production!$F$18,Production!$F$23:$F$24,Production!$F$29:$F$31,Labor!AE23,Labor!AE29,Labor!AE31)+SUM(Production!$F$25:$F$26)/3)*Inputs!$D$3*Inputs!$H$21/2)-IF(AM28&gt;0,0,AM28*Inputs!$H$23))</f>
        <v>25510.27725841726</v>
      </c>
      <c r="AO25" s="370">
        <f>IF(AO19&lt;$L$3,Establishment!$I$38*Inputs!$D$3-IF(AN28&lt;0,AN28*Inputs!$H$23,0),(SUM(Production!$F$9,Production!$F$18,Production!$F$23:$F$24,Production!$F$29:$F$31,Production!$F$38:$F$39,Labor!AF23,Labor!AF29,Labor!AF31)+SUM(Production!$F$25:$F$26,Production!$F$36:$F$37)*IF(Investment!$H$2=Investment!$N$43,Investment!$N$45,Investment!$O$45))*Inputs!$D$3+((SUM(Production!$F$9,Production!$F$18,Production!$F$23:$F$24,Production!$F$29:$F$31,Labor!AF23,Labor!AF29,Labor!AF31)+SUM(Production!$F$25:$F$26)/3)*Inputs!$D$3*Inputs!$H$21/2)-IF(AN28&gt;0,0,AN28*Inputs!$H$23))</f>
        <v>25510.27725841726</v>
      </c>
      <c r="AP25" s="370">
        <f>IF(AP19&lt;$L$3,Establishment!$I$38*Inputs!$D$3-IF(AO28&lt;0,AO28*Inputs!$H$23,0),(SUM(Production!$F$9,Production!$F$18,Production!$F$23:$F$24,Production!$F$29:$F$31,Production!$F$38:$F$39,Labor!AG23,Labor!AG29,Labor!AG31)+SUM(Production!$F$25:$F$26,Production!$F$36:$F$37)*IF(Investment!$H$2=Investment!$N$43,Investment!$N$45,Investment!$O$45))*Inputs!$D$3+((SUM(Production!$F$9,Production!$F$18,Production!$F$23:$F$24,Production!$F$29:$F$31,Labor!AG23,Labor!AG29,Labor!AG31)+SUM(Production!$F$25:$F$26)/3)*Inputs!$D$3*Inputs!$H$21/2)-IF(AO28&gt;0,0,AO28*Inputs!$H$23))</f>
        <v>25510.27725841726</v>
      </c>
      <c r="AQ25" s="370">
        <f>IF(AQ19&lt;$L$3,Establishment!$I$38*Inputs!$D$3-IF(AP28&lt;0,AP28*Inputs!$H$23,0),(SUM(Production!$F$9,Production!$F$18,Production!$F$23:$F$24,Production!$F$29:$F$31,Production!$F$38:$F$39,Labor!AH23,Labor!AH29,Labor!AH31)+SUM(Production!$F$25:$F$26,Production!$F$36:$F$37)*IF(Investment!$H$2=Investment!$N$43,Investment!$N$45,Investment!$O$45))*Inputs!$D$3+((SUM(Production!$F$9,Production!$F$18,Production!$F$23:$F$24,Production!$F$29:$F$31,Labor!AH23,Labor!AH29,Labor!AH31)+SUM(Production!$F$25:$F$26)/3)*Inputs!$D$3*Inputs!$H$21/2)-IF(AP28&gt;0,0,AP28*Inputs!$H$23))</f>
        <v>25510.27725841726</v>
      </c>
      <c r="AR25" s="370">
        <f>IF(AR19&lt;$L$3,Establishment!$I$38*Inputs!$D$3-IF(AQ28&lt;0,AQ28*Inputs!$H$23,0),(SUM(Production!$F$9,Production!$F$18,Production!$F$23:$F$24,Production!$F$29:$F$31,Production!$F$38:$F$39,Labor!AI23,Labor!AI29,Labor!AI31)+SUM(Production!$F$25:$F$26,Production!$F$36:$F$37)*IF(Investment!$H$2=Investment!$N$43,Investment!$N$45,Investment!$O$45))*Inputs!$D$3+((SUM(Production!$F$9,Production!$F$18,Production!$F$23:$F$24,Production!$F$29:$F$31,Labor!AI23,Labor!AI29,Labor!AI31)+SUM(Production!$F$25:$F$26)/3)*Inputs!$D$3*Inputs!$H$21/2)-IF(AQ28&gt;0,0,AQ28*Inputs!$H$23))</f>
        <v>25510.27725841726</v>
      </c>
      <c r="AS25" s="370">
        <f>IF(AS19&lt;$L$3,Establishment!$I$38*Inputs!$D$3-IF(AR28&lt;0,AR28*Inputs!$H$23,0),(SUM(Production!$F$9,Production!$F$18,Production!$F$23:$F$24,Production!$F$29:$F$31,Production!$F$38:$F$39,Labor!AJ23,Labor!AJ29,Labor!AJ31)+SUM(Production!$F$25:$F$26,Production!$F$36:$F$37)*IF(Investment!$H$2=Investment!$N$43,Investment!$N$45,Investment!$O$45))*Inputs!$D$3+((SUM(Production!$F$9,Production!$F$18,Production!$F$23:$F$24,Production!$F$29:$F$31,Labor!AJ23,Labor!AJ29,Labor!AJ31)+SUM(Production!$F$25:$F$26)/3)*Inputs!$D$3*Inputs!$H$21/2)-IF(AR28&gt;0,0,AR28*Inputs!$H$23))</f>
        <v>25510.27725841726</v>
      </c>
      <c r="AT25" s="370">
        <f>IF(AT19&lt;$L$3,Establishment!$I$38*Inputs!$D$3-IF(AS28&lt;0,AS28*Inputs!$H$23,0),(SUM(Production!$F$9,Production!$F$18,Production!$F$23:$F$24,Production!$F$29:$F$31,Production!$F$38:$F$39,Labor!AK23,Labor!AK29,Labor!AK31)+SUM(Production!$F$25:$F$26,Production!$F$36:$F$37)*IF(Investment!$H$2=Investment!$N$43,Investment!$N$45,Investment!$O$45))*Inputs!$D$3+((SUM(Production!$F$9,Production!$F$18,Production!$F$23:$F$24,Production!$F$29:$F$31,Labor!AK23,Labor!AK29,Labor!AK31)+SUM(Production!$F$25:$F$26)/3)*Inputs!$D$3*Inputs!$H$21/2)-IF(AS28&gt;0,0,AS28*Inputs!$H$23))</f>
        <v>25510.27725841726</v>
      </c>
      <c r="AU25" s="370">
        <f>IF(AU19&lt;$L$3,Establishment!$I$38*Inputs!$D$3-IF(AT28&lt;0,AT28*Inputs!$H$23,0),(SUM(Production!$F$9,Production!$F$18,Production!$F$23:$F$24,Production!$F$29:$F$31,Production!$F$38:$F$39,Labor!AL23,Labor!AL29,Labor!AL31)+SUM(Production!$F$25:$F$26,Production!$F$36:$F$37)*IF(Investment!$H$2=Investment!$N$43,Investment!$N$45,Investment!$O$45))*Inputs!$D$3+((SUM(Production!$F$9,Production!$F$18,Production!$F$23:$F$24,Production!$F$29:$F$31,Labor!AL23,Labor!AL29,Labor!AL31)+SUM(Production!$F$25:$F$26)/3)*Inputs!$D$3*Inputs!$H$21/2)-IF(AT28&gt;0,0,AT28*Inputs!$H$23))</f>
        <v>25510.27725841726</v>
      </c>
      <c r="AV25" s="370">
        <f>IF(AV19&lt;$L$3,Establishment!$I$38*Inputs!$D$3-IF(AU28&lt;0,AU28*Inputs!$H$23,0),(SUM(Production!$F$9,Production!$F$18,Production!$F$23:$F$24,Production!$F$29:$F$31,Production!$F$38:$F$39,Labor!AM23,Labor!AM29,Labor!AM31)+SUM(Production!$F$25:$F$26,Production!$F$36:$F$37)*IF(Investment!$H$2=Investment!$N$43,Investment!$N$45,Investment!$O$45))*Inputs!$D$3+((SUM(Production!$F$9,Production!$F$18,Production!$F$23:$F$24,Production!$F$29:$F$31,Labor!AM23,Labor!AM29,Labor!AM31)+SUM(Production!$F$25:$F$26)/3)*Inputs!$D$3*Inputs!$H$21/2)-IF(AU28&gt;0,0,AU28*Inputs!$H$23))</f>
        <v>25510.27725841726</v>
      </c>
      <c r="AW25" s="370">
        <f>IF(AW19&lt;$L$3,Establishment!$I$38*Inputs!$D$3-IF(AV28&lt;0,AV28*Inputs!$H$23,0),(SUM(Production!$F$9,Production!$F$18,Production!$F$23:$F$24,Production!$F$29:$F$31,Production!$F$38:$F$39,Labor!AN23,Labor!AN29,Labor!AN31)+SUM(Production!$F$25:$F$26,Production!$F$36:$F$37)*IF(Investment!$H$2=Investment!$N$43,Investment!$N$45,Investment!$O$45))*Inputs!$D$3+((SUM(Production!$F$9,Production!$F$18,Production!$F$23:$F$24,Production!$F$29:$F$31,Labor!AN23,Labor!AN29,Labor!AN31)+SUM(Production!$F$25:$F$26)/3)*Inputs!$D$3*Inputs!$H$21/2)-IF(AV28&gt;0,0,AV28*Inputs!$H$23))</f>
        <v>25510.27725841726</v>
      </c>
      <c r="AX25" s="370">
        <f>IF(AX19&lt;$L$3,Establishment!$I$38*Inputs!$D$3-IF(AW28&lt;0,AW28*Inputs!$H$23,0),(SUM(Production!$F$9,Production!$F$18,Production!$F$23:$F$24,Production!$F$29:$F$31,Production!$F$38:$F$39,Labor!AO23,Labor!AO29,Labor!AO31)+SUM(Production!$F$25:$F$26,Production!$F$36:$F$37)*IF(Investment!$H$2=Investment!$N$43,Investment!$N$45,Investment!$O$45))*Inputs!$D$3+((SUM(Production!$F$9,Production!$F$18,Production!$F$23:$F$24,Production!$F$29:$F$31,Labor!AO23,Labor!AO29,Labor!AO31)+SUM(Production!$F$25:$F$26)/3)*Inputs!$D$3*Inputs!$H$21/2)-IF(AW28&gt;0,0,AW28*Inputs!$H$23))</f>
        <v>25510.27725841726</v>
      </c>
      <c r="AY25" s="370">
        <f>IF(AY19&lt;$L$3,Establishment!$I$38*Inputs!$D$3-IF(AX28&lt;0,AX28*Inputs!$H$23,0),(SUM(Production!$F$9,Production!$F$18,Production!$F$23:$F$24,Production!$F$29:$F$31,Production!$F$38:$F$39,Labor!AP23,Labor!AP29,Labor!AP31)+SUM(Production!$F$25:$F$26,Production!$F$36:$F$37)*IF(Investment!$H$2=Investment!$N$43,Investment!$N$45,Investment!$O$45))*Inputs!$D$3+((SUM(Production!$F$9,Production!$F$18,Production!$F$23:$F$24,Production!$F$29:$F$31,Labor!AP23,Labor!AP29,Labor!AP31)+SUM(Production!$F$25:$F$26)/3)*Inputs!$D$3*Inputs!$H$21/2)-IF(AX28&gt;0,0,AX28*Inputs!$H$23))</f>
        <v>25510.27725841726</v>
      </c>
      <c r="AZ25" s="370">
        <f>IF(AZ19&lt;$L$3,Establishment!$I$38*Inputs!$D$3-IF(AY28&lt;0,AY28*Inputs!$H$23,0),(SUM(Production!$F$9,Production!$F$18,Production!$F$23:$F$24,Production!$F$29:$F$31,Production!$F$38:$F$39,Labor!AQ23,Labor!AQ29,Labor!AQ31)+SUM(Production!$F$25:$F$26,Production!$F$36:$F$37)*IF(Investment!$H$2=Investment!$N$43,Investment!$N$45,Investment!$O$45))*Inputs!$D$3+((SUM(Production!$F$9,Production!$F$18,Production!$F$23:$F$24,Production!$F$29:$F$31,Labor!AQ23,Labor!AQ29,Labor!AQ31)+SUM(Production!$F$25:$F$26)/3)*Inputs!$D$3*Inputs!$H$21/2)-IF(AY28&gt;0,0,AY28*Inputs!$H$23))</f>
        <v>25510.27725841726</v>
      </c>
      <c r="BA25" s="370">
        <f>IF(BA19&lt;$L$3,Establishment!$I$38*Inputs!$D$3-IF(AZ28&lt;0,AZ28*Inputs!$H$23,0),(SUM(Production!$F$9,Production!$F$18,Production!$F$23:$F$24,Production!$F$29:$F$31,Production!$F$38:$F$39,Labor!AR23,Labor!AR29,Labor!AR31)+SUM(Production!$F$25:$F$26,Production!$F$36:$F$37)*IF(Investment!$H$2=Investment!$N$43,Investment!$N$45,Investment!$O$45))*Inputs!$D$3+((SUM(Production!$F$9,Production!$F$18,Production!$F$23:$F$24,Production!$F$29:$F$31,Labor!AR23,Labor!AR29,Labor!AR31)+SUM(Production!$F$25:$F$26)/3)*Inputs!$D$3*Inputs!$H$21/2)-IF(AZ28&gt;0,0,AZ28*Inputs!$H$23))</f>
        <v>25510.27725841726</v>
      </c>
      <c r="BB25" s="370">
        <f>IF(BB19&lt;$L$3,Establishment!$I$38*Inputs!$D$3-IF(BA28&lt;0,BA28*Inputs!$H$23,0),(SUM(Production!$F$9,Production!$F$18,Production!$F$23:$F$24,Production!$F$29:$F$31,Production!$F$38:$F$39,Labor!AS23,Labor!AS29,Labor!AS31)+SUM(Production!$F$25:$F$26,Production!$F$36:$F$37)*IF(Investment!$H$2=Investment!$N$43,Investment!$N$45,Investment!$O$45))*Inputs!$D$3+((SUM(Production!$F$9,Production!$F$18,Production!$F$23:$F$24,Production!$F$29:$F$31,Labor!AS23,Labor!AS29,Labor!AS31)+SUM(Production!$F$25:$F$26)/3)*Inputs!$D$3*Inputs!$H$21/2)-IF(BA28&gt;0,0,BA28*Inputs!$H$23))</f>
        <v>25510.27725841726</v>
      </c>
      <c r="BC25" s="370">
        <f>IF(BC19&lt;$L$3,Establishment!$I$38*Inputs!$D$3-IF(BB28&lt;0,BB28*Inputs!$H$23,0),(SUM(Production!$F$9,Production!$F$18,Production!$F$23:$F$24,Production!$F$29:$F$31,Production!$F$38:$F$39,Labor!AT23,Labor!AT29,Labor!AT31)+SUM(Production!$F$25:$F$26,Production!$F$36:$F$37)*IF(Investment!$H$2=Investment!$N$43,Investment!$N$45,Investment!$O$45))*Inputs!$D$3+((SUM(Production!$F$9,Production!$F$18,Production!$F$23:$F$24,Production!$F$29:$F$31,Labor!AT23,Labor!AT29,Labor!AT31)+SUM(Production!$F$25:$F$26)/3)*Inputs!$D$3*Inputs!$H$21/2)-IF(BB28&gt;0,0,BB28*Inputs!$H$23))</f>
        <v>25510.27725841726</v>
      </c>
      <c r="BD25" s="370">
        <f>IF(BD19&lt;$L$3,Establishment!$I$38*Inputs!$D$3-IF(BC28&lt;0,BC28*Inputs!$H$23,0),(SUM(Production!$F$9,Production!$F$18,Production!$F$23:$F$24,Production!$F$29:$F$31,Production!$F$38:$F$39,Labor!AU23,Labor!AU29,Labor!AU31)+SUM(Production!$F$25:$F$26,Production!$F$36:$F$37)*IF(Investment!$H$2=Investment!$N$43,Investment!$N$45,Investment!$O$45))*Inputs!$D$3+((SUM(Production!$F$9,Production!$F$18,Production!$F$23:$F$24,Production!$F$29:$F$31,Labor!AU23,Labor!AU29,Labor!AU31)+SUM(Production!$F$25:$F$26)/3)*Inputs!$D$3*Inputs!$H$21/2)-IF(BC28&gt;0,0,BC28*Inputs!$H$23))</f>
        <v>25510.27725841726</v>
      </c>
      <c r="BE25" s="370">
        <f>IF(BE19&lt;$L$3,Establishment!$I$38*Inputs!$D$3-IF(BD28&lt;0,BD28*Inputs!$H$23,0),(SUM(Production!$F$9,Production!$F$18,Production!$F$23:$F$24,Production!$F$29:$F$31,Production!$F$38:$F$39,Labor!AV23,Labor!AV29,Labor!AV31)+SUM(Production!$F$25:$F$26,Production!$F$36:$F$37)*IF(Investment!$H$2=Investment!$N$43,Investment!$N$45,Investment!$O$45))*Inputs!$D$3+((SUM(Production!$F$9,Production!$F$18,Production!$F$23:$F$24,Production!$F$29:$F$31,Labor!AV23,Labor!AV29,Labor!AV31)+SUM(Production!$F$25:$F$26)/3)*Inputs!$D$3*Inputs!$H$21/2)-IF(BD28&gt;0,0,BD28*Inputs!$H$23))</f>
        <v>25510.27725841726</v>
      </c>
      <c r="BF25" s="370">
        <f>IF(BF19&lt;$L$3,Establishment!$I$38*Inputs!$D$3-IF(BE28&lt;0,BE28*Inputs!$H$23,0),(SUM(Production!$F$9,Production!$F$18,Production!$F$23:$F$24,Production!$F$29:$F$31,Production!$F$38:$F$39,Labor!AW23,Labor!AW29,Labor!AW31)+SUM(Production!$F$25:$F$26,Production!$F$36:$F$37)*IF(Investment!$H$2=Investment!$N$43,Investment!$N$45,Investment!$O$45))*Inputs!$D$3+((SUM(Production!$F$9,Production!$F$18,Production!$F$23:$F$24,Production!$F$29:$F$31,Labor!AW23,Labor!AW29,Labor!AW31)+SUM(Production!$F$25:$F$26)/3)*Inputs!$D$3*Inputs!$H$21/2)-IF(BE28&gt;0,0,BE28*Inputs!$H$23))</f>
        <v>25510.27725841726</v>
      </c>
      <c r="BG25" s="370">
        <f>IF(BG19&lt;$L$3,Establishment!$I$38*Inputs!$D$3-IF(BF28&lt;0,BF28*Inputs!$H$23,0),(SUM(Production!$F$9,Production!$F$18,Production!$F$23:$F$24,Production!$F$29:$F$31,Production!$F$38:$F$39,Labor!AX23,Labor!AX29,Labor!AX31)+SUM(Production!$F$25:$F$26,Production!$F$36:$F$37)*IF(Investment!$H$2=Investment!$N$43,Investment!$N$45,Investment!$O$45))*Inputs!$D$3+((SUM(Production!$F$9,Production!$F$18,Production!$F$23:$F$24,Production!$F$29:$F$31,Labor!AX23,Labor!AX29,Labor!AX31)+SUM(Production!$F$25:$F$26)/3)*Inputs!$D$3*Inputs!$H$21/2)-IF(BF28&gt;0,0,BF28*Inputs!$H$23))</f>
        <v>25510.27725841726</v>
      </c>
      <c r="BH25" s="370">
        <f>IF(BH19&lt;$L$3,Establishment!$I$38*Inputs!$D$3-IF(BG28&lt;0,BG28*Inputs!$H$23,0),(SUM(Production!$F$9,Production!$F$18,Production!$F$23:$F$24,Production!$F$29:$F$31,Production!$F$38:$F$39,Labor!AY23,Labor!AY29,Labor!AY31)+SUM(Production!$F$25:$F$26,Production!$F$36:$F$37)*IF(Investment!$H$2=Investment!$N$43,Investment!$N$45,Investment!$O$45))*Inputs!$D$3+((SUM(Production!$F$9,Production!$F$18,Production!$F$23:$F$24,Production!$F$29:$F$31,Labor!AY23,Labor!AY29,Labor!AY31)+SUM(Production!$F$25:$F$26)/3)*Inputs!$D$3*Inputs!$H$21/2)-IF(BG28&gt;0,0,BG28*Inputs!$H$23))</f>
        <v>25510.27725841726</v>
      </c>
    </row>
    <row r="26" spans="10:60" x14ac:dyDescent="0.4">
      <c r="J26" s="368" t="s">
        <v>519</v>
      </c>
      <c r="K26" s="370">
        <f>K24+K25</f>
        <v>49811.092708333337</v>
      </c>
      <c r="L26" s="370">
        <f>L24+L25+IF(L16&lt;K16,(K16-L16)*Inputs!$D$25,0)</f>
        <v>21918.932708333337</v>
      </c>
      <c r="M26" s="370">
        <f>M24+M25+IF(M16&lt;L16,(L16-M16)*Inputs!$D$25,0)</f>
        <v>21918.932708333337</v>
      </c>
      <c r="N26" s="370">
        <f>N24+N25+IF(N16&lt;M16,(M16-N16)*Inputs!$D$25,0)</f>
        <v>21918.932708333337</v>
      </c>
      <c r="O26" s="370">
        <f>O24+O25+IF(O16&lt;N16,(N16-O16)*Inputs!$D$25,0)</f>
        <v>36778.217212284886</v>
      </c>
      <c r="P26" s="370">
        <f>P24+P25+IF(P16&lt;O16,(O16-P16)*Inputs!$D$25,0)</f>
        <v>37407.760498284886</v>
      </c>
      <c r="Q26" s="370">
        <f>Q24+Q25+IF(Q16&lt;P16,(P16-Q16)*Inputs!$D$25,0)</f>
        <v>38163.21244148488</v>
      </c>
      <c r="R26" s="370">
        <f>R24+R25+IF(R16&lt;Q16,(Q16-R16)*Inputs!$D$25,0)</f>
        <v>39069.754773324887</v>
      </c>
      <c r="S26" s="370">
        <f>S24+S25+IF(S16&lt;R16,(R16-S16)*Inputs!$D$25,0)</f>
        <v>40157.605571532884</v>
      </c>
      <c r="T26" s="370">
        <f>T24+T25+IF(T16&lt;S16,(S16-T16)*Inputs!$D$25,0)</f>
        <v>41463.026529382478</v>
      </c>
      <c r="U26" s="370">
        <f>U24+U25+IF(U16&lt;T16,(T16-U16)*Inputs!$D$25,0)</f>
        <v>43969.434768453713</v>
      </c>
      <c r="V26" s="370">
        <f>V24+V25+IF(V16&lt;U16,(U16-V16)*Inputs!$D$25,0)</f>
        <v>47277.893644027739</v>
      </c>
      <c r="W26" s="370">
        <f>W24+W25+IF(W16&lt;V16,(V16-W16)*Inputs!$D$25,0)</f>
        <v>51645.059359785453</v>
      </c>
      <c r="X26" s="370">
        <f>X24+X25+IF(X16&lt;W16,(W16-X16)*Inputs!$D$25,0)</f>
        <v>57409.718104585641</v>
      </c>
      <c r="Y26" s="370">
        <f>Y24+Y25+IF(Y16&lt;X16,(X16-Y16)*Inputs!$D$25,0)</f>
        <v>65019.067647721873</v>
      </c>
      <c r="Z26" s="370">
        <f>Z24+Z25+IF(Z16&lt;Y16,(Y16-Z16)*Inputs!$D$25,0)</f>
        <v>80481.154913473292</v>
      </c>
      <c r="AA26" s="370">
        <f>AA24+AA25+IF(AA16&lt;Z16,(Z16-AA16)*Inputs!$D$25,0)</f>
        <v>60110.420235453596</v>
      </c>
      <c r="AB26" s="370">
        <f>AB24+AB25+IF(AB16&lt;AA16,(AA16-AB16)*Inputs!$D$25,0)</f>
        <v>60930.791819048653</v>
      </c>
      <c r="AC26" s="370">
        <f>AC24+AC25+IF(AC16&lt;AB16,(AB16-AC16)*Inputs!$D$25,0)</f>
        <v>61775.77455015156</v>
      </c>
      <c r="AD26" s="370">
        <f>AD24+AD25+IF(AD16&lt;AC16,(AC16-AD16)*Inputs!$D$25,0)</f>
        <v>67825.220295984676</v>
      </c>
      <c r="AE26" s="370">
        <f>AE24+AE25+IF(AE16&lt;AD16,(AD16-AE16)*Inputs!$D$25,0)</f>
        <v>68877.03588139567</v>
      </c>
      <c r="AF26" s="370">
        <f>AF24+AF25+IF(AF16&lt;AE16,(AE16-AF16)*Inputs!$D$25,0)</f>
        <v>69960.405934369002</v>
      </c>
      <c r="AG26" s="370">
        <f>AG24+AG25+IF(AG16&lt;AF16,(AF16-AG16)*Inputs!$D$25,0)</f>
        <v>71076.277088931514</v>
      </c>
      <c r="AH26" s="370">
        <f>AH24+AH25+IF(AH16&lt;AG16,(AG16-AH16)*Inputs!$D$25,0)</f>
        <v>72225.624378130931</v>
      </c>
      <c r="AI26" s="370">
        <f>AI24+AI25+IF(AI16&lt;AH16,(AH16-AI16)*Inputs!$D$25,0)</f>
        <v>73409.45208600632</v>
      </c>
      <c r="AJ26" s="370">
        <f>AJ24+AJ25+IF(AJ16&lt;AI16,(AI16-AJ16)*Inputs!$D$25,0)</f>
        <v>74628.794625117953</v>
      </c>
      <c r="AK26" s="370">
        <f>AK24+AK25+IF(AK16&lt;AJ16,(AJ16-AK16)*Inputs!$D$25,0)</f>
        <v>75884.717440402936</v>
      </c>
      <c r="AL26" s="370">
        <f>AL24+AL25+IF(AL16&lt;AK16,(AK16-AL16)*Inputs!$D$25,0)</f>
        <v>77178.317940146473</v>
      </c>
      <c r="AM26" s="370">
        <f>AM24+AM25+IF(AM16&lt;AL16,(AL16-AM16)*Inputs!$D$25,0)</f>
        <v>78510.72645488233</v>
      </c>
      <c r="AN26" s="370">
        <f>AN24+AN25+IF(AN16&lt;AM16,(AM16-AN16)*Inputs!$D$25,0)</f>
        <v>79883.107225060259</v>
      </c>
      <c r="AO26" s="370">
        <f>AO24+AO25+IF(AO16&lt;AN16,(AN16-AO16)*Inputs!$D$25,0)</f>
        <v>81296.659418343508</v>
      </c>
      <c r="AP26" s="370">
        <f>AP24+AP25+IF(AP16&lt;AO16,(AO16-AP16)*Inputs!$D$25,0)</f>
        <v>82752.618177425276</v>
      </c>
      <c r="AQ26" s="370">
        <f>AQ24+AQ25+IF(AQ16&lt;AP16,(AP16-AQ16)*Inputs!$D$25,0)</f>
        <v>84252.255699279471</v>
      </c>
      <c r="AR26" s="370">
        <f>AR24+AR25+IF(AR16&lt;AQ16,(AQ16-AR16)*Inputs!$D$25,0)</f>
        <v>85796.882346789323</v>
      </c>
      <c r="AS26" s="370">
        <f>AS24+AS25+IF(AS16&lt;AR16,(AR16-AS16)*Inputs!$D$25,0)</f>
        <v>87387.847793724461</v>
      </c>
      <c r="AT26" s="370">
        <f>AT24+AT25+IF(AT16&lt;AS16,(AS16-AT16)*Inputs!$D$25,0)</f>
        <v>89026.542204067649</v>
      </c>
      <c r="AU26" s="370">
        <f>AU24+AU25+IF(AU16&lt;AT16,(AT16-AU16)*Inputs!$D$25,0)</f>
        <v>90714.397446721137</v>
      </c>
      <c r="AV26" s="370">
        <f>AV24+AV25+IF(AV16&lt;AU16,(AU16-AV16)*Inputs!$D$25,0)</f>
        <v>92452.888346654232</v>
      </c>
      <c r="AW26" s="370">
        <f>AW24+AW25+IF(AW16&lt;AV16,(AV16-AW16)*Inputs!$D$25,0)</f>
        <v>94243.533973585305</v>
      </c>
      <c r="AX26" s="370">
        <f>AX24+AX25+IF(AX16&lt;AW16,(AW16-AX16)*Inputs!$D$25,0)</f>
        <v>96087.89896932432</v>
      </c>
      <c r="AY26" s="370">
        <f>AY24+AY25+IF(AY16&lt;AX16,(AX16-AY16)*Inputs!$D$25,0)</f>
        <v>96087.89896932432</v>
      </c>
      <c r="AZ26" s="370">
        <f>AZ24+AZ25+IF(AZ16&lt;AY16,(AY16-AZ16)*Inputs!$D$25,0)</f>
        <v>96087.89896932432</v>
      </c>
      <c r="BA26" s="370">
        <f>BA24+BA25+IF(BA16&lt;AZ16,(AZ16-BA16)*Inputs!$D$25,0)</f>
        <v>96087.89896932432</v>
      </c>
      <c r="BB26" s="370">
        <f>BB24+BB25+IF(BB16&lt;BA16,(BA16-BB16)*Inputs!$D$25,0)</f>
        <v>96087.89896932432</v>
      </c>
      <c r="BC26" s="370">
        <f>BC24+BC25+IF(BC16&lt;BB16,(BB16-BC16)*Inputs!$D$25,0)</f>
        <v>96087.89896932432</v>
      </c>
      <c r="BD26" s="370">
        <f>BD24+BD25+IF(BD16&lt;BC16,(BC16-BD16)*Inputs!$D$25,0)</f>
        <v>96087.89896932432</v>
      </c>
      <c r="BE26" s="370">
        <f>BE24+BE25+IF(BE16&lt;BD16,(BD16-BE16)*Inputs!$D$25,0)</f>
        <v>96087.89896932432</v>
      </c>
      <c r="BF26" s="370">
        <f>BF24+BF25+IF(BF16&lt;BE16,(BE16-BF16)*Inputs!$D$25,0)</f>
        <v>96087.89896932432</v>
      </c>
      <c r="BG26" s="370">
        <f>BG24+BG25+IF(BG16&lt;BF16,(BF16-BG16)*Inputs!$D$25,0)</f>
        <v>96087.89896932432</v>
      </c>
      <c r="BH26" s="370">
        <f>BH24+BH25+IF(BH16&lt;BG16,(BG16-BH16)*Inputs!$D$25,0)</f>
        <v>96087.89896932432</v>
      </c>
    </row>
    <row r="27" spans="10:60" x14ac:dyDescent="0.4">
      <c r="J27" s="368" t="s">
        <v>454</v>
      </c>
      <c r="K27" s="370">
        <f>K21-K26</f>
        <v>-49811.092708333337</v>
      </c>
      <c r="L27" s="370">
        <f t="shared" ref="L27:BH27" si="130">L21-L26</f>
        <v>-21918.932708333337</v>
      </c>
      <c r="M27" s="370">
        <f t="shared" si="130"/>
        <v>-21918.932708333337</v>
      </c>
      <c r="N27" s="370">
        <f t="shared" si="130"/>
        <v>-21918.932708333337</v>
      </c>
      <c r="O27" s="370">
        <f t="shared" si="130"/>
        <v>-22476.587212284885</v>
      </c>
      <c r="P27" s="370">
        <f t="shared" si="130"/>
        <v>-20245.804498284888</v>
      </c>
      <c r="Q27" s="370">
        <f t="shared" si="130"/>
        <v>-17568.865241484884</v>
      </c>
      <c r="R27" s="370">
        <f t="shared" si="130"/>
        <v>-14356.538133324888</v>
      </c>
      <c r="S27" s="370">
        <f t="shared" si="130"/>
        <v>-10501.745603532887</v>
      </c>
      <c r="T27" s="370">
        <f t="shared" si="130"/>
        <v>-5875.9945677824871</v>
      </c>
      <c r="U27" s="370">
        <f t="shared" si="130"/>
        <v>3005.4474208582833</v>
      </c>
      <c r="V27" s="370">
        <f t="shared" si="130"/>
        <v>14728.950845864099</v>
      </c>
      <c r="W27" s="370">
        <f t="shared" si="130"/>
        <v>30203.975366871753</v>
      </c>
      <c r="X27" s="370">
        <f t="shared" si="130"/>
        <v>50631.007734601895</v>
      </c>
      <c r="Y27" s="370">
        <f t="shared" si="130"/>
        <v>77594.690460005659</v>
      </c>
      <c r="Z27" s="370">
        <f>Z21-Z26</f>
        <v>13643.92543762688</v>
      </c>
      <c r="AA27" s="370">
        <f t="shared" si="130"/>
        <v>64134.685827998634</v>
      </c>
      <c r="AB27" s="370">
        <f t="shared" si="130"/>
        <v>67041.667426307147</v>
      </c>
      <c r="AC27" s="370">
        <f t="shared" si="130"/>
        <v>70035.858472564913</v>
      </c>
      <c r="AD27" s="370">
        <f t="shared" si="130"/>
        <v>91472.031805188337</v>
      </c>
      <c r="AE27" s="370">
        <f t="shared" si="130"/>
        <v>95199.133782812525</v>
      </c>
      <c r="AF27" s="370">
        <f t="shared" si="130"/>
        <v>99038.048819765492</v>
      </c>
      <c r="AG27" s="370">
        <f t="shared" si="130"/>
        <v>102992.131307827</v>
      </c>
      <c r="AH27" s="370">
        <f t="shared" si="130"/>
        <v>107064.83627053032</v>
      </c>
      <c r="AI27" s="370">
        <f t="shared" si="130"/>
        <v>111259.72238211482</v>
      </c>
      <c r="AJ27" s="370">
        <f t="shared" si="130"/>
        <v>115580.4550770468</v>
      </c>
      <c r="AK27" s="370">
        <f t="shared" si="130"/>
        <v>120030.80975282674</v>
      </c>
      <c r="AL27" s="370">
        <f t="shared" si="130"/>
        <v>124614.67506888013</v>
      </c>
      <c r="AM27" s="370">
        <f t="shared" si="130"/>
        <v>129336.05634441506</v>
      </c>
      <c r="AN27" s="370">
        <f t="shared" si="130"/>
        <v>134199.07905821607</v>
      </c>
      <c r="AO27" s="370">
        <f t="shared" si="130"/>
        <v>139207.9924534311</v>
      </c>
      <c r="AP27" s="370">
        <f t="shared" si="130"/>
        <v>144367.17325050256</v>
      </c>
      <c r="AQ27" s="370">
        <f t="shared" si="130"/>
        <v>149681.12947148614</v>
      </c>
      <c r="AR27" s="370">
        <f t="shared" si="130"/>
        <v>155154.50437909929</v>
      </c>
      <c r="AS27" s="370">
        <f t="shared" si="130"/>
        <v>160792.08053394087</v>
      </c>
      <c r="AT27" s="370">
        <f t="shared" si="130"/>
        <v>166598.78397342766</v>
      </c>
      <c r="AU27" s="370">
        <f t="shared" si="130"/>
        <v>172579.68851609901</v>
      </c>
      <c r="AV27" s="370">
        <f t="shared" si="130"/>
        <v>178740.02019505051</v>
      </c>
      <c r="AW27" s="370">
        <f t="shared" si="130"/>
        <v>185085.16182437062</v>
      </c>
      <c r="AX27" s="370">
        <f t="shared" si="130"/>
        <v>191620.65770257026</v>
      </c>
      <c r="AY27" s="370">
        <f t="shared" si="130"/>
        <v>191620.65770257026</v>
      </c>
      <c r="AZ27" s="370">
        <f t="shared" si="130"/>
        <v>191620.65770257026</v>
      </c>
      <c r="BA27" s="370">
        <f t="shared" si="130"/>
        <v>191620.65770257026</v>
      </c>
      <c r="BB27" s="370">
        <f t="shared" si="130"/>
        <v>191620.65770257026</v>
      </c>
      <c r="BC27" s="370">
        <f t="shared" si="130"/>
        <v>191620.65770257026</v>
      </c>
      <c r="BD27" s="370">
        <f t="shared" si="130"/>
        <v>191620.65770257026</v>
      </c>
      <c r="BE27" s="370">
        <f t="shared" si="130"/>
        <v>191620.65770257026</v>
      </c>
      <c r="BF27" s="370">
        <f t="shared" si="130"/>
        <v>191620.65770257026</v>
      </c>
      <c r="BG27" s="370">
        <f t="shared" si="130"/>
        <v>191620.65770257026</v>
      </c>
      <c r="BH27" s="370">
        <f t="shared" si="130"/>
        <v>191620.65770257026</v>
      </c>
    </row>
    <row r="28" spans="10:60" x14ac:dyDescent="0.4">
      <c r="J28" s="368" t="s">
        <v>458</v>
      </c>
      <c r="K28" s="370">
        <f>SUM($K$27:K27)</f>
        <v>-49811.092708333337</v>
      </c>
      <c r="L28" s="370">
        <f>SUM($K$27:L27)</f>
        <v>-71730.025416666671</v>
      </c>
      <c r="M28" s="370">
        <f>SUM($K$27:M27)</f>
        <v>-93648.958125000005</v>
      </c>
      <c r="N28" s="370">
        <f>SUM($K$27:N27)</f>
        <v>-115567.89083333334</v>
      </c>
      <c r="O28" s="370">
        <f>SUM($K$27:O27)</f>
        <v>-138044.47804561822</v>
      </c>
      <c r="P28" s="370">
        <f>SUM($K$27:P27)</f>
        <v>-158290.2825439031</v>
      </c>
      <c r="Q28" s="370">
        <f>SUM($K$27:Q27)</f>
        <v>-175859.14778538799</v>
      </c>
      <c r="R28" s="370">
        <f>SUM($K$27:R27)</f>
        <v>-190215.68591871287</v>
      </c>
      <c r="S28" s="370">
        <f>SUM($K$27:S27)</f>
        <v>-200717.43152224575</v>
      </c>
      <c r="T28" s="370">
        <f>SUM($K$27:T27)</f>
        <v>-206593.42609002825</v>
      </c>
      <c r="U28" s="370">
        <f>SUM($K$27:U27)</f>
        <v>-203587.97866916997</v>
      </c>
      <c r="V28" s="370">
        <f>SUM($K$27:V27)</f>
        <v>-188859.02782330586</v>
      </c>
      <c r="W28" s="370">
        <f>SUM($K$27:W27)</f>
        <v>-158655.05245643412</v>
      </c>
      <c r="X28" s="370">
        <f>SUM($K$27:X27)</f>
        <v>-108024.04472183222</v>
      </c>
      <c r="Y28" s="370">
        <f>SUM($K$27:Y27)</f>
        <v>-30429.354261826564</v>
      </c>
      <c r="Z28" s="370">
        <f>SUM($K$27:Z27)</f>
        <v>-16785.428824199684</v>
      </c>
      <c r="AA28" s="370">
        <f>SUM($K$27:AA27)</f>
        <v>47349.25700379895</v>
      </c>
      <c r="AB28" s="370">
        <f>SUM($K$27:AB27)</f>
        <v>114390.9244301061</v>
      </c>
      <c r="AC28" s="370">
        <f>SUM($K$27:AC27)</f>
        <v>184426.78290267102</v>
      </c>
      <c r="AD28" s="370">
        <f>SUM($K$27:AD27)</f>
        <v>275898.81470785936</v>
      </c>
      <c r="AE28" s="370">
        <f>SUM($K$27:AE27)</f>
        <v>371097.94849067187</v>
      </c>
      <c r="AF28" s="370">
        <f>SUM($K$27:AF27)</f>
        <v>470135.99731043738</v>
      </c>
      <c r="AG28" s="370">
        <f>SUM($K$27:AG27)</f>
        <v>573128.12861826434</v>
      </c>
      <c r="AH28" s="370">
        <f>SUM($K$27:AH27)</f>
        <v>680192.9648887947</v>
      </c>
      <c r="AI28" s="370">
        <f>SUM($K$27:AI27)</f>
        <v>791452.68727090955</v>
      </c>
      <c r="AJ28" s="370">
        <f>SUM($K$27:AJ27)</f>
        <v>907033.14234795631</v>
      </c>
      <c r="AK28" s="370">
        <f>SUM($K$27:AK27)</f>
        <v>1027063.952100783</v>
      </c>
      <c r="AL28" s="370">
        <f>SUM($K$27:AL27)</f>
        <v>1151678.6271696631</v>
      </c>
      <c r="AM28" s="370">
        <f>SUM($K$27:AM27)</f>
        <v>1281014.6835140781</v>
      </c>
      <c r="AN28" s="370">
        <f>SUM($K$27:AN27)</f>
        <v>1415213.7625722941</v>
      </c>
      <c r="AO28" s="370">
        <f>SUM($K$27:AO27)</f>
        <v>1554421.7550257251</v>
      </c>
      <c r="AP28" s="370">
        <f>SUM($K$27:AP27)</f>
        <v>1698788.9282762278</v>
      </c>
      <c r="AQ28" s="370">
        <f>SUM($K$27:AQ27)</f>
        <v>1848470.057747714</v>
      </c>
      <c r="AR28" s="370">
        <f>SUM($K$27:AR27)</f>
        <v>2003624.5621268132</v>
      </c>
      <c r="AS28" s="370">
        <f>SUM($K$27:AS27)</f>
        <v>2164416.6426607543</v>
      </c>
      <c r="AT28" s="370">
        <f>SUM($K$27:AT27)</f>
        <v>2331015.4266341818</v>
      </c>
      <c r="AU28" s="370">
        <f>SUM($K$27:AU27)</f>
        <v>2503595.1151502808</v>
      </c>
      <c r="AV28" s="370">
        <f>SUM($K$27:AV27)</f>
        <v>2682335.1353453314</v>
      </c>
      <c r="AW28" s="370">
        <f>SUM($K$27:AW27)</f>
        <v>2867420.2971697021</v>
      </c>
      <c r="AX28" s="370">
        <f>SUM($K$27:AX27)</f>
        <v>3059040.9548722724</v>
      </c>
      <c r="AY28" s="370">
        <f>SUM($K$27:AY27)</f>
        <v>3250661.6125748428</v>
      </c>
      <c r="AZ28" s="370">
        <f>SUM($K$27:AZ27)</f>
        <v>3442282.2702774131</v>
      </c>
      <c r="BA28" s="370">
        <f>SUM($K$27:BA27)</f>
        <v>3633902.9279799834</v>
      </c>
      <c r="BB28" s="370">
        <f>SUM($K$27:BB27)</f>
        <v>3825523.5856825537</v>
      </c>
      <c r="BC28" s="370">
        <f>SUM($K$27:BC27)</f>
        <v>4017144.243385124</v>
      </c>
      <c r="BD28" s="370">
        <f>SUM($K$27:BD27)</f>
        <v>4208764.9010876939</v>
      </c>
      <c r="BE28" s="370">
        <f>SUM($K$27:BE27)</f>
        <v>4400385.5587902637</v>
      </c>
      <c r="BF28" s="370">
        <f>SUM($K$27:BF27)</f>
        <v>4592006.2164928336</v>
      </c>
      <c r="BG28" s="370">
        <f>SUM($K$27:BG27)</f>
        <v>4783626.8741954034</v>
      </c>
      <c r="BH28" s="370">
        <f>SUM($K$27:BH27)</f>
        <v>4975247.5318979733</v>
      </c>
    </row>
    <row r="29" spans="10:60" x14ac:dyDescent="0.4">
      <c r="J29" s="108" t="s">
        <v>455</v>
      </c>
      <c r="K29" s="353"/>
      <c r="L29" s="353"/>
      <c r="M29" s="353"/>
      <c r="N29" s="353"/>
      <c r="O29" s="353"/>
      <c r="P29" s="353"/>
      <c r="Q29" s="353"/>
      <c r="R29" s="353"/>
      <c r="S29" s="353"/>
      <c r="T29" s="353"/>
      <c r="U29" s="353"/>
      <c r="V29" s="353"/>
      <c r="W29" s="353"/>
      <c r="X29" s="353"/>
      <c r="Y29" s="353"/>
      <c r="Z29" s="353"/>
      <c r="AA29" s="353"/>
      <c r="AB29" s="353"/>
      <c r="AC29" s="353"/>
      <c r="AD29" s="353"/>
      <c r="AE29" s="353"/>
      <c r="AF29" s="353"/>
      <c r="AG29" s="353"/>
      <c r="AH29" s="353"/>
      <c r="AI29" s="353"/>
      <c r="AJ29" s="353"/>
    </row>
    <row r="30" spans="10:60" x14ac:dyDescent="0.4">
      <c r="J30" s="108" t="s">
        <v>461</v>
      </c>
    </row>
    <row r="33" spans="11:60" x14ac:dyDescent="0.4">
      <c r="K33" s="371"/>
      <c r="L33" s="371"/>
      <c r="M33" s="371"/>
      <c r="N33" s="371"/>
      <c r="O33" s="371"/>
      <c r="P33" s="371"/>
      <c r="Q33" s="371"/>
      <c r="R33" s="371"/>
      <c r="S33" s="371"/>
      <c r="T33" s="371"/>
      <c r="U33" s="371"/>
      <c r="V33" s="371"/>
      <c r="W33" s="371"/>
      <c r="X33" s="371"/>
      <c r="Y33" s="371"/>
      <c r="Z33" s="371"/>
      <c r="AA33" s="371"/>
      <c r="AB33" s="371"/>
      <c r="AC33" s="371"/>
      <c r="AD33" s="371"/>
      <c r="AE33" s="371"/>
      <c r="AF33" s="371"/>
      <c r="AG33" s="371"/>
      <c r="AH33" s="371"/>
      <c r="AI33" s="371"/>
      <c r="AJ33" s="371"/>
      <c r="AK33" s="371"/>
      <c r="AL33" s="371"/>
      <c r="AM33" s="371"/>
      <c r="AN33" s="371"/>
      <c r="AO33" s="371"/>
      <c r="AP33" s="371"/>
      <c r="AQ33" s="371"/>
      <c r="AR33" s="371"/>
      <c r="AS33" s="371"/>
      <c r="AT33" s="371"/>
      <c r="AU33" s="371"/>
      <c r="AV33" s="371"/>
      <c r="AW33" s="371"/>
      <c r="AX33" s="371"/>
      <c r="AY33" s="371"/>
      <c r="AZ33" s="371"/>
      <c r="BA33" s="371"/>
      <c r="BB33" s="371"/>
      <c r="BC33" s="371"/>
      <c r="BD33" s="371"/>
      <c r="BE33" s="371"/>
      <c r="BF33" s="371"/>
      <c r="BG33" s="371"/>
      <c r="BH33" s="371"/>
    </row>
    <row r="34" spans="11:60" x14ac:dyDescent="0.4">
      <c r="L34" s="126">
        <v>0.2</v>
      </c>
      <c r="M34" s="126"/>
      <c r="N34" s="126" t="s">
        <v>186</v>
      </c>
      <c r="O34" s="126"/>
      <c r="P34" s="126"/>
      <c r="Q34" s="126"/>
      <c r="R34" s="126"/>
    </row>
    <row r="35" spans="11:60" x14ac:dyDescent="0.4">
      <c r="K35" s="319"/>
    </row>
    <row r="39" spans="11:60" x14ac:dyDescent="0.4">
      <c r="K39" s="126" t="str">
        <f>IF(K20&gt;0,K19,"")</f>
        <v/>
      </c>
      <c r="L39" s="126" t="str">
        <f t="shared" ref="L39:BH39" si="131">IF(L20&gt;0,L19,"")</f>
        <v/>
      </c>
      <c r="M39" s="126" t="str">
        <f t="shared" si="131"/>
        <v/>
      </c>
      <c r="N39" s="126" t="str">
        <f t="shared" si="131"/>
        <v/>
      </c>
      <c r="O39" s="126">
        <f t="shared" si="131"/>
        <v>2029</v>
      </c>
      <c r="P39" s="126">
        <f t="shared" si="131"/>
        <v>2030</v>
      </c>
      <c r="Q39" s="126">
        <f t="shared" si="131"/>
        <v>2031</v>
      </c>
      <c r="R39" s="126">
        <f t="shared" si="131"/>
        <v>2032</v>
      </c>
      <c r="S39" s="126">
        <f t="shared" si="131"/>
        <v>2033</v>
      </c>
      <c r="T39" s="126">
        <f t="shared" si="131"/>
        <v>2034</v>
      </c>
      <c r="U39" s="126">
        <f t="shared" si="131"/>
        <v>2035</v>
      </c>
      <c r="V39" s="126">
        <f t="shared" si="131"/>
        <v>2036</v>
      </c>
      <c r="W39" s="126">
        <f t="shared" si="131"/>
        <v>2037</v>
      </c>
      <c r="X39" s="126">
        <f t="shared" si="131"/>
        <v>2038</v>
      </c>
      <c r="Y39" s="126">
        <f t="shared" si="131"/>
        <v>2039</v>
      </c>
      <c r="Z39" s="126">
        <f t="shared" si="131"/>
        <v>2040</v>
      </c>
      <c r="AA39" s="126">
        <f t="shared" si="131"/>
        <v>2041</v>
      </c>
      <c r="AB39" s="126">
        <f t="shared" si="131"/>
        <v>2042</v>
      </c>
      <c r="AC39" s="126">
        <f t="shared" si="131"/>
        <v>2043</v>
      </c>
      <c r="AD39" s="126">
        <f t="shared" si="131"/>
        <v>2044</v>
      </c>
      <c r="AE39" s="126">
        <f t="shared" si="131"/>
        <v>2045</v>
      </c>
      <c r="AF39" s="126">
        <f t="shared" si="131"/>
        <v>2046</v>
      </c>
      <c r="AG39" s="126">
        <f t="shared" si="131"/>
        <v>2047</v>
      </c>
      <c r="AH39" s="126">
        <f t="shared" si="131"/>
        <v>2048</v>
      </c>
      <c r="AI39" s="126">
        <f t="shared" si="131"/>
        <v>2049</v>
      </c>
      <c r="AJ39" s="126">
        <f t="shared" si="131"/>
        <v>2050</v>
      </c>
      <c r="AK39" s="126">
        <f t="shared" si="131"/>
        <v>2051</v>
      </c>
      <c r="AL39" s="126">
        <f t="shared" si="131"/>
        <v>2052</v>
      </c>
      <c r="AM39" s="126">
        <f t="shared" si="131"/>
        <v>2053</v>
      </c>
      <c r="AN39" s="126">
        <f t="shared" si="131"/>
        <v>2054</v>
      </c>
      <c r="AO39" s="126">
        <f t="shared" si="131"/>
        <v>2055</v>
      </c>
      <c r="AP39" s="126">
        <f t="shared" si="131"/>
        <v>2056</v>
      </c>
      <c r="AQ39" s="126">
        <f t="shared" si="131"/>
        <v>2057</v>
      </c>
      <c r="AR39" s="126">
        <f t="shared" si="131"/>
        <v>2058</v>
      </c>
      <c r="AS39" s="126">
        <f t="shared" si="131"/>
        <v>2059</v>
      </c>
      <c r="AT39" s="126">
        <f t="shared" si="131"/>
        <v>2060</v>
      </c>
      <c r="AU39" s="126">
        <f t="shared" si="131"/>
        <v>2061</v>
      </c>
      <c r="AV39" s="126">
        <f t="shared" si="131"/>
        <v>2062</v>
      </c>
      <c r="AW39" s="126">
        <f t="shared" si="131"/>
        <v>2063</v>
      </c>
      <c r="AX39" s="126">
        <f t="shared" si="131"/>
        <v>2064</v>
      </c>
      <c r="AY39" s="126">
        <f t="shared" si="131"/>
        <v>2065</v>
      </c>
      <c r="AZ39" s="126">
        <f t="shared" si="131"/>
        <v>2066</v>
      </c>
      <c r="BA39" s="126">
        <f t="shared" si="131"/>
        <v>2067</v>
      </c>
      <c r="BB39" s="126">
        <f t="shared" si="131"/>
        <v>2068</v>
      </c>
      <c r="BC39" s="126">
        <f t="shared" si="131"/>
        <v>2069</v>
      </c>
      <c r="BD39" s="126">
        <f t="shared" si="131"/>
        <v>2070</v>
      </c>
      <c r="BE39" s="126">
        <f t="shared" si="131"/>
        <v>2071</v>
      </c>
      <c r="BF39" s="126">
        <f t="shared" si="131"/>
        <v>2072</v>
      </c>
      <c r="BG39" s="126">
        <f t="shared" si="131"/>
        <v>2073</v>
      </c>
      <c r="BH39" s="126">
        <f t="shared" si="131"/>
        <v>2074</v>
      </c>
    </row>
    <row r="69" spans="11:36" x14ac:dyDescent="0.4">
      <c r="K69" s="353"/>
      <c r="L69" s="353"/>
      <c r="M69" s="353"/>
      <c r="N69" s="353"/>
      <c r="O69" s="353"/>
      <c r="P69" s="353"/>
      <c r="Q69" s="353"/>
      <c r="R69" s="353"/>
      <c r="S69" s="353"/>
      <c r="T69" s="353"/>
      <c r="U69" s="353" t="s">
        <v>278</v>
      </c>
      <c r="V69" s="353" t="s">
        <v>279</v>
      </c>
      <c r="W69" s="353">
        <v>0.5</v>
      </c>
      <c r="X69" s="353"/>
      <c r="Y69" s="108" t="s">
        <v>216</v>
      </c>
      <c r="Z69" s="372">
        <v>10</v>
      </c>
      <c r="AA69" s="372">
        <v>25</v>
      </c>
      <c r="AB69" s="372">
        <v>70</v>
      </c>
      <c r="AC69" s="353"/>
      <c r="AD69" s="353"/>
      <c r="AE69" s="353"/>
      <c r="AF69" s="353"/>
      <c r="AG69" s="353"/>
      <c r="AH69" s="353"/>
      <c r="AI69" s="353"/>
      <c r="AJ69" s="353"/>
    </row>
    <row r="70" spans="11:36" x14ac:dyDescent="0.4">
      <c r="Y70" s="108" t="s">
        <v>221</v>
      </c>
      <c r="Z70" s="373">
        <v>0.4</v>
      </c>
      <c r="AA70" s="373">
        <v>0.1</v>
      </c>
      <c r="AB70" s="373">
        <v>0.01</v>
      </c>
    </row>
    <row r="71" spans="11:36" x14ac:dyDescent="0.4">
      <c r="Y71" s="108" t="s">
        <v>221</v>
      </c>
      <c r="Z71" s="373">
        <v>0.4</v>
      </c>
      <c r="AA71" s="373">
        <v>0.08</v>
      </c>
      <c r="AB71" s="373">
        <v>0.02</v>
      </c>
    </row>
    <row r="83" spans="10:10" x14ac:dyDescent="0.4">
      <c r="J83" s="110"/>
    </row>
  </sheetData>
  <sheetProtection sheet="1" objects="1" scenarios="1"/>
  <protectedRanges>
    <protectedRange sqref="L4 K5:M6 O12" name="Edit cells"/>
  </protectedRanges>
  <mergeCells count="1">
    <mergeCell ref="J3:K3"/>
  </mergeCells>
  <phoneticPr fontId="10" type="noConversion"/>
  <pageMargins left="0.7" right="0.7" top="0.75" bottom="0.75" header="0.3" footer="0.3"/>
  <pageSetup scale="97" fitToWidth="0"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E272BA2EC307A4F840456AFB3F4BF30" ma:contentTypeVersion="15" ma:contentTypeDescription="Create a new document." ma:contentTypeScope="" ma:versionID="e7135de11d12d073d7a6ede4b04666d3">
  <xsd:schema xmlns:xsd="http://www.w3.org/2001/XMLSchema" xmlns:xs="http://www.w3.org/2001/XMLSchema" xmlns:p="http://schemas.microsoft.com/office/2006/metadata/properties" xmlns:ns2="afeaba0f-363c-487a-9eab-504fb0ae0068" xmlns:ns3="3cf54786-5cbe-4eed-9d82-be7bae57988e" targetNamespace="http://schemas.microsoft.com/office/2006/metadata/properties" ma:root="true" ma:fieldsID="153500833204045ca796943900e2c449" ns2:_="" ns3:_="">
    <xsd:import namespace="afeaba0f-363c-487a-9eab-504fb0ae0068"/>
    <xsd:import namespace="3cf54786-5cbe-4eed-9d82-be7bae57988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eaba0f-363c-487a-9eab-504fb0ae00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f54786-5cbe-4eed-9d82-be7bae57988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22560828-92f4-433d-b2dd-f0bd0e5db71c}" ma:internalName="TaxCatchAll" ma:showField="CatchAllData" ma:web="3cf54786-5cbe-4eed-9d82-be7bae5798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feaba0f-363c-487a-9eab-504fb0ae0068">
      <Terms xmlns="http://schemas.microsoft.com/office/infopath/2007/PartnerControls"/>
    </lcf76f155ced4ddcb4097134ff3c332f>
    <TaxCatchAll xmlns="3cf54786-5cbe-4eed-9d82-be7bae57988e" xsi:nil="true"/>
  </documentManagement>
</p:properties>
</file>

<file path=customXml/itemProps1.xml><?xml version="1.0" encoding="utf-8"?>
<ds:datastoreItem xmlns:ds="http://schemas.openxmlformats.org/officeDocument/2006/customXml" ds:itemID="{90AE0E97-4499-475D-92F5-C7B8BB1EC262}">
  <ds:schemaRefs>
    <ds:schemaRef ds:uri="http://schemas.microsoft.com/sharepoint/v3/contenttype/forms"/>
  </ds:schemaRefs>
</ds:datastoreItem>
</file>

<file path=customXml/itemProps2.xml><?xml version="1.0" encoding="utf-8"?>
<ds:datastoreItem xmlns:ds="http://schemas.openxmlformats.org/officeDocument/2006/customXml" ds:itemID="{774FA72B-E21C-4FDF-9624-082C6CF4F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eaba0f-363c-487a-9eab-504fb0ae0068"/>
    <ds:schemaRef ds:uri="3cf54786-5cbe-4eed-9d82-be7bae5798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279A21-D862-4431-9A77-BD74B4A49989}">
  <ds:schemaRefs>
    <ds:schemaRef ds:uri="http://purl.org/dc/terms/"/>
    <ds:schemaRef ds:uri="http://schemas.openxmlformats.org/package/2006/metadata/core-properties"/>
    <ds:schemaRef ds:uri="http://www.w3.org/XML/1998/namespace"/>
    <ds:schemaRef ds:uri="afeaba0f-363c-487a-9eab-504fb0ae0068"/>
    <ds:schemaRef ds:uri="http://schemas.microsoft.com/office/2006/metadata/properties"/>
    <ds:schemaRef ds:uri="http://purl.org/dc/dcmitype/"/>
    <ds:schemaRef ds:uri="http://schemas.microsoft.com/office/infopath/2007/PartnerControls"/>
    <ds:schemaRef ds:uri="http://schemas.microsoft.com/office/2006/documentManagement/types"/>
    <ds:schemaRef ds:uri="3cf54786-5cbe-4eed-9d82-be7bae57988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Leafy greens (DWC) (2)</vt:lpstr>
      <vt:lpstr>Introduction</vt:lpstr>
      <vt:lpstr>Inputs</vt:lpstr>
      <vt:lpstr>Investment</vt:lpstr>
      <vt:lpstr>Labor</vt:lpstr>
      <vt:lpstr>Establishment</vt:lpstr>
      <vt:lpstr>Production</vt:lpstr>
      <vt:lpstr>Long-term Model Summary</vt:lpstr>
      <vt:lpstr>'Leafy greens (DWC) (2)'!BudgetActivities</vt:lpstr>
      <vt:lpstr>Production!BudgetActivities</vt:lpstr>
      <vt:lpstr>Establishment!Print_Area</vt:lpstr>
      <vt:lpstr>Inputs!Print_Area</vt:lpstr>
      <vt:lpstr>Introduction!Print_Area</vt:lpstr>
      <vt:lpstr>Investment!Print_Area</vt:lpstr>
      <vt:lpstr>Labor!Print_Area</vt:lpstr>
      <vt:lpstr>'Long-term Model Summary'!Print_Area</vt:lpstr>
      <vt:lpstr>Production!Print_Area</vt:lpstr>
    </vt:vector>
  </TitlesOfParts>
  <Company>University of Missouri Extension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Milhollin</dc:creator>
  <cp:lastModifiedBy>Rahe, Mallory</cp:lastModifiedBy>
  <cp:lastPrinted>2025-07-31T18:08:51Z</cp:lastPrinted>
  <dcterms:created xsi:type="dcterms:W3CDTF">2017-09-15T18:27:18Z</dcterms:created>
  <dcterms:modified xsi:type="dcterms:W3CDTF">2025-07-31T18:29:11Z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0x010100CE272BA2EC307A4F840456AFB3F4BF30</vt:lpwstr>
  </property>
  <property fmtid="{D5CDD505-2E9C-101B-9397-08002B2CF9AE}" pid="3" name="MediaServiceImageTags">
    <vt:lpwstr/>
  </property>
</Properties>
</file>