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mailmissouri.sharepoint.com/sites/MUEXTPlantSciences-Ogrp-ABPInternalMaterials/Shared Documents/ABP Internal Materials/Clare Staley 2025/High Tunnel Budgets Updated/"/>
    </mc:Choice>
  </mc:AlternateContent>
  <xr:revisionPtr revIDLastSave="67" documentId="13_ncr:1_{10948FA9-B99C-4309-A4FD-B1B271A7D4FF}" xr6:coauthVersionLast="47" xr6:coauthVersionMax="47" xr10:uidLastSave="{D660C341-B472-49C0-996D-7A21B1E3EDE4}"/>
  <workbookProtection lockStructure="1"/>
  <bookViews>
    <workbookView xWindow="28680" yWindow="-5280" windowWidth="29040" windowHeight="16440"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Budget!$B$2:$M$51,Budget!$B$53:$M$1048576</definedName>
    <definedName name="_xlnm.Print_Area" localSheetId="2">'Financial Sensitivity'!$B$1:$K$37</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E3" i="4"/>
  <c r="H4" i="1"/>
  <c r="H8" i="1" l="1"/>
  <c r="L42" i="1"/>
  <c r="L8" i="1"/>
  <c r="L4" i="1"/>
  <c r="F73" i="1"/>
  <c r="H42" i="1" l="1"/>
  <c r="L36" i="1"/>
  <c r="M36" i="1" s="1"/>
  <c r="H36" i="1"/>
  <c r="I36" i="1" s="1"/>
  <c r="L25" i="1" l="1"/>
  <c r="M25" i="1" s="1"/>
  <c r="L26" i="1"/>
  <c r="M26" i="1" s="1"/>
  <c r="H25" i="1"/>
  <c r="I25" i="1" s="1"/>
  <c r="H26" i="1"/>
  <c r="I26" i="1" s="1"/>
  <c r="H27" i="1" l="1"/>
  <c r="H28" i="1"/>
  <c r="L27" i="1"/>
  <c r="L28" i="1"/>
  <c r="L23" i="1"/>
  <c r="M23" i="1" s="1"/>
  <c r="H23" i="1"/>
  <c r="I23" i="1" s="1"/>
  <c r="L12" i="1"/>
  <c r="M12" i="1" s="1"/>
  <c r="L13" i="1"/>
  <c r="M13" i="1" s="1"/>
  <c r="L14" i="1"/>
  <c r="M14" i="1" s="1"/>
  <c r="L15" i="1"/>
  <c r="M15" i="1" s="1"/>
  <c r="L16" i="1"/>
  <c r="M16" i="1" s="1"/>
  <c r="L18" i="1"/>
  <c r="M18" i="1" s="1"/>
  <c r="L19" i="1"/>
  <c r="M19" i="1" s="1"/>
  <c r="L21" i="1"/>
  <c r="M21" i="1" s="1"/>
  <c r="L22" i="1"/>
  <c r="M22" i="1" s="1"/>
  <c r="I12" i="1"/>
  <c r="H13" i="1"/>
  <c r="I13" i="1" s="1"/>
  <c r="H14" i="1"/>
  <c r="I14" i="1" s="1"/>
  <c r="H15" i="1"/>
  <c r="I15" i="1" s="1"/>
  <c r="H16" i="1"/>
  <c r="I16" i="1" s="1"/>
  <c r="H18" i="1"/>
  <c r="I18" i="1" s="1"/>
  <c r="H19" i="1"/>
  <c r="I19" i="1" s="1"/>
  <c r="H21" i="1"/>
  <c r="I21" i="1" s="1"/>
  <c r="H22" i="1"/>
  <c r="I22" i="1" s="1"/>
  <c r="M27" i="1" l="1"/>
  <c r="M28" i="1"/>
  <c r="I27" i="1"/>
  <c r="I28" i="1"/>
  <c r="G72" i="1"/>
  <c r="G73" i="1" s="1"/>
  <c r="E72" i="1"/>
  <c r="E73" i="1" s="1"/>
  <c r="D72" i="1"/>
  <c r="D73" i="1" s="1"/>
  <c r="H71" i="1"/>
  <c r="K71" i="1" s="1"/>
  <c r="H70" i="1"/>
  <c r="K70" i="1" s="1"/>
  <c r="H69" i="1"/>
  <c r="K69" i="1" s="1"/>
  <c r="H68" i="1"/>
  <c r="K68" i="1" s="1"/>
  <c r="H67" i="1"/>
  <c r="K67" i="1" s="1"/>
  <c r="H66" i="1"/>
  <c r="K66" i="1" s="1"/>
  <c r="H65" i="1"/>
  <c r="K65" i="1" s="1"/>
  <c r="H64" i="1"/>
  <c r="K64" i="1" s="1"/>
  <c r="H63" i="1"/>
  <c r="K63" i="1" s="1"/>
  <c r="H62" i="1"/>
  <c r="K62" i="1" s="1"/>
  <c r="H61" i="1"/>
  <c r="K61" i="1" s="1"/>
  <c r="H60" i="1"/>
  <c r="K60" i="1" s="1"/>
  <c r="F89" i="1"/>
  <c r="E89" i="1"/>
  <c r="D89" i="1"/>
  <c r="G88" i="1"/>
  <c r="J88" i="1" s="1"/>
  <c r="G87" i="1"/>
  <c r="J87" i="1" s="1"/>
  <c r="G86" i="1"/>
  <c r="J86" i="1" s="1"/>
  <c r="G85" i="1"/>
  <c r="J85" i="1" s="1"/>
  <c r="G84" i="1"/>
  <c r="J84" i="1" s="1"/>
  <c r="H72" i="1" l="1"/>
  <c r="H73" i="1" s="1"/>
  <c r="K72" i="1"/>
  <c r="J89" i="1"/>
  <c r="G89" i="1"/>
  <c r="E43" i="1" l="1"/>
  <c r="H43" i="1" s="1"/>
  <c r="I43" i="1" s="1"/>
  <c r="K73" i="1"/>
  <c r="H5" i="4"/>
  <c r="H32" i="1"/>
  <c r="I32" i="1" s="1"/>
  <c r="L32" i="1"/>
  <c r="M32" i="1" s="1"/>
  <c r="L43" i="1" l="1"/>
  <c r="M43" i="1" s="1"/>
  <c r="L24" i="1"/>
  <c r="M24" i="1" s="1"/>
  <c r="H24" i="1"/>
  <c r="I24" i="1" s="1"/>
  <c r="L34" i="1" l="1"/>
  <c r="M34" i="1" s="1"/>
  <c r="L35" i="1"/>
  <c r="M35" i="1" s="1"/>
  <c r="H34" i="1"/>
  <c r="I34" i="1" s="1"/>
  <c r="H35" i="1"/>
  <c r="I35" i="1" s="1"/>
  <c r="L31" i="1"/>
  <c r="M31" i="1" s="1"/>
  <c r="H31" i="1"/>
  <c r="I31" i="1" s="1"/>
  <c r="H10" i="1" l="1"/>
  <c r="I10" i="1" s="1"/>
  <c r="H9" i="1"/>
  <c r="I9" i="1" l="1"/>
  <c r="I5" i="4"/>
  <c r="D9" i="4"/>
  <c r="J5" i="4" l="1"/>
  <c r="K5" i="4"/>
  <c r="G5" i="4"/>
  <c r="F5" i="4"/>
  <c r="E5" i="4"/>
  <c r="D8" i="4"/>
  <c r="D10" i="4"/>
  <c r="D11" i="4"/>
  <c r="D7" i="4"/>
  <c r="D12" i="4"/>
  <c r="D6" i="4"/>
  <c r="L44" i="1" l="1"/>
  <c r="H44" i="1"/>
  <c r="L30" i="1" l="1"/>
  <c r="M30" i="1" s="1"/>
  <c r="H30" i="1"/>
  <c r="L10" i="1"/>
  <c r="M10" i="1" s="1"/>
  <c r="L9" i="1"/>
  <c r="L5" i="1"/>
  <c r="M5" i="1" s="1"/>
  <c r="H5" i="1"/>
  <c r="I5" i="1" s="1"/>
  <c r="I30" i="1" l="1"/>
  <c r="M9" i="1"/>
  <c r="L6" i="1"/>
  <c r="H6" i="1"/>
  <c r="K38" i="1" l="1"/>
  <c r="L38" i="1" s="1"/>
  <c r="L39" i="1" s="1"/>
  <c r="G38" i="1"/>
  <c r="H38" i="1" s="1"/>
  <c r="H39" i="1" s="1"/>
  <c r="I39" i="1" l="1"/>
  <c r="I38" i="1"/>
  <c r="M38" i="1"/>
  <c r="M39" i="1" s="1"/>
  <c r="H40" i="1" l="1"/>
  <c r="H46" i="1" s="1"/>
  <c r="I46" i="1" s="1"/>
  <c r="I49" i="1" s="1"/>
  <c r="L40" i="1"/>
  <c r="M40" i="1" s="1"/>
  <c r="M48" i="1" s="1"/>
  <c r="H48" i="1" l="1"/>
  <c r="I40" i="1"/>
  <c r="I48" i="1" s="1"/>
  <c r="H49" i="1"/>
  <c r="L46" i="1"/>
  <c r="M46" i="1" s="1"/>
  <c r="M49" i="1" s="1"/>
  <c r="K23" i="4"/>
  <c r="H22" i="4"/>
  <c r="F19" i="4"/>
  <c r="K22" i="4"/>
  <c r="H20" i="4"/>
  <c r="K21" i="4"/>
  <c r="H19" i="4"/>
  <c r="K20" i="4"/>
  <c r="H18" i="4"/>
  <c r="K19" i="4"/>
  <c r="G24" i="4"/>
  <c r="J23" i="4"/>
  <c r="J22" i="4"/>
  <c r="J21" i="4"/>
  <c r="J20" i="4"/>
  <c r="G18" i="4"/>
  <c r="F24" i="4"/>
  <c r="J18" i="4"/>
  <c r="E24" i="4"/>
  <c r="F23" i="4"/>
  <c r="I23" i="4"/>
  <c r="I22" i="4"/>
  <c r="F22" i="4"/>
  <c r="H21" i="4"/>
  <c r="I20" i="4"/>
  <c r="E22" i="4"/>
  <c r="I19" i="4"/>
  <c r="I18" i="4"/>
  <c r="E21" i="4"/>
  <c r="E20" i="4"/>
  <c r="K24" i="4"/>
  <c r="F20" i="4"/>
  <c r="K18" i="4"/>
  <c r="G23" i="4"/>
  <c r="J24" i="4"/>
  <c r="G22" i="4"/>
  <c r="G21" i="4"/>
  <c r="G20" i="4"/>
  <c r="G19" i="4"/>
  <c r="J19" i="4"/>
  <c r="I24" i="4"/>
  <c r="E23" i="4"/>
  <c r="I21" i="4"/>
  <c r="F21" i="4"/>
  <c r="H24" i="4"/>
  <c r="H23" i="4"/>
  <c r="F18" i="4"/>
  <c r="E19" i="4"/>
  <c r="E18" i="4"/>
  <c r="L48" i="1"/>
  <c r="L49" i="1" l="1"/>
  <c r="E37" i="4" s="1"/>
  <c r="I9" i="4"/>
  <c r="H9" i="4"/>
  <c r="E9" i="4"/>
  <c r="H7" i="4"/>
  <c r="J8" i="4"/>
  <c r="G7" i="4"/>
  <c r="K8" i="4"/>
  <c r="F7" i="4"/>
  <c r="I8" i="4"/>
  <c r="J7" i="4"/>
  <c r="J9" i="4"/>
  <c r="E6" i="4"/>
  <c r="I11" i="4"/>
  <c r="H6" i="4"/>
  <c r="G11" i="4"/>
  <c r="K11" i="4"/>
  <c r="H11" i="4"/>
  <c r="J11" i="4"/>
  <c r="H10" i="4"/>
  <c r="F10" i="4"/>
  <c r="G12" i="4"/>
  <c r="I10" i="4"/>
  <c r="G10" i="4"/>
  <c r="E12" i="4"/>
  <c r="K10" i="4"/>
  <c r="K12" i="4"/>
  <c r="K7" i="4"/>
  <c r="E7" i="4"/>
  <c r="I7" i="4"/>
  <c r="F9" i="4"/>
  <c r="K9" i="4"/>
  <c r="E11" i="4"/>
  <c r="F11" i="4"/>
  <c r="F6" i="4"/>
  <c r="G6" i="4"/>
  <c r="K6" i="4"/>
  <c r="J6" i="4"/>
  <c r="I6" i="4"/>
  <c r="J12" i="4"/>
  <c r="E10" i="4"/>
  <c r="F12" i="4"/>
  <c r="H12" i="4"/>
  <c r="J10" i="4"/>
  <c r="I12" i="4"/>
  <c r="F8" i="4"/>
  <c r="E8" i="4"/>
  <c r="H8" i="4"/>
  <c r="G8" i="4"/>
  <c r="G9" i="4"/>
  <c r="E36" i="4"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<sst xmlns="http://schemas.openxmlformats.org/spreadsheetml/2006/main" count="182" uniqueCount="124">
  <si>
    <t>Updated: 1/2025</t>
  </si>
  <si>
    <t>This worksheet is for educational purposes only and the user assumes all risks associated with its use.</t>
  </si>
  <si>
    <t>Revenue</t>
  </si>
  <si>
    <t>Unit</t>
  </si>
  <si>
    <t>Price
per unit</t>
  </si>
  <si>
    <t xml:space="preserve"> Quantity</t>
  </si>
  <si>
    <t>each</t>
  </si>
  <si>
    <t>soil test</t>
  </si>
  <si>
    <t>pound</t>
  </si>
  <si>
    <t>percent</t>
  </si>
  <si>
    <t>Total costs</t>
  </si>
  <si>
    <t>Return over total costs</t>
  </si>
  <si>
    <t>Net present value of net returns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</si>
  <si>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</si>
  <si>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</si>
  <si>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</si>
  <si>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</si>
  <si>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</si>
  <si>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</si>
  <si>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</si>
  <si>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</si>
  <si>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</si>
  <si>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</si>
  <si>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</si>
  <si>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</si>
  <si>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</si>
  <si>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</si>
  <si>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</si>
  <si>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</si>
  <si>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</si>
  <si>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</si>
  <si>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Required rate of return</t>
  </si>
  <si>
    <t xml:space="preserve">Will this business be profitable? Explore profitability with net present values and average returns per year. </t>
  </si>
  <si>
    <t>% of sales</t>
  </si>
  <si>
    <t>hour</t>
  </si>
  <si>
    <t>Labor</t>
  </si>
  <si>
    <t>Packaging</t>
  </si>
  <si>
    <t xml:space="preserve">Marketing </t>
  </si>
  <si>
    <t>Fresh berry sales</t>
  </si>
  <si>
    <t>Plants</t>
  </si>
  <si>
    <t>Soil test</t>
  </si>
  <si>
    <t>Interest on operating capital</t>
  </si>
  <si>
    <t>Price per pound</t>
  </si>
  <si>
    <t>Year 1  
establishment</t>
  </si>
  <si>
    <t>Year 2 
first production</t>
  </si>
  <si>
    <t>Harvest</t>
  </si>
  <si>
    <t>Machinery</t>
  </si>
  <si>
    <t xml:space="preserve">  NPV years 1-2</t>
  </si>
  <si>
    <r>
      <rPr>
        <b/>
        <sz val="12"/>
        <color theme="1"/>
        <rFont val="Aptos"/>
        <family val="2"/>
        <scheme val="minor"/>
      </rPr>
      <t xml:space="preserve">The required rate of return </t>
    </r>
    <r>
      <rPr>
        <sz val="12"/>
        <color theme="1"/>
        <rFont val="Aptos"/>
        <family val="2"/>
        <scheme val="minor"/>
      </rPr>
      <t>reflects</t>
    </r>
    <r>
      <rPr>
        <b/>
        <sz val="12"/>
        <color theme="1"/>
        <rFont val="Aptos"/>
        <family val="2"/>
        <scheme val="minor"/>
      </rPr>
      <t xml:space="preserve"> </t>
    </r>
    <r>
      <rPr>
        <sz val="12"/>
        <color theme="1"/>
        <rFont val="Aptos"/>
        <family val="2"/>
        <scheme val="minor"/>
      </rPr>
      <t xml:space="preserve">the opportunity cost of capital, the desired rate of return, riskiness of the investment and allows you to compare potential financial performance of investing in an strawberry orchard to other investments. It is used to calculate a discount rate in the NPV formula which also accounts for the time value of money (assuming inflation continues - dollars received in the future are worth less than dollars received today). </t>
    </r>
  </si>
  <si>
    <t xml:space="preserve">For budget questions, contact: </t>
  </si>
  <si>
    <t>Ryan Milhollin, MU Extension</t>
  </si>
  <si>
    <t xml:space="preserve">For horticulture expertise, contact: </t>
  </si>
  <si>
    <t>MU Commercial Horticulture Team</t>
  </si>
  <si>
    <t>Developed by: Peter Zimmel, FAPRI</t>
  </si>
  <si>
    <t xml:space="preserve">Strawberry (High Tunnel) Enterprise Budget for Missouri </t>
  </si>
  <si>
    <t>Strawberry (High Tunnel) Enterprise Budget</t>
  </si>
  <si>
    <t xml:space="preserve">Plastic mulch </t>
  </si>
  <si>
    <t>High tunnel building use</t>
  </si>
  <si>
    <t>month</t>
  </si>
  <si>
    <t>Component</t>
  </si>
  <si>
    <t>Materials</t>
  </si>
  <si>
    <t>Total cost</t>
  </si>
  <si>
    <t>Useful life</t>
  </si>
  <si>
    <t>10-year cost</t>
  </si>
  <si>
    <t>Site evaluation and soil preparation</t>
  </si>
  <si>
    <t>Trenching and laying water pipes</t>
  </si>
  <si>
    <t>Inserting poles and setting posts</t>
  </si>
  <si>
    <t>Assembling the frame</t>
  </si>
  <si>
    <t>Treating and setting baseboards</t>
  </si>
  <si>
    <t>End and sidewall installation</t>
  </si>
  <si>
    <t>Pulling plastic</t>
  </si>
  <si>
    <t>Channel lock installation</t>
  </si>
  <si>
    <t>Shutter vents</t>
  </si>
  <si>
    <t>Trellis purlin installation</t>
  </si>
  <si>
    <t>Electrical</t>
  </si>
  <si>
    <t>Miscellaneous hardware and tools</t>
  </si>
  <si>
    <t>Cost per square foot</t>
  </si>
  <si>
    <t>Dollars per sq. ft.</t>
  </si>
  <si>
    <t>Plastic clamshells</t>
  </si>
  <si>
    <t>General</t>
  </si>
  <si>
    <t>Other</t>
  </si>
  <si>
    <t>Fertilizer/lime</t>
  </si>
  <si>
    <t>Phosphate</t>
  </si>
  <si>
    <t>Potash</t>
  </si>
  <si>
    <t>Lime</t>
  </si>
  <si>
    <t>Fungicides</t>
  </si>
  <si>
    <t>Captan 80W</t>
  </si>
  <si>
    <t>Pristine 38WDG</t>
  </si>
  <si>
    <t>Nitrogen</t>
  </si>
  <si>
    <t>Insecticides</t>
  </si>
  <si>
    <t>Assail 30SG</t>
  </si>
  <si>
    <t>Provado 1.6F</t>
  </si>
  <si>
    <t>ounce</t>
  </si>
  <si>
    <t>Water-soluble (9-45-15)</t>
  </si>
  <si>
    <t>ton</t>
  </si>
  <si>
    <t>Drip tape</t>
  </si>
  <si>
    <t>Irrigation/fertigation</t>
  </si>
  <si>
    <t>Plant analysis kit</t>
  </si>
  <si>
    <t>feet</t>
  </si>
  <si>
    <t>Flats</t>
  </si>
  <si>
    <t>Row covers</t>
  </si>
  <si>
    <t>Anchor pins</t>
  </si>
  <si>
    <t>Fuel and oil</t>
  </si>
  <si>
    <t>total</t>
  </si>
  <si>
    <t>Tillage</t>
  </si>
  <si>
    <t>trip</t>
  </si>
  <si>
    <t xml:space="preserve">  NPV years 1-3</t>
  </si>
  <si>
    <t>High tunnel utilization</t>
  </si>
  <si>
    <t>Value</t>
  </si>
  <si>
    <t>High tunnel size (total area)</t>
  </si>
  <si>
    <t>square feet</t>
  </si>
  <si>
    <t>High tunnel area used for this crop</t>
  </si>
  <si>
    <t>Average Returns Per Year and Net Present Values in Years 2 and 3</t>
  </si>
  <si>
    <t xml:space="preserve">Develop a customized strawberry high tunnel budget by adjusting the assumptions in gray cells to match the management practices and expected yields and prices for your farm. This budget models high tunnel strawberry production with fall establishment in year 1 and production in year 2. </t>
  </si>
  <si>
    <t xml:space="preserve">Budget created by Peter Zimmel, Food and Agricultural Policy Institute (FAPRI). Prices were updated January 2025. Access online at </t>
  </si>
  <si>
    <r>
      <rPr>
        <b/>
        <sz val="12"/>
        <color theme="1"/>
        <rFont val="Aptos"/>
        <family val="2"/>
        <scheme val="minor"/>
      </rPr>
      <t>Breakeven:</t>
    </r>
    <r>
      <rPr>
        <sz val="12"/>
        <color theme="1"/>
        <rFont val="Aptos"/>
        <family val="2"/>
        <scheme val="minor"/>
      </rPr>
      <t xml:space="preserve"> The modeled strawberry farm is expected to 'breakeven' (cover investment and operating costs) in year 2 (NPV becomes positive). </t>
    </r>
  </si>
  <si>
    <r>
      <t>The</t>
    </r>
    <r>
      <rPr>
        <b/>
        <sz val="12"/>
        <color theme="1"/>
        <rFont val="Aptos"/>
        <family val="2"/>
        <scheme val="minor"/>
      </rPr>
      <t xml:space="preserve"> Net Present Value of net returns (NPV)</t>
    </r>
    <r>
      <rPr>
        <sz val="12"/>
        <color theme="1"/>
        <rFont val="Aptos"/>
        <family val="2"/>
        <scheme val="minor"/>
      </rPr>
      <t xml:space="preserve"> calculates the value of expected cash flows after subtracting intial investment costs over a period discounted to the present. Positive NPVs indicate the business is profitable. For example, based on the existing model assumptions, the strawberry farm is expected to return $3,787.77 in today's dollars factoring in a 6% required rate of return after three years.</t>
    </r>
  </si>
  <si>
    <t>This work is supported by the U.S. Department of Agriculture’s (USDA) Farm Service Agency through project award number FSA23CPT0012862. Its contents are solely the responsibility of the authors and do not necessarily represent the official views of the USDA.</t>
  </si>
  <si>
    <t>https://extension.missouri.edu/programs/agricultural-business-and-policy-extension/missouri-crop-and-livestock-enterprise-budgets</t>
  </si>
  <si>
    <t>Table 2. Capital investments used in Missouri high tunnel strawberry budget</t>
  </si>
  <si>
    <t>Table 3. Sensitivity analysis for Missouri high tunnel strawberry budget, income over total costs</t>
  </si>
  <si>
    <t>Table 4. Sensitivity analysis for Missouri high tunnel strawberry budget, operating costs and revenue</t>
  </si>
  <si>
    <t>Explore annual profitability expectations (per square foot area returns over total costs) under varying yield and price scenarios in first production year and holding costs constant. Adjusting price and yield expectations on the budget tab will update this table. further exploration.</t>
  </si>
  <si>
    <t xml:space="preserve">Explore estimated annual returns over total costs under varying revenue and cost scenarios in first production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</si>
</sst>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7" formatCode="&quot;$&quot;#,##0.00_);\(&quot;$&quot;#,##0.00\)"/>
    <numFmt numFmtId="44" formatCode="_(&quot;$&quot;* #,##0.00_);_(&quot;$&quot;* \(#,##0.00\);_(&quot;$&quot;* &quot;-&quot;??_);_(@_)"/>
    <numFmt numFmtId="164" formatCode="&quot;$&quot;#,##0.00"/>
    <numFmt numFmtId="165" formatCode="#,##0.0"/>
  </numFmts>
  <fonts count="29">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b/>
      <sz val="12"/>
      <color theme="1"/>
      <name val="Aptos"/>
      <family val="2"/>
      <scheme val="minor"/>
    </font>
    <font>
      <b/>
      <sz val="12"/>
      <color rgb="FFFDB719"/>
      <name val="Aptos Black"/>
      <family val="2"/>
      <scheme val="major"/>
    </font>
    <font>
      <b/>
      <sz val="11"/>
      <name val="Aptos"/>
      <family val="2"/>
      <scheme val="minor"/>
    </font>
    <font>
      <u/>
      <sz val="11"/>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u/>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b/>
      <sz val="12"/>
      <color rgb="FFF1B82D"/>
      <name val="Aptos Black"/>
      <family val="2"/>
      <scheme val="major"/>
    </font>
    <font>
      <sz val="8"/>
      <name val="Aptos"/>
      <family val="2"/>
      <scheme val="minor"/>
    </font>
    <font>
      <u/>
      <sz val="11"/>
      <color theme="10"/>
      <name val="Aptos"/>
      <family val="2"/>
      <scheme val="minor"/>
    </font>
    <font>
      <b/>
      <u/>
      <sz val="12"/>
      <color theme="10"/>
      <name val="Aptos"/>
      <family val="2"/>
      <scheme val="minor"/>
    </font>
    <font>
      <sz val="10"/>
      <name val="TimesNewRomanPS"/>
    </font>
    <font>
      <sz val="10"/>
      <name val="Aptos"/>
      <family val="2"/>
      <scheme val="minor"/>
    </font>
    <font>
      <u/>
      <sz val="10"/>
      <color theme="10"/>
      <name val="Aptos"/>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s>
  <borders count="29">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double">
        <color indexed="64"/>
      </top>
      <bottom/>
      <diagonal/>
    </border>
  </borders>
  <cellStyleXfs count="7">
    <xf numFmtId="0" fontId="0" fillId="0" borderId="0"/>
    <xf numFmtId="9" fontId="1" fillId="0" borderId="0" applyFont="0" applyFill="0" applyBorder="0" applyAlignment="0" applyProtection="0"/>
    <xf numFmtId="0" fontId="9" fillId="4" borderId="4" applyNumberFormat="0" applyAlignment="0" applyProtection="0"/>
    <xf numFmtId="0" fontId="1" fillId="0" borderId="0"/>
    <xf numFmtId="44" fontId="1" fillId="0" borderId="0" applyFont="0" applyFill="0" applyBorder="0" applyAlignment="0" applyProtection="0"/>
    <xf numFmtId="0" fontId="24" fillId="0" borderId="0" applyNumberFormat="0" applyFill="0" applyBorder="0" applyAlignment="0" applyProtection="0"/>
    <xf numFmtId="0" fontId="26" fillId="0" borderId="0"/>
  </cellStyleXfs>
  <cellXfs count="186">
    <xf numFmtId="0" fontId="0" fillId="0" borderId="0" xfId="0"/>
    <xf numFmtId="0" fontId="2" fillId="0" borderId="0" xfId="0" applyFont="1"/>
    <xf numFmtId="0" fontId="0" fillId="5" borderId="0" xfId="0" applyFill="1"/>
    <xf numFmtId="0" fontId="12" fillId="0" borderId="0" xfId="0" applyFont="1"/>
    <xf numFmtId="164" fontId="12" fillId="2" borderId="0" xfId="4" applyNumberFormat="1" applyFont="1" applyFill="1" applyProtection="1">
      <protection locked="0"/>
    </xf>
    <xf numFmtId="165" fontId="12" fillId="2" borderId="0" xfId="0" applyNumberFormat="1" applyFont="1" applyFill="1" applyProtection="1">
      <protection locked="0"/>
    </xf>
    <xf numFmtId="9" fontId="12" fillId="2" borderId="0" xfId="1" applyFont="1" applyFill="1" applyProtection="1">
      <protection locked="0"/>
    </xf>
    <xf numFmtId="10" fontId="12" fillId="2" borderId="0" xfId="0" applyNumberFormat="1" applyFont="1" applyFill="1" applyProtection="1">
      <protection locked="0"/>
    </xf>
    <xf numFmtId="0" fontId="0" fillId="0" borderId="2" xfId="0" applyBorder="1"/>
    <xf numFmtId="6" fontId="18" fillId="0" borderId="11" xfId="4" applyNumberFormat="1" applyFont="1" applyFill="1" applyBorder="1" applyProtection="1"/>
    <xf numFmtId="6" fontId="18" fillId="0" borderId="18" xfId="4" applyNumberFormat="1" applyFont="1" applyFill="1" applyBorder="1" applyProtection="1"/>
    <xf numFmtId="6" fontId="18" fillId="0" borderId="0" xfId="4" applyNumberFormat="1" applyFont="1" applyFill="1" applyBorder="1" applyProtection="1"/>
    <xf numFmtId="6" fontId="18" fillId="0" borderId="13" xfId="4" applyNumberFormat="1" applyFont="1" applyFill="1" applyBorder="1" applyProtection="1"/>
    <xf numFmtId="6" fontId="18" fillId="0" borderId="20" xfId="4" applyNumberFormat="1" applyFont="1" applyFill="1" applyBorder="1" applyProtection="1"/>
    <xf numFmtId="6" fontId="18" fillId="0" borderId="2" xfId="4" applyNumberFormat="1" applyFont="1" applyFill="1" applyBorder="1" applyProtection="1"/>
    <xf numFmtId="6" fontId="18" fillId="0" borderId="14" xfId="4" applyNumberFormat="1" applyFont="1" applyFill="1" applyBorder="1" applyProtection="1"/>
    <xf numFmtId="0" fontId="8" fillId="0" borderId="0" xfId="0" applyFont="1"/>
    <xf numFmtId="0" fontId="12" fillId="3" borderId="16" xfId="0" applyFont="1" applyFill="1" applyBorder="1"/>
    <xf numFmtId="0" fontId="19" fillId="3" borderId="12" xfId="0" applyFont="1" applyFill="1" applyBorder="1" applyAlignment="1">
      <alignment horizontal="center" textRotation="90"/>
    </xf>
    <xf numFmtId="0" fontId="19" fillId="3" borderId="0" xfId="0" applyFont="1" applyFill="1" applyAlignment="1">
      <alignment horizontal="center" textRotation="90"/>
    </xf>
    <xf numFmtId="0" fontId="12" fillId="3" borderId="26" xfId="0" applyFont="1" applyFill="1" applyBorder="1"/>
    <xf numFmtId="0" fontId="17" fillId="3" borderId="19" xfId="0" applyFont="1" applyFill="1" applyBorder="1"/>
    <xf numFmtId="0" fontId="19" fillId="3" borderId="12" xfId="0" applyFont="1" applyFill="1" applyBorder="1" applyAlignment="1">
      <alignment horizontal="center" vertical="center" textRotation="90"/>
    </xf>
    <xf numFmtId="0" fontId="19" fillId="3" borderId="15" xfId="0" applyFont="1" applyFill="1" applyBorder="1" applyAlignment="1">
      <alignment horizontal="center" vertical="center" textRotation="90"/>
    </xf>
    <xf numFmtId="164" fontId="12" fillId="0" borderId="0" xfId="4" applyNumberFormat="1" applyFont="1" applyFill="1" applyProtection="1"/>
    <xf numFmtId="6" fontId="18" fillId="0" borderId="16" xfId="4" applyNumberFormat="1" applyFont="1" applyFill="1" applyBorder="1" applyProtection="1"/>
    <xf numFmtId="6" fontId="18" fillId="0" borderId="12" xfId="4" applyNumberFormat="1" applyFont="1" applyFill="1" applyBorder="1" applyProtection="1"/>
    <xf numFmtId="6" fontId="18" fillId="0" borderId="15" xfId="4" applyNumberFormat="1" applyFont="1" applyFill="1" applyBorder="1" applyProtection="1"/>
    <xf numFmtId="6" fontId="12" fillId="0" borderId="20" xfId="4" applyNumberFormat="1" applyFont="1" applyFill="1" applyBorder="1" applyProtection="1"/>
    <xf numFmtId="6" fontId="12" fillId="0" borderId="16" xfId="4" applyNumberFormat="1" applyFont="1" applyFill="1" applyBorder="1" applyProtection="1"/>
    <xf numFmtId="6" fontId="12" fillId="0" borderId="11" xfId="4" applyNumberFormat="1" applyFont="1" applyFill="1" applyBorder="1" applyProtection="1"/>
    <xf numFmtId="6" fontId="12" fillId="0" borderId="12" xfId="4" applyNumberFormat="1" applyFont="1" applyFill="1" applyBorder="1" applyProtection="1"/>
    <xf numFmtId="6" fontId="12" fillId="0" borderId="0" xfId="4" applyNumberFormat="1" applyFont="1" applyFill="1" applyBorder="1" applyProtection="1"/>
    <xf numFmtId="6" fontId="12" fillId="0" borderId="15" xfId="4" applyNumberFormat="1" applyFont="1" applyFill="1" applyBorder="1" applyProtection="1"/>
    <xf numFmtId="6" fontId="12" fillId="0" borderId="2" xfId="4" applyNumberFormat="1" applyFont="1" applyFill="1" applyBorder="1" applyProtection="1"/>
    <xf numFmtId="0" fontId="7" fillId="0" borderId="0" xfId="0" applyFont="1"/>
    <xf numFmtId="0" fontId="12" fillId="3" borderId="23" xfId="0" applyFont="1" applyFill="1" applyBorder="1"/>
    <xf numFmtId="0" fontId="12" fillId="3" borderId="1" xfId="0" applyFont="1" applyFill="1" applyBorder="1"/>
    <xf numFmtId="0" fontId="17" fillId="3" borderId="21" xfId="0" applyFont="1" applyFill="1" applyBorder="1"/>
    <xf numFmtId="0" fontId="12" fillId="3" borderId="15" xfId="0" applyFont="1" applyFill="1" applyBorder="1"/>
    <xf numFmtId="0" fontId="12" fillId="3" borderId="2" xfId="0" applyFont="1" applyFill="1" applyBorder="1"/>
    <xf numFmtId="0" fontId="20" fillId="0" borderId="0" xfId="0" applyFont="1" applyAlignment="1">
      <alignment wrapText="1"/>
    </xf>
    <xf numFmtId="164" fontId="8" fillId="2" borderId="0" xfId="0" applyNumberFormat="1" applyFont="1" applyFill="1" applyProtection="1">
      <protection locked="0"/>
    </xf>
    <xf numFmtId="164" fontId="8" fillId="2" borderId="0" xfId="1" applyNumberFormat="1" applyFont="1" applyFill="1" applyBorder="1" applyProtection="1">
      <protection locked="0"/>
    </xf>
    <xf numFmtId="164" fontId="8" fillId="5" borderId="0" xfId="1" applyNumberFormat="1" applyFont="1" applyFill="1" applyBorder="1" applyProtection="1"/>
    <xf numFmtId="3" fontId="8" fillId="2" borderId="0" xfId="0" applyNumberFormat="1" applyFont="1" applyFill="1" applyProtection="1">
      <protection locked="0"/>
    </xf>
    <xf numFmtId="164" fontId="8" fillId="5" borderId="0" xfId="0" applyNumberFormat="1" applyFont="1" applyFill="1"/>
    <xf numFmtId="164" fontId="8" fillId="2" borderId="0" xfId="0" applyNumberFormat="1" applyFont="1" applyFill="1" applyAlignment="1" applyProtection="1">
      <alignment horizontal="right"/>
      <protection locked="0"/>
    </xf>
    <xf numFmtId="0" fontId="27" fillId="2" borderId="0" xfId="6" applyFont="1" applyFill="1" applyAlignment="1" applyProtection="1">
      <alignment horizontal="left"/>
      <protection locked="0"/>
    </xf>
    <xf numFmtId="164" fontId="8" fillId="2" borderId="2" xfId="0" applyNumberFormat="1" applyFont="1" applyFill="1" applyBorder="1" applyProtection="1">
      <protection locked="0"/>
    </xf>
    <xf numFmtId="164" fontId="8" fillId="5" borderId="2" xfId="1" applyNumberFormat="1" applyFont="1" applyFill="1" applyBorder="1" applyProtection="1"/>
    <xf numFmtId="3" fontId="8" fillId="2" borderId="2" xfId="0" applyNumberFormat="1" applyFont="1" applyFill="1" applyBorder="1" applyProtection="1">
      <protection locked="0"/>
    </xf>
    <xf numFmtId="164" fontId="8" fillId="5" borderId="2" xfId="0" applyNumberFormat="1" applyFont="1" applyFill="1" applyBorder="1"/>
    <xf numFmtId="0" fontId="2" fillId="5" borderId="2" xfId="0" applyFont="1" applyFill="1" applyBorder="1"/>
    <xf numFmtId="0" fontId="8" fillId="5" borderId="2" xfId="0" applyFont="1" applyFill="1" applyBorder="1" applyAlignment="1">
      <alignment horizontal="right"/>
    </xf>
    <xf numFmtId="0" fontId="8" fillId="5" borderId="2" xfId="0" applyFont="1" applyFill="1" applyBorder="1"/>
    <xf numFmtId="164" fontId="8" fillId="0" borderId="0" xfId="1" applyNumberFormat="1" applyFont="1" applyFill="1" applyBorder="1" applyProtection="1">
      <protection locked="0"/>
    </xf>
    <xf numFmtId="164" fontId="8" fillId="0" borderId="0" xfId="1" applyNumberFormat="1" applyFont="1" applyFill="1" applyBorder="1" applyProtection="1"/>
    <xf numFmtId="0" fontId="0" fillId="0" borderId="0" xfId="0" applyAlignment="1">
      <alignment horizontal="right"/>
    </xf>
    <xf numFmtId="164" fontId="0" fillId="0" borderId="0" xfId="0" applyNumberFormat="1" applyAlignment="1">
      <alignment horizontal="right"/>
    </xf>
    <xf numFmtId="0" fontId="8" fillId="0" borderId="0" xfId="0" applyFont="1" applyAlignment="1">
      <alignment horizontal="right"/>
    </xf>
    <xf numFmtId="164" fontId="8" fillId="0" borderId="0" xfId="0" applyNumberFormat="1" applyFont="1" applyAlignment="1">
      <alignment horizontal="right"/>
    </xf>
    <xf numFmtId="0" fontId="0" fillId="0" borderId="0" xfId="0" applyAlignment="1">
      <alignment wrapText="1"/>
    </xf>
    <xf numFmtId="164" fontId="8" fillId="0" borderId="0" xfId="0" applyNumberFormat="1" applyFont="1" applyProtection="1">
      <protection locked="0"/>
    </xf>
    <xf numFmtId="3" fontId="8" fillId="0" borderId="0" xfId="0" applyNumberFormat="1" applyFont="1" applyProtection="1">
      <protection locked="0"/>
    </xf>
    <xf numFmtId="164" fontId="8" fillId="0" borderId="0" xfId="0" applyNumberFormat="1" applyFont="1"/>
    <xf numFmtId="164" fontId="8" fillId="0" borderId="0" xfId="0" applyNumberFormat="1" applyFont="1" applyAlignment="1" applyProtection="1">
      <alignment horizontal="right"/>
      <protection locked="0"/>
    </xf>
    <xf numFmtId="0" fontId="0" fillId="0" borderId="0" xfId="0" applyAlignment="1">
      <alignment horizontal="left" wrapText="1"/>
    </xf>
    <xf numFmtId="164" fontId="2" fillId="0" borderId="0" xfId="0" applyNumberFormat="1" applyFont="1"/>
    <xf numFmtId="0" fontId="5" fillId="0" borderId="0" xfId="0" applyFont="1"/>
    <xf numFmtId="0" fontId="18" fillId="0" borderId="0" xfId="0" applyFont="1"/>
    <xf numFmtId="0" fontId="15" fillId="0" borderId="0" xfId="0" applyFont="1"/>
    <xf numFmtId="0" fontId="16" fillId="0" borderId="1" xfId="0" applyFont="1" applyBorder="1"/>
    <xf numFmtId="0" fontId="6" fillId="0" borderId="1" xfId="0" applyFont="1" applyBorder="1" applyAlignment="1">
      <alignment horizontal="left" wrapText="1"/>
    </xf>
    <xf numFmtId="0" fontId="16" fillId="0" borderId="1" xfId="0" applyFont="1" applyBorder="1" applyAlignment="1">
      <alignment horizontal="center" wrapText="1"/>
    </xf>
    <xf numFmtId="0" fontId="16" fillId="0" borderId="0" xfId="0" applyFont="1" applyAlignment="1">
      <alignment horizontal="center" wrapText="1"/>
    </xf>
    <xf numFmtId="0" fontId="16" fillId="0" borderId="0" xfId="0" applyFont="1"/>
    <xf numFmtId="164" fontId="12" fillId="0" borderId="2" xfId="0" applyNumberFormat="1" applyFont="1" applyBorder="1"/>
    <xf numFmtId="164" fontId="12" fillId="0" borderId="1" xfId="0" applyNumberFormat="1" applyFont="1" applyBorder="1"/>
    <xf numFmtId="0" fontId="4" fillId="0" borderId="0" xfId="0" applyFont="1" applyAlignment="1">
      <alignment horizontal="right"/>
    </xf>
    <xf numFmtId="164" fontId="12" fillId="0" borderId="0" xfId="0" applyNumberFormat="1" applyFont="1"/>
    <xf numFmtId="165" fontId="12" fillId="0" borderId="0" xfId="0" applyNumberFormat="1" applyFont="1"/>
    <xf numFmtId="9" fontId="8" fillId="0" borderId="0" xfId="0" applyNumberFormat="1" applyFont="1" applyAlignment="1">
      <alignment horizontal="left"/>
    </xf>
    <xf numFmtId="9" fontId="12" fillId="0" borderId="0" xfId="0" applyNumberFormat="1" applyFont="1" applyAlignment="1">
      <alignment horizontal="left"/>
    </xf>
    <xf numFmtId="3" fontId="12" fillId="0" borderId="0" xfId="0" applyNumberFormat="1" applyFont="1"/>
    <xf numFmtId="0" fontId="2" fillId="0" borderId="2" xfId="0" applyFont="1" applyBorder="1"/>
    <xf numFmtId="0" fontId="4" fillId="0" borderId="2" xfId="0" applyFont="1" applyBorder="1" applyAlignment="1">
      <alignment horizontal="right"/>
    </xf>
    <xf numFmtId="0" fontId="12" fillId="0" borderId="2" xfId="0" applyFont="1" applyBorder="1"/>
    <xf numFmtId="0" fontId="4" fillId="0" borderId="0" xfId="0" applyFont="1" applyAlignment="1">
      <alignment horizontal="left"/>
    </xf>
    <xf numFmtId="0" fontId="4" fillId="0" borderId="0" xfId="0" applyFont="1" applyAlignment="1">
      <alignment wrapText="1"/>
    </xf>
    <xf numFmtId="0" fontId="4" fillId="0" borderId="3" xfId="0" applyFont="1" applyBorder="1" applyAlignment="1">
      <alignment horizontal="left"/>
    </xf>
    <xf numFmtId="0" fontId="4" fillId="0" borderId="3" xfId="0" applyFont="1" applyBorder="1"/>
    <xf numFmtId="0" fontId="4" fillId="0" borderId="3" xfId="0" applyFont="1" applyBorder="1" applyAlignment="1">
      <alignment horizontal="right"/>
    </xf>
    <xf numFmtId="0" fontId="12" fillId="0" borderId="3" xfId="0" applyFont="1" applyBorder="1"/>
    <xf numFmtId="164" fontId="12" fillId="0" borderId="3" xfId="0" applyNumberFormat="1" applyFont="1" applyBorder="1"/>
    <xf numFmtId="0" fontId="8" fillId="0" borderId="0" xfId="0" applyFont="1" applyAlignment="1">
      <alignment horizontal="left" wrapText="1"/>
    </xf>
    <xf numFmtId="0" fontId="0" fillId="5" borderId="0" xfId="0" applyFill="1" applyAlignment="1">
      <alignment horizontal="right"/>
    </xf>
    <xf numFmtId="164" fontId="0" fillId="5" borderId="0" xfId="0" applyNumberFormat="1" applyFill="1" applyAlignment="1">
      <alignment horizontal="right"/>
    </xf>
    <xf numFmtId="0" fontId="2" fillId="5" borderId="0" xfId="0" applyFont="1" applyFill="1"/>
    <xf numFmtId="0" fontId="8" fillId="5" borderId="1" xfId="0" applyFont="1" applyFill="1" applyBorder="1"/>
    <xf numFmtId="0" fontId="8" fillId="5" borderId="1" xfId="0" applyFont="1" applyFill="1" applyBorder="1" applyAlignment="1">
      <alignment horizontal="right"/>
    </xf>
    <xf numFmtId="0" fontId="2" fillId="0" borderId="1" xfId="0" applyFont="1" applyBorder="1"/>
    <xf numFmtId="164" fontId="8" fillId="5" borderId="1" xfId="0" applyNumberFormat="1" applyFont="1" applyFill="1" applyBorder="1" applyAlignment="1">
      <alignment horizontal="right"/>
    </xf>
    <xf numFmtId="0" fontId="8" fillId="5" borderId="0" xfId="0" applyFont="1" applyFill="1" applyAlignment="1">
      <alignment horizontal="right"/>
    </xf>
    <xf numFmtId="0" fontId="2" fillId="0" borderId="11" xfId="0" applyFont="1" applyBorder="1"/>
    <xf numFmtId="164" fontId="8" fillId="0" borderId="2" xfId="0" applyNumberFormat="1" applyFont="1" applyBorder="1"/>
    <xf numFmtId="164" fontId="12" fillId="2" borderId="0" xfId="0" applyNumberFormat="1" applyFont="1" applyFill="1" applyProtection="1">
      <protection locked="0"/>
    </xf>
    <xf numFmtId="0" fontId="12" fillId="2" borderId="0" xfId="0" applyFont="1" applyFill="1" applyProtection="1">
      <protection locked="0"/>
    </xf>
    <xf numFmtId="0" fontId="8" fillId="2" borderId="0" xfId="0" applyFont="1" applyFill="1" applyProtection="1">
      <protection locked="0"/>
    </xf>
    <xf numFmtId="0" fontId="0" fillId="0" borderId="1" xfId="0" applyBorder="1"/>
    <xf numFmtId="3" fontId="0" fillId="2" borderId="0" xfId="0" applyNumberFormat="1" applyFill="1" applyProtection="1">
      <protection locked="0"/>
    </xf>
    <xf numFmtId="0" fontId="10" fillId="0" borderId="0" xfId="0" applyFont="1"/>
    <xf numFmtId="0" fontId="12" fillId="0" borderId="0" xfId="0" applyFont="1" applyAlignment="1">
      <alignment horizontal="right"/>
    </xf>
    <xf numFmtId="0" fontId="4" fillId="0" borderId="0" xfId="0" applyFont="1"/>
    <xf numFmtId="0" fontId="10" fillId="0" borderId="0" xfId="0" applyFont="1" applyAlignment="1">
      <alignment horizontal="center"/>
    </xf>
    <xf numFmtId="0" fontId="4" fillId="0" borderId="0" xfId="0" applyFont="1" applyAlignment="1">
      <alignment horizontal="left" vertical="top"/>
    </xf>
    <xf numFmtId="0" fontId="4" fillId="0" borderId="0" xfId="0" applyFont="1" applyAlignment="1">
      <alignment vertical="top" wrapText="1"/>
    </xf>
    <xf numFmtId="0" fontId="4" fillId="0" borderId="0" xfId="0" applyFont="1" applyAlignment="1">
      <alignment horizontal="right" vertical="top" wrapText="1"/>
    </xf>
    <xf numFmtId="0" fontId="25" fillId="0" borderId="0" xfId="5" applyFont="1" applyFill="1" applyAlignment="1">
      <alignment horizontal="left" vertical="top" wrapText="1"/>
    </xf>
    <xf numFmtId="0" fontId="3" fillId="0" borderId="0" xfId="0" applyFont="1" applyAlignment="1">
      <alignment horizontal="left" indent="4"/>
    </xf>
    <xf numFmtId="9" fontId="12" fillId="0" borderId="0" xfId="1" applyFont="1" applyFill="1" applyProtection="1"/>
    <xf numFmtId="0" fontId="13" fillId="0" borderId="0" xfId="0" applyFont="1"/>
    <xf numFmtId="9" fontId="12" fillId="0" borderId="0" xfId="1" applyFont="1" applyFill="1" applyBorder="1" applyProtection="1"/>
    <xf numFmtId="0" fontId="12" fillId="0" borderId="0" xfId="0" applyFont="1" applyAlignment="1">
      <alignment horizontal="left"/>
    </xf>
    <xf numFmtId="0" fontId="12" fillId="0" borderId="0" xfId="0" applyFont="1" applyAlignment="1">
      <alignment wrapText="1"/>
    </xf>
    <xf numFmtId="2" fontId="12" fillId="0" borderId="17" xfId="0" applyNumberFormat="1" applyFont="1" applyBorder="1" applyAlignment="1">
      <alignment horizontal="left"/>
    </xf>
    <xf numFmtId="2" fontId="12" fillId="0" borderId="27" xfId="0" applyNumberFormat="1" applyFont="1" applyBorder="1" applyAlignment="1">
      <alignment horizontal="left"/>
    </xf>
    <xf numFmtId="3" fontId="12" fillId="0" borderId="1" xfId="0" applyNumberFormat="1" applyFont="1" applyBorder="1" applyAlignment="1">
      <alignment horizontal="right"/>
    </xf>
    <xf numFmtId="3" fontId="12" fillId="0" borderId="24" xfId="0" applyNumberFormat="1" applyFont="1" applyBorder="1" applyAlignment="1">
      <alignment horizontal="right"/>
    </xf>
    <xf numFmtId="0" fontId="0" fillId="0" borderId="11" xfId="0" applyBorder="1"/>
    <xf numFmtId="0" fontId="18" fillId="0" borderId="23" xfId="0" applyFont="1" applyBorder="1" applyAlignment="1">
      <alignment horizontal="right"/>
    </xf>
    <xf numFmtId="0" fontId="18" fillId="0" borderId="1" xfId="0" applyFont="1" applyBorder="1" applyAlignment="1">
      <alignment horizontal="right"/>
    </xf>
    <xf numFmtId="0" fontId="18" fillId="0" borderId="24" xfId="0" applyFont="1" applyBorder="1" applyAlignment="1">
      <alignment horizontal="right"/>
    </xf>
    <xf numFmtId="3" fontId="12" fillId="0" borderId="23" xfId="0" applyNumberFormat="1" applyFont="1" applyBorder="1"/>
    <xf numFmtId="3" fontId="12" fillId="0" borderId="1" xfId="0" applyNumberFormat="1" applyFont="1" applyBorder="1"/>
    <xf numFmtId="3" fontId="12" fillId="0" borderId="1" xfId="0" applyNumberFormat="1" applyFont="1" applyBorder="1" applyProtection="1">
      <protection locked="0"/>
    </xf>
    <xf numFmtId="3" fontId="12" fillId="0" borderId="24" xfId="0" applyNumberFormat="1" applyFont="1" applyBorder="1"/>
    <xf numFmtId="0" fontId="18" fillId="0" borderId="16" xfId="0" applyFont="1" applyBorder="1" applyAlignment="1">
      <alignment horizontal="left" vertical="center"/>
    </xf>
    <xf numFmtId="7" fontId="12" fillId="0" borderId="16" xfId="4" applyNumberFormat="1" applyFont="1" applyFill="1" applyBorder="1" applyAlignment="1" applyProtection="1">
      <alignment horizontal="center"/>
    </xf>
    <xf numFmtId="6" fontId="12" fillId="0" borderId="18" xfId="4" applyNumberFormat="1" applyFont="1" applyFill="1" applyBorder="1" applyProtection="1"/>
    <xf numFmtId="0" fontId="18" fillId="0" borderId="12" xfId="0" applyFont="1" applyBorder="1" applyAlignment="1">
      <alignment horizontal="left" vertical="center"/>
    </xf>
    <xf numFmtId="7" fontId="12" fillId="0" borderId="12" xfId="4" applyNumberFormat="1" applyFont="1" applyFill="1" applyBorder="1" applyAlignment="1" applyProtection="1">
      <alignment horizontal="center"/>
    </xf>
    <xf numFmtId="6" fontId="12" fillId="0" borderId="13" xfId="4" applyNumberFormat="1" applyFont="1" applyFill="1" applyBorder="1" applyProtection="1"/>
    <xf numFmtId="9" fontId="18" fillId="0" borderId="12" xfId="0" applyNumberFormat="1" applyFont="1" applyBorder="1" applyAlignment="1">
      <alignment horizontal="left" vertical="center"/>
    </xf>
    <xf numFmtId="7" fontId="12" fillId="0" borderId="12" xfId="4" applyNumberFormat="1" applyFont="1" applyFill="1" applyBorder="1" applyAlignment="1" applyProtection="1">
      <alignment horizontal="center"/>
      <protection locked="0"/>
    </xf>
    <xf numFmtId="0" fontId="18" fillId="0" borderId="15" xfId="0" applyFont="1" applyBorder="1" applyAlignment="1">
      <alignment horizontal="left" vertical="center"/>
    </xf>
    <xf numFmtId="7" fontId="12" fillId="0" borderId="15" xfId="4" applyNumberFormat="1" applyFont="1" applyFill="1" applyBorder="1" applyAlignment="1" applyProtection="1">
      <alignment horizontal="center"/>
    </xf>
    <xf numFmtId="6" fontId="12" fillId="0" borderId="14" xfId="4" applyNumberFormat="1" applyFont="1" applyFill="1" applyBorder="1" applyProtection="1"/>
    <xf numFmtId="0" fontId="8" fillId="2" borderId="0" xfId="0" applyFont="1" applyFill="1" applyAlignment="1" applyProtection="1">
      <alignment horizontal="left"/>
      <protection locked="0"/>
    </xf>
    <xf numFmtId="0" fontId="8" fillId="2" borderId="11" xfId="0" applyFont="1" applyFill="1" applyBorder="1" applyAlignment="1" applyProtection="1">
      <alignment horizontal="left"/>
      <protection locked="0"/>
    </xf>
    <xf numFmtId="0" fontId="14" fillId="5" borderId="0" xfId="2" applyFont="1" applyFill="1" applyBorder="1" applyAlignment="1">
      <alignment horizontal="center" wrapText="1"/>
    </xf>
    <xf numFmtId="0" fontId="8" fillId="0" borderId="28" xfId="0" applyFont="1" applyBorder="1"/>
    <xf numFmtId="0" fontId="3" fillId="5" borderId="0" xfId="0" applyFont="1" applyFill="1"/>
    <xf numFmtId="0" fontId="12" fillId="5" borderId="0" xfId="0" applyFont="1" applyFill="1"/>
    <xf numFmtId="0" fontId="11" fillId="3" borderId="5" xfId="0" applyFont="1" applyFill="1" applyBorder="1"/>
    <xf numFmtId="0" fontId="11" fillId="3" borderId="6" xfId="0" applyFont="1" applyFill="1" applyBorder="1"/>
    <xf numFmtId="0" fontId="21" fillId="3" borderId="5" xfId="3" applyFont="1" applyFill="1" applyBorder="1" applyAlignment="1">
      <alignment horizontal="center"/>
    </xf>
    <xf numFmtId="0" fontId="21" fillId="3" borderId="6" xfId="3" applyFont="1" applyFill="1" applyBorder="1" applyAlignment="1">
      <alignment horizontal="center"/>
    </xf>
    <xf numFmtId="0" fontId="21" fillId="3" borderId="7" xfId="3" applyFont="1" applyFill="1" applyBorder="1" applyAlignment="1">
      <alignment horizontal="center"/>
    </xf>
    <xf numFmtId="0" fontId="12" fillId="0" borderId="0" xfId="0" applyFont="1" applyAlignment="1">
      <alignment horizontal="right"/>
    </xf>
    <xf numFmtId="0" fontId="12" fillId="0" borderId="0" xfId="0" applyFont="1" applyAlignment="1">
      <alignment horizontal="left" vertical="top" wrapText="1"/>
    </xf>
    <xf numFmtId="0" fontId="14" fillId="4" borderId="8" xfId="2" applyFont="1" applyBorder="1" applyAlignment="1">
      <alignment horizontal="center" wrapText="1"/>
    </xf>
    <xf numFmtId="0" fontId="14" fillId="4" borderId="9" xfId="2" applyFont="1" applyBorder="1" applyAlignment="1">
      <alignment horizontal="center" wrapText="1"/>
    </xf>
    <xf numFmtId="0" fontId="14" fillId="4" borderId="10" xfId="2" applyFont="1" applyBorder="1" applyAlignment="1">
      <alignment horizontal="center" wrapText="1"/>
    </xf>
    <xf numFmtId="0" fontId="0" fillId="0" borderId="0" xfId="0" applyAlignment="1">
      <alignment horizontal="left" vertical="center" wrapText="1"/>
    </xf>
    <xf numFmtId="0" fontId="8" fillId="2" borderId="0" xfId="0" applyFont="1" applyFill="1" applyAlignment="1" applyProtection="1">
      <alignment horizontal="left"/>
      <protection locked="0"/>
    </xf>
    <xf numFmtId="0" fontId="20" fillId="3" borderId="12" xfId="0" applyFont="1" applyFill="1" applyBorder="1" applyAlignment="1">
      <alignment horizontal="center" wrapText="1"/>
    </xf>
    <xf numFmtId="0" fontId="20" fillId="3" borderId="0" xfId="0" applyFont="1" applyFill="1" applyAlignment="1">
      <alignment horizontal="center" wrapText="1"/>
    </xf>
    <xf numFmtId="0" fontId="8" fillId="0" borderId="0" xfId="0" applyFont="1" applyAlignment="1" applyProtection="1">
      <alignment horizontal="left"/>
      <protection locked="0"/>
    </xf>
    <xf numFmtId="0" fontId="18" fillId="0" borderId="2" xfId="0" applyFont="1" applyBorder="1" applyAlignment="1">
      <alignment horizontal="center" wrapText="1"/>
    </xf>
    <xf numFmtId="0" fontId="28" fillId="0" borderId="0" xfId="5" applyFont="1" applyBorder="1" applyAlignment="1">
      <alignment horizontal="left"/>
    </xf>
    <xf numFmtId="0" fontId="4" fillId="0" borderId="0" xfId="0" applyFont="1" applyAlignment="1">
      <alignment horizontal="center"/>
    </xf>
    <xf numFmtId="0" fontId="12" fillId="0" borderId="0" xfId="0" applyFont="1" applyAlignment="1">
      <alignment horizontal="left"/>
    </xf>
    <xf numFmtId="0" fontId="12" fillId="0" borderId="0" xfId="0" applyFont="1" applyAlignment="1">
      <alignment horizontal="left" wrapText="1"/>
    </xf>
    <xf numFmtId="0" fontId="22" fillId="3" borderId="21" xfId="0" applyFont="1" applyFill="1" applyBorder="1" applyAlignment="1">
      <alignment horizontal="center" vertical="center" textRotation="90"/>
    </xf>
    <xf numFmtId="0" fontId="22" fillId="3" borderId="22" xfId="0" applyFont="1" applyFill="1" applyBorder="1" applyAlignment="1">
      <alignment horizontal="center" vertical="center" textRotation="90"/>
    </xf>
    <xf numFmtId="0" fontId="22" fillId="3" borderId="25" xfId="0" applyFont="1" applyFill="1" applyBorder="1" applyAlignment="1">
      <alignment horizontal="center"/>
    </xf>
    <xf numFmtId="0" fontId="22" fillId="3" borderId="1" xfId="0" applyFont="1" applyFill="1" applyBorder="1" applyAlignment="1">
      <alignment horizontal="center"/>
    </xf>
    <xf numFmtId="0" fontId="22" fillId="3" borderId="24" xfId="0" applyFont="1" applyFill="1" applyBorder="1" applyAlignment="1">
      <alignment horizontal="center"/>
    </xf>
    <xf numFmtId="0" fontId="22" fillId="3" borderId="12" xfId="0" applyFont="1" applyFill="1" applyBorder="1" applyAlignment="1">
      <alignment horizontal="center" vertical="center" textRotation="90"/>
    </xf>
    <xf numFmtId="0" fontId="22" fillId="3" borderId="15" xfId="0" applyFont="1" applyFill="1" applyBorder="1" applyAlignment="1">
      <alignment horizontal="center" vertical="center" textRotation="90"/>
    </xf>
    <xf numFmtId="0" fontId="22" fillId="3" borderId="26" xfId="0" applyFont="1" applyFill="1" applyBorder="1" applyAlignment="1">
      <alignment horizontal="center"/>
    </xf>
    <xf numFmtId="0" fontId="22" fillId="3" borderId="11" xfId="0" applyFont="1" applyFill="1" applyBorder="1" applyAlignment="1">
      <alignment horizontal="center"/>
    </xf>
    <xf numFmtId="0" fontId="22" fillId="3" borderId="18" xfId="0" applyFont="1" applyFill="1" applyBorder="1" applyAlignment="1">
      <alignment horizontal="center"/>
    </xf>
    <xf numFmtId="0" fontId="8" fillId="2" borderId="0" xfId="0" applyFont="1" applyFill="1" applyAlignment="1" applyProtection="1">
      <protection locked="0"/>
    </xf>
    <xf numFmtId="0" fontId="8" fillId="2" borderId="2" xfId="0" applyFont="1" applyFill="1" applyBorder="1" applyAlignment="1" applyProtection="1">
      <protection locked="0"/>
    </xf>
  </cellXfs>
  <cellStyles count="7">
    <cellStyle name="Currency" xfId="4" builtinId="4"/>
    <cellStyle name="Hyperlink" xfId="5" builtinId="8"/>
    <cellStyle name="Normal" xfId="0" builtinId="0"/>
    <cellStyle name="Normal 2" xfId="6" xr:uid="{8A3CAA80-3288-4E32-97FA-3A74C4941961}"/>
    <cellStyle name="Normal 2 2" xfId="3" xr:uid="{B82EEC54-C959-4263-882E-61D78481713D}"/>
    <cellStyle name="Output" xfId="2" builtinId="21"/>
    <cellStyle name="Percent" xfId="1" builtinId="5"/>
  </cellStyles>
  <dxfs count="2">
    <dxf>
      <font>
        <color rgb="FFFF0000"/>
      </font>
    </dxf>
    <dxf>
      <font>
        <color rgb="FFFF000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externalLink" Target="externalLinks/externalLink1.xml"/><Relationship Id="rId9" Type="http://schemas.microsoft.com/office/2022/10/relationships/richValueRel" Target="richData/richValueRel.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University of Missouri - Extension and Food &amp; Agricultural Policy Research Institute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xtension.missouri.edu/programs/agricultural-business-and-policy-extension/missouri-crop-and-livestock-enterprise-budge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pageSetUpPr fitToPage="1"/>
  </sheetPr>
  <dimension ref="A1:M30"/>
  <sheetViews>
    <sheetView showGridLines="0" tabSelected="1" workbookViewId="0">
      <selection activeCell="D9" sqref="D9"/>
    </sheetView>
  </sheetViews>
  <sheetFormatPr defaultColWidth="0" defaultRowHeight="16.5" customHeight="1" zeroHeight="1"/>
  <cols>
    <col min="1" max="1" width="2.83203125" style="111" customWidth="1"/>
    <col min="2" max="2" width="35.58203125" style="111" customWidth="1"/>
    <col min="3" max="3" width="34.58203125" style="111" customWidth="1"/>
    <col min="4" max="4" width="31.58203125" style="111" customWidth="1"/>
    <col min="5" max="5" width="3" style="111" customWidth="1"/>
    <col min="6" max="8" width="9" style="111" hidden="1" customWidth="1"/>
    <col min="9" max="13" width="0" style="111" hidden="1" customWidth="1"/>
    <col min="14" max="16384" width="9" style="111" hidden="1"/>
  </cols>
  <sheetData>
    <row r="1" spans="2:4" ht="17" thickBot="1">
      <c r="B1"/>
      <c r="C1"/>
      <c r="D1"/>
    </row>
    <row r="2" spans="2:4" ht="19.5" customHeight="1" thickBot="1">
      <c r="B2" s="156" t="s">
        <v>54</v>
      </c>
      <c r="C2" s="157"/>
      <c r="D2" s="158"/>
    </row>
    <row r="3" spans="2:4" ht="16.5" customHeight="1">
      <c r="B3" s="159" t="s">
        <v>0</v>
      </c>
      <c r="C3" s="159"/>
      <c r="D3" s="159"/>
    </row>
    <row r="4" spans="2:4" ht="5" customHeight="1">
      <c r="C4"/>
      <c r="D4"/>
    </row>
    <row r="5" spans="2:4" ht="64" customHeight="1">
      <c r="B5" s="113" t="s">
        <v>53</v>
      </c>
      <c r="C5" s="3"/>
      <c r="D5" t="e" vm="1">
        <v>#VALUE!</v>
      </c>
    </row>
    <row r="6" spans="2:4" ht="16.5" customHeight="1">
      <c r="B6" s="115"/>
      <c r="C6" s="116"/>
    </row>
    <row r="7" spans="2:4" ht="16.5" customHeight="1">
      <c r="B7" s="117" t="s">
        <v>49</v>
      </c>
      <c r="C7" s="118" t="s">
        <v>50</v>
      </c>
      <c r="D7" s="114"/>
    </row>
    <row r="8" spans="2:4" ht="16.5" customHeight="1">
      <c r="B8" s="117" t="s">
        <v>51</v>
      </c>
      <c r="C8" s="118" t="s">
        <v>52</v>
      </c>
      <c r="D8" s="114"/>
    </row>
    <row r="9" spans="2:4" ht="16.5" customHeight="1">
      <c r="B9" s="119"/>
      <c r="C9"/>
      <c r="D9"/>
    </row>
    <row r="10" spans="2:4" ht="48.65" customHeight="1">
      <c r="B10" s="160" t="s">
        <v>113</v>
      </c>
      <c r="C10" s="160"/>
      <c r="D10" s="160"/>
    </row>
    <row r="11" spans="2:4" ht="16" customHeight="1">
      <c r="B11" s="160"/>
      <c r="C11" s="160"/>
      <c r="D11" s="160"/>
    </row>
    <row r="12" spans="2:4" ht="16.5" customHeight="1">
      <c r="B12" s="161" t="s">
        <v>1</v>
      </c>
      <c r="C12" s="162"/>
      <c r="D12" s="163"/>
    </row>
    <row r="13" spans="2:4" ht="16.5" customHeight="1">
      <c r="B13" s="150"/>
      <c r="C13" s="150"/>
      <c r="D13" s="150"/>
    </row>
    <row r="14" spans="2:4" ht="45.75" customHeight="1">
      <c r="B14" s="164" t="s">
        <v>117</v>
      </c>
      <c r="C14" s="164"/>
      <c r="D14" s="164"/>
    </row>
    <row r="15" spans="2:4" ht="17" thickBot="1">
      <c r="B15"/>
      <c r="C15"/>
      <c r="D15"/>
    </row>
    <row r="16" spans="2:4" ht="19" thickBot="1">
      <c r="B16" s="154"/>
      <c r="C16" s="155"/>
      <c r="D16" s="155"/>
    </row>
    <row r="17" hidden="1"/>
    <row r="18" hidden="1"/>
    <row r="19" hidden="1"/>
    <row r="20" hidden="1"/>
    <row r="21" hidden="1"/>
    <row r="22" hidden="1"/>
    <row r="23" hidden="1"/>
    <row r="24" hidden="1"/>
    <row r="25" hidden="1"/>
    <row r="26" hidden="1"/>
    <row r="27" hidden="1"/>
    <row r="28" hidden="1"/>
    <row r="29" ht="16.5" customHeight="1"/>
    <row r="30" ht="16.5" customHeight="1"/>
  </sheetData>
  <sheetProtection sheet="1" objects="1" scenarios="1"/>
  <mergeCells count="7">
    <mergeCell ref="B16:D16"/>
    <mergeCell ref="B2:D2"/>
    <mergeCell ref="B3:D3"/>
    <mergeCell ref="B11:D11"/>
    <mergeCell ref="B12:D12"/>
    <mergeCell ref="B10:D10"/>
    <mergeCell ref="B14:D14"/>
  </mergeCells>
  <hyperlinks>
    <hyperlink ref="C8" r:id="rId1" xr:uid="{D461A5AA-1405-4C60-A59A-2BE15B0EC952}"/>
    <hyperlink ref="C7" r:id="rId2" xr:uid="{052E8CFA-A051-4D22-BDBB-C056EC7D4896}"/>
  </hyperlinks>
  <pageMargins left="0.7" right="0.7" top="0.75" bottom="0.75" header="0.3" footer="0.3"/>
  <pageSetup scale="91"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dimension ref="A1:Q89"/>
  <sheetViews>
    <sheetView showGridLines="0" zoomScaleNormal="100" workbookViewId="0">
      <selection activeCell="L69" sqref="L69"/>
    </sheetView>
  </sheetViews>
  <sheetFormatPr defaultColWidth="0" defaultRowHeight="0" customHeight="1" zeroHeight="1"/>
  <cols>
    <col min="1" max="1" width="3.08203125" style="1" customWidth="1"/>
    <col min="2" max="2" width="1.58203125" style="1" customWidth="1"/>
    <col min="3" max="3" width="30.83203125" style="1" customWidth="1"/>
    <col min="4" max="4" width="8.08203125" style="1" customWidth="1"/>
    <col min="5" max="5" width="8.5" style="1" customWidth="1"/>
    <col min="6" max="6" width="1" style="1" customWidth="1"/>
    <col min="7" max="7" width="9.58203125" style="1" customWidth="1"/>
    <col min="8" max="8" width="11.58203125" style="1" customWidth="1"/>
    <col min="9" max="9" width="9.58203125" style="1" customWidth="1"/>
    <col min="10" max="10" width="1.58203125" style="1" customWidth="1"/>
    <col min="11" max="11" width="10.25" style="1" bestFit="1" customWidth="1"/>
    <col min="12" max="12" width="11.58203125" style="1" customWidth="1"/>
    <col min="13" max="13" width="9.58203125" style="1" customWidth="1"/>
    <col min="14" max="14" width="3.08203125" style="1" customWidth="1"/>
    <col min="15" max="15" width="1.58203125" style="1" hidden="1" customWidth="1"/>
    <col min="16" max="16" width="3.08203125" style="1" hidden="1" customWidth="1"/>
    <col min="17" max="16384" width="9" style="1" hidden="1"/>
  </cols>
  <sheetData>
    <row r="1" spans="1:15" ht="16.5" customHeight="1">
      <c r="B1" s="113"/>
      <c r="C1" s="113"/>
      <c r="D1"/>
      <c r="E1"/>
      <c r="F1"/>
      <c r="G1"/>
      <c r="H1"/>
      <c r="I1"/>
      <c r="J1"/>
      <c r="K1"/>
      <c r="L1"/>
      <c r="M1"/>
      <c r="N1"/>
    </row>
    <row r="2" spans="1:15" ht="21" customHeight="1">
      <c r="B2" s="166" t="s">
        <v>55</v>
      </c>
      <c r="C2" s="167"/>
      <c r="D2" s="167"/>
      <c r="E2" s="167"/>
      <c r="F2" s="167"/>
      <c r="G2" s="167"/>
      <c r="H2" s="167"/>
      <c r="I2" s="167"/>
      <c r="J2" s="167"/>
      <c r="K2" s="167"/>
      <c r="L2" s="167"/>
      <c r="M2" s="167"/>
      <c r="N2" s="41"/>
      <c r="O2" s="41"/>
    </row>
    <row r="3" spans="1:15" ht="32.5" customHeight="1">
      <c r="B3" s="69"/>
      <c r="C3" s="69"/>
      <c r="D3" s="69"/>
      <c r="E3" s="69"/>
      <c r="F3" s="69"/>
      <c r="G3" s="169" t="s">
        <v>43</v>
      </c>
      <c r="H3" s="169"/>
      <c r="I3" s="169"/>
      <c r="J3" s="70"/>
      <c r="K3" s="169" t="s">
        <v>44</v>
      </c>
      <c r="L3" s="169"/>
      <c r="M3" s="169"/>
      <c r="N3" s="70"/>
    </row>
    <row r="4" spans="1:15" ht="35.15" customHeight="1">
      <c r="A4" s="71"/>
      <c r="B4" s="72" t="s">
        <v>13</v>
      </c>
      <c r="C4" s="72"/>
      <c r="D4" s="73" t="s">
        <v>3</v>
      </c>
      <c r="E4" s="74" t="s">
        <v>4</v>
      </c>
      <c r="F4" s="75"/>
      <c r="G4" s="74" t="s">
        <v>5</v>
      </c>
      <c r="H4" s="74" t="str">
        <f>"Dollars per 
"&amp;FIXED(D56,0,FALSE)&amp;" sq. ft."</f>
        <v>Dollars per 
1,000 sq. ft.</v>
      </c>
      <c r="I4" s="74" t="s">
        <v>77</v>
      </c>
      <c r="J4" s="76"/>
      <c r="K4" s="74" t="s">
        <v>5</v>
      </c>
      <c r="L4" s="74" t="str">
        <f>H4</f>
        <v>Dollars per 
1,000 sq. ft.</v>
      </c>
      <c r="M4" s="74" t="s">
        <v>77</v>
      </c>
      <c r="N4" s="76"/>
    </row>
    <row r="5" spans="1:15" ht="16" customHeight="1">
      <c r="A5" s="71"/>
      <c r="B5" s="3" t="s">
        <v>38</v>
      </c>
      <c r="C5" s="3"/>
      <c r="D5" s="108" t="s">
        <v>8</v>
      </c>
      <c r="E5" s="4">
        <v>6.01</v>
      </c>
      <c r="F5" s="3"/>
      <c r="G5" s="5">
        <v>0</v>
      </c>
      <c r="H5" s="77">
        <f>G5*E5</f>
        <v>0</v>
      </c>
      <c r="I5" s="78">
        <f>H5/1000</f>
        <v>0</v>
      </c>
      <c r="J5" s="3"/>
      <c r="K5" s="5">
        <v>650.52</v>
      </c>
      <c r="L5" s="77">
        <f>K5*E5</f>
        <v>3909.6251999999999</v>
      </c>
      <c r="M5" s="78">
        <f>L5/1000</f>
        <v>3.9096251999999998</v>
      </c>
      <c r="N5" s="3"/>
    </row>
    <row r="6" spans="1:15" ht="16" customHeight="1">
      <c r="A6" s="71"/>
      <c r="C6" s="79" t="s">
        <v>14</v>
      </c>
      <c r="D6"/>
      <c r="E6" s="3"/>
      <c r="F6" s="3"/>
      <c r="G6" s="3"/>
      <c r="H6" s="80">
        <f>H5</f>
        <v>0</v>
      </c>
      <c r="I6" s="80"/>
      <c r="J6" s="3"/>
      <c r="K6" s="3"/>
      <c r="L6" s="80">
        <f>L5</f>
        <v>3909.6251999999999</v>
      </c>
      <c r="M6" s="80"/>
      <c r="N6" s="3"/>
    </row>
    <row r="7" spans="1:15" ht="8.15" customHeight="1">
      <c r="A7" s="71"/>
      <c r="C7" s="79"/>
      <c r="D7"/>
      <c r="E7" s="3"/>
      <c r="F7" s="3"/>
      <c r="G7" s="3"/>
      <c r="H7" s="80"/>
      <c r="I7" s="80"/>
      <c r="J7" s="3"/>
      <c r="K7" s="3"/>
      <c r="L7" s="80"/>
      <c r="M7" s="80"/>
      <c r="N7" s="3"/>
    </row>
    <row r="8" spans="1:15" ht="35.15" customHeight="1">
      <c r="A8" s="71"/>
      <c r="B8" s="72" t="s">
        <v>15</v>
      </c>
      <c r="C8" s="72"/>
      <c r="D8" s="73" t="s">
        <v>3</v>
      </c>
      <c r="E8" s="74" t="s">
        <v>4</v>
      </c>
      <c r="F8" s="75"/>
      <c r="G8" s="74" t="s">
        <v>5</v>
      </c>
      <c r="H8" s="74" t="str">
        <f>H4</f>
        <v>Dollars per 
1,000 sq. ft.</v>
      </c>
      <c r="I8" s="74" t="s">
        <v>77</v>
      </c>
      <c r="J8" s="76"/>
      <c r="K8" s="74" t="s">
        <v>5</v>
      </c>
      <c r="L8" s="74" t="str">
        <f>H4</f>
        <v>Dollars per 
1,000 sq. ft.</v>
      </c>
      <c r="M8" s="74" t="s">
        <v>77</v>
      </c>
      <c r="N8" s="76"/>
    </row>
    <row r="9" spans="1:15" ht="16" customHeight="1">
      <c r="A9" s="71"/>
      <c r="B9" s="3" t="s">
        <v>39</v>
      </c>
      <c r="C9" s="3"/>
      <c r="D9" s="16" t="s">
        <v>6</v>
      </c>
      <c r="E9" s="4">
        <v>0.39</v>
      </c>
      <c r="F9" s="3"/>
      <c r="G9" s="5">
        <v>650</v>
      </c>
      <c r="H9" s="80">
        <f>G9*$E$9</f>
        <v>253.5</v>
      </c>
      <c r="I9" s="80">
        <f>H9/1000</f>
        <v>0.2535</v>
      </c>
      <c r="J9" s="3"/>
      <c r="K9" s="5">
        <v>0</v>
      </c>
      <c r="L9" s="80">
        <f>K9*E9</f>
        <v>0</v>
      </c>
      <c r="M9" s="80">
        <f>L9/1000</f>
        <v>0</v>
      </c>
      <c r="N9" s="3"/>
    </row>
    <row r="10" spans="1:15" ht="16" customHeight="1">
      <c r="A10" s="71"/>
      <c r="B10" s="3" t="s">
        <v>40</v>
      </c>
      <c r="C10" s="3"/>
      <c r="D10" s="16" t="s">
        <v>7</v>
      </c>
      <c r="E10" s="4">
        <v>15</v>
      </c>
      <c r="F10" s="3"/>
      <c r="G10" s="5">
        <v>1</v>
      </c>
      <c r="H10" s="80">
        <f>G10*$E10</f>
        <v>15</v>
      </c>
      <c r="I10" s="80">
        <f t="shared" ref="I10:I40" si="0">H10/1000</f>
        <v>1.4999999999999999E-2</v>
      </c>
      <c r="J10" s="3"/>
      <c r="K10" s="5">
        <v>0</v>
      </c>
      <c r="L10" s="80">
        <f>K10*E10</f>
        <v>0</v>
      </c>
      <c r="M10" s="80">
        <f t="shared" ref="M10:M40" si="1">L10/1000</f>
        <v>0</v>
      </c>
      <c r="N10" s="3"/>
    </row>
    <row r="11" spans="1:15" ht="16" customHeight="1">
      <c r="A11" s="71"/>
      <c r="B11" s="3" t="s">
        <v>81</v>
      </c>
      <c r="C11" s="3"/>
      <c r="D11" s="16"/>
      <c r="E11" s="24"/>
      <c r="F11" s="3"/>
      <c r="G11" s="81"/>
      <c r="H11" s="80"/>
      <c r="I11" s="80"/>
      <c r="J11" s="3"/>
      <c r="K11" s="81"/>
      <c r="L11" s="80"/>
      <c r="M11" s="80"/>
      <c r="N11" s="3"/>
    </row>
    <row r="12" spans="1:15" ht="16" customHeight="1">
      <c r="A12" s="71"/>
      <c r="B12" s="3"/>
      <c r="C12" s="3" t="s">
        <v>93</v>
      </c>
      <c r="D12" s="16" t="s">
        <v>8</v>
      </c>
      <c r="E12" s="4">
        <v>2.75</v>
      </c>
      <c r="F12" s="3"/>
      <c r="G12" s="5">
        <v>1</v>
      </c>
      <c r="H12" s="80">
        <f>G12*$E12</f>
        <v>2.75</v>
      </c>
      <c r="I12" s="80">
        <f t="shared" si="0"/>
        <v>2.7499999999999998E-3</v>
      </c>
      <c r="J12" s="3"/>
      <c r="K12" s="5">
        <v>0</v>
      </c>
      <c r="L12" s="80">
        <f t="shared" ref="L12:L28" si="2">K12*$E12</f>
        <v>0</v>
      </c>
      <c r="M12" s="80">
        <f t="shared" si="1"/>
        <v>0</v>
      </c>
      <c r="N12" s="3"/>
    </row>
    <row r="13" spans="1:15" ht="16" customHeight="1">
      <c r="A13" s="71"/>
      <c r="C13" s="3" t="s">
        <v>88</v>
      </c>
      <c r="D13" s="16" t="s">
        <v>8</v>
      </c>
      <c r="E13" s="4">
        <v>0.45</v>
      </c>
      <c r="F13" s="3"/>
      <c r="G13" s="5">
        <v>30</v>
      </c>
      <c r="H13" s="80">
        <f t="shared" ref="H13:H28" si="3">G13*$E13</f>
        <v>13.5</v>
      </c>
      <c r="I13" s="80">
        <f t="shared" si="0"/>
        <v>1.35E-2</v>
      </c>
      <c r="J13" s="3"/>
      <c r="K13" s="5">
        <v>0</v>
      </c>
      <c r="L13" s="80">
        <f t="shared" si="2"/>
        <v>0</v>
      </c>
      <c r="M13" s="80">
        <f t="shared" si="1"/>
        <v>0</v>
      </c>
      <c r="N13" s="3"/>
    </row>
    <row r="14" spans="1:15" ht="16" customHeight="1">
      <c r="A14" s="71"/>
      <c r="C14" s="3" t="s">
        <v>82</v>
      </c>
      <c r="D14" s="16" t="s">
        <v>8</v>
      </c>
      <c r="E14" s="4">
        <v>0.55000000000000004</v>
      </c>
      <c r="F14" s="3"/>
      <c r="G14" s="5">
        <v>0</v>
      </c>
      <c r="H14" s="80">
        <f t="shared" si="3"/>
        <v>0</v>
      </c>
      <c r="I14" s="80">
        <f t="shared" si="0"/>
        <v>0</v>
      </c>
      <c r="J14" s="3"/>
      <c r="K14" s="5">
        <v>0</v>
      </c>
      <c r="L14" s="80">
        <f t="shared" si="2"/>
        <v>0</v>
      </c>
      <c r="M14" s="80">
        <f t="shared" si="1"/>
        <v>0</v>
      </c>
      <c r="N14" s="3"/>
    </row>
    <row r="15" spans="1:15" ht="16" customHeight="1">
      <c r="A15" s="71"/>
      <c r="C15" s="3" t="s">
        <v>83</v>
      </c>
      <c r="D15" s="16" t="s">
        <v>8</v>
      </c>
      <c r="E15" s="4">
        <v>0.38</v>
      </c>
      <c r="F15" s="3"/>
      <c r="G15" s="5">
        <v>0</v>
      </c>
      <c r="H15" s="80">
        <f t="shared" si="3"/>
        <v>0</v>
      </c>
      <c r="I15" s="80">
        <f t="shared" si="0"/>
        <v>0</v>
      </c>
      <c r="J15" s="3"/>
      <c r="K15" s="5">
        <v>0</v>
      </c>
      <c r="L15" s="80">
        <f t="shared" si="2"/>
        <v>0</v>
      </c>
      <c r="M15" s="80">
        <f t="shared" si="1"/>
        <v>0</v>
      </c>
      <c r="N15" s="3"/>
    </row>
    <row r="16" spans="1:15" ht="16" customHeight="1">
      <c r="A16" s="71"/>
      <c r="C16" s="3" t="s">
        <v>84</v>
      </c>
      <c r="D16" s="16" t="s">
        <v>94</v>
      </c>
      <c r="E16" s="4">
        <v>30</v>
      </c>
      <c r="F16" s="3"/>
      <c r="G16" s="5">
        <v>0</v>
      </c>
      <c r="H16" s="80">
        <f t="shared" si="3"/>
        <v>0</v>
      </c>
      <c r="I16" s="80">
        <f t="shared" si="0"/>
        <v>0</v>
      </c>
      <c r="J16" s="3"/>
      <c r="K16" s="5">
        <v>0</v>
      </c>
      <c r="L16" s="80">
        <f t="shared" si="2"/>
        <v>0</v>
      </c>
      <c r="M16" s="80">
        <f t="shared" si="1"/>
        <v>0</v>
      </c>
      <c r="N16" s="3"/>
    </row>
    <row r="17" spans="1:14" ht="16" customHeight="1">
      <c r="A17" s="71"/>
      <c r="B17" s="3" t="s">
        <v>85</v>
      </c>
      <c r="C17" s="3"/>
      <c r="D17" s="16"/>
      <c r="E17" s="24"/>
      <c r="F17" s="3"/>
      <c r="G17" s="81"/>
      <c r="H17" s="80"/>
      <c r="I17" s="80"/>
      <c r="J17" s="3"/>
      <c r="K17" s="81"/>
      <c r="L17" s="80"/>
      <c r="M17" s="80"/>
      <c r="N17" s="3"/>
    </row>
    <row r="18" spans="1:14" ht="16" customHeight="1">
      <c r="A18" s="71"/>
      <c r="C18" s="107" t="s">
        <v>86</v>
      </c>
      <c r="D18" s="108" t="s">
        <v>8</v>
      </c>
      <c r="E18" s="4">
        <v>5.5</v>
      </c>
      <c r="F18" s="3"/>
      <c r="G18" s="5">
        <v>0</v>
      </c>
      <c r="H18" s="80">
        <f t="shared" si="3"/>
        <v>0</v>
      </c>
      <c r="I18" s="80">
        <f t="shared" si="0"/>
        <v>0</v>
      </c>
      <c r="J18" s="3"/>
      <c r="K18" s="5">
        <v>1</v>
      </c>
      <c r="L18" s="80">
        <f t="shared" si="2"/>
        <v>5.5</v>
      </c>
      <c r="M18" s="80">
        <f t="shared" si="1"/>
        <v>5.4999999999999997E-3</v>
      </c>
      <c r="N18" s="3"/>
    </row>
    <row r="19" spans="1:14" ht="16" customHeight="1">
      <c r="A19" s="71"/>
      <c r="C19" s="107" t="s">
        <v>87</v>
      </c>
      <c r="D19" s="108" t="s">
        <v>92</v>
      </c>
      <c r="E19" s="4">
        <v>3.67</v>
      </c>
      <c r="F19" s="3"/>
      <c r="G19" s="5">
        <v>0</v>
      </c>
      <c r="H19" s="80">
        <f t="shared" si="3"/>
        <v>0</v>
      </c>
      <c r="I19" s="80">
        <f t="shared" si="0"/>
        <v>0</v>
      </c>
      <c r="J19" s="3"/>
      <c r="K19" s="5">
        <v>0</v>
      </c>
      <c r="L19" s="80">
        <f t="shared" si="2"/>
        <v>0</v>
      </c>
      <c r="M19" s="80">
        <f t="shared" si="1"/>
        <v>0</v>
      </c>
      <c r="N19" s="3"/>
    </row>
    <row r="20" spans="1:14" ht="16" customHeight="1">
      <c r="A20" s="71"/>
      <c r="B20" s="3" t="s">
        <v>89</v>
      </c>
      <c r="C20" s="3"/>
      <c r="D20" s="16"/>
      <c r="E20" s="24"/>
      <c r="F20" s="3"/>
      <c r="G20" s="81"/>
      <c r="H20" s="80"/>
      <c r="I20" s="80"/>
      <c r="J20" s="3"/>
      <c r="K20" s="81"/>
      <c r="L20" s="80"/>
      <c r="M20" s="80"/>
      <c r="N20" s="3"/>
    </row>
    <row r="21" spans="1:14" ht="16" customHeight="1">
      <c r="A21" s="71"/>
      <c r="C21" s="107" t="s">
        <v>90</v>
      </c>
      <c r="D21" s="108" t="s">
        <v>92</v>
      </c>
      <c r="E21" s="4">
        <v>2.73</v>
      </c>
      <c r="F21" s="3"/>
      <c r="G21" s="5">
        <v>0</v>
      </c>
      <c r="H21" s="80">
        <f t="shared" si="3"/>
        <v>0</v>
      </c>
      <c r="I21" s="80">
        <f t="shared" si="0"/>
        <v>0</v>
      </c>
      <c r="J21" s="3"/>
      <c r="K21" s="5">
        <v>1</v>
      </c>
      <c r="L21" s="80">
        <f t="shared" si="2"/>
        <v>2.73</v>
      </c>
      <c r="M21" s="80">
        <f t="shared" si="1"/>
        <v>2.7299999999999998E-3</v>
      </c>
      <c r="N21" s="3"/>
    </row>
    <row r="22" spans="1:14" ht="16" customHeight="1">
      <c r="A22" s="71"/>
      <c r="C22" s="107" t="s">
        <v>91</v>
      </c>
      <c r="D22" s="108" t="s">
        <v>92</v>
      </c>
      <c r="E22" s="4">
        <v>1.01</v>
      </c>
      <c r="F22" s="3"/>
      <c r="G22" s="5">
        <v>0</v>
      </c>
      <c r="H22" s="80">
        <f t="shared" si="3"/>
        <v>0</v>
      </c>
      <c r="I22" s="80">
        <f t="shared" si="0"/>
        <v>0</v>
      </c>
      <c r="J22" s="3"/>
      <c r="K22" s="5">
        <v>0</v>
      </c>
      <c r="L22" s="80">
        <f t="shared" si="2"/>
        <v>0</v>
      </c>
      <c r="M22" s="80">
        <f t="shared" si="1"/>
        <v>0</v>
      </c>
      <c r="N22" s="3"/>
    </row>
    <row r="23" spans="1:14" ht="16" customHeight="1">
      <c r="A23" s="71"/>
      <c r="B23" s="3" t="s">
        <v>95</v>
      </c>
      <c r="C23" s="3"/>
      <c r="D23" s="16" t="s">
        <v>98</v>
      </c>
      <c r="E23" s="4">
        <v>0.06</v>
      </c>
      <c r="F23" s="3"/>
      <c r="G23" s="5">
        <v>411</v>
      </c>
      <c r="H23" s="80">
        <f t="shared" si="3"/>
        <v>24.66</v>
      </c>
      <c r="I23" s="80">
        <f t="shared" si="0"/>
        <v>2.4660000000000001E-2</v>
      </c>
      <c r="J23" s="3"/>
      <c r="K23" s="5">
        <v>0</v>
      </c>
      <c r="L23" s="80">
        <f t="shared" si="2"/>
        <v>0</v>
      </c>
      <c r="M23" s="80">
        <f t="shared" si="1"/>
        <v>0</v>
      </c>
      <c r="N23" s="3"/>
    </row>
    <row r="24" spans="1:14" ht="16" customHeight="1">
      <c r="A24" s="71"/>
      <c r="B24" s="3" t="s">
        <v>56</v>
      </c>
      <c r="C24" s="3"/>
      <c r="D24" s="16" t="s">
        <v>98</v>
      </c>
      <c r="E24" s="4">
        <v>6.4000000000000001E-2</v>
      </c>
      <c r="F24" s="3"/>
      <c r="G24" s="5">
        <v>158</v>
      </c>
      <c r="H24" s="80">
        <f>G24*$E24</f>
        <v>10.112</v>
      </c>
      <c r="I24" s="80">
        <f>H24/1000</f>
        <v>1.0111999999999999E-2</v>
      </c>
      <c r="J24" s="3"/>
      <c r="K24" s="5">
        <v>0</v>
      </c>
      <c r="L24" s="80">
        <f>K24*$E24</f>
        <v>0</v>
      </c>
      <c r="M24" s="80">
        <f>L24/1000</f>
        <v>0</v>
      </c>
      <c r="N24" s="3"/>
    </row>
    <row r="25" spans="1:14" ht="16" customHeight="1">
      <c r="A25" s="71"/>
      <c r="B25" s="3" t="s">
        <v>100</v>
      </c>
      <c r="C25" s="153"/>
      <c r="D25" s="16" t="s">
        <v>6</v>
      </c>
      <c r="E25" s="4">
        <v>0.06</v>
      </c>
      <c r="F25" s="3"/>
      <c r="G25" s="5">
        <v>661.2</v>
      </c>
      <c r="H25" s="80">
        <f t="shared" ref="H25:H26" si="4">G25*$E25</f>
        <v>39.672000000000004</v>
      </c>
      <c r="I25" s="80">
        <f t="shared" ref="I25:I26" si="5">H25/1000</f>
        <v>3.9672000000000006E-2</v>
      </c>
      <c r="J25" s="3"/>
      <c r="K25" s="5"/>
      <c r="L25" s="80">
        <f t="shared" ref="L25:L26" si="6">K25*$E25</f>
        <v>0</v>
      </c>
      <c r="M25" s="80">
        <f t="shared" ref="M25:M26" si="7">L25/1000</f>
        <v>0</v>
      </c>
      <c r="N25" s="3"/>
    </row>
    <row r="26" spans="1:14" ht="16" customHeight="1">
      <c r="A26" s="71"/>
      <c r="B26" s="3" t="s">
        <v>101</v>
      </c>
      <c r="C26" s="153"/>
      <c r="D26" s="16" t="s">
        <v>6</v>
      </c>
      <c r="E26" s="4">
        <v>9.98</v>
      </c>
      <c r="F26" s="3"/>
      <c r="G26" s="5">
        <v>1</v>
      </c>
      <c r="H26" s="80">
        <f t="shared" si="4"/>
        <v>9.98</v>
      </c>
      <c r="I26" s="80">
        <f t="shared" si="5"/>
        <v>9.980000000000001E-3</v>
      </c>
      <c r="J26" s="3"/>
      <c r="K26" s="5"/>
      <c r="L26" s="80">
        <f t="shared" si="6"/>
        <v>0</v>
      </c>
      <c r="M26" s="80">
        <f t="shared" si="7"/>
        <v>0</v>
      </c>
      <c r="N26" s="3"/>
    </row>
    <row r="27" spans="1:14" ht="16" customHeight="1">
      <c r="A27" s="71"/>
      <c r="B27" s="3" t="s">
        <v>96</v>
      </c>
      <c r="C27" s="153"/>
      <c r="D27" s="16" t="s">
        <v>58</v>
      </c>
      <c r="E27" s="4">
        <v>6.35</v>
      </c>
      <c r="F27" s="3"/>
      <c r="G27" s="5">
        <v>0</v>
      </c>
      <c r="H27" s="80">
        <f t="shared" si="3"/>
        <v>0</v>
      </c>
      <c r="I27" s="80">
        <f t="shared" si="0"/>
        <v>0</v>
      </c>
      <c r="J27" s="3"/>
      <c r="K27" s="5">
        <v>1</v>
      </c>
      <c r="L27" s="80">
        <f t="shared" si="2"/>
        <v>6.35</v>
      </c>
      <c r="M27" s="80">
        <f t="shared" si="1"/>
        <v>6.3499999999999997E-3</v>
      </c>
      <c r="N27" s="3"/>
    </row>
    <row r="28" spans="1:14" ht="16" customHeight="1">
      <c r="A28" s="71"/>
      <c r="B28" s="3" t="s">
        <v>97</v>
      </c>
      <c r="C28" s="153"/>
      <c r="D28" s="16" t="s">
        <v>6</v>
      </c>
      <c r="E28" s="4">
        <v>25</v>
      </c>
      <c r="F28" s="3"/>
      <c r="G28" s="5">
        <v>0</v>
      </c>
      <c r="H28" s="80">
        <f t="shared" si="3"/>
        <v>0</v>
      </c>
      <c r="I28" s="80">
        <f t="shared" si="0"/>
        <v>0</v>
      </c>
      <c r="J28" s="3"/>
      <c r="K28" s="5">
        <v>1</v>
      </c>
      <c r="L28" s="80">
        <f t="shared" si="2"/>
        <v>25</v>
      </c>
      <c r="M28" s="80">
        <f t="shared" si="1"/>
        <v>2.5000000000000001E-2</v>
      </c>
      <c r="N28" s="3"/>
    </row>
    <row r="29" spans="1:14" ht="16" customHeight="1">
      <c r="A29" s="71"/>
      <c r="B29" s="3" t="s">
        <v>35</v>
      </c>
      <c r="C29" s="153"/>
      <c r="D29" s="16"/>
      <c r="E29" s="24"/>
      <c r="F29" s="3"/>
      <c r="G29" s="81"/>
      <c r="H29" s="80"/>
      <c r="I29" s="80"/>
      <c r="J29" s="3"/>
      <c r="K29" s="81"/>
      <c r="L29" s="80"/>
      <c r="M29" s="80"/>
      <c r="N29" s="3"/>
    </row>
    <row r="30" spans="1:14" ht="16" customHeight="1">
      <c r="A30" s="71"/>
      <c r="B30" s="3"/>
      <c r="C30" s="153" t="s">
        <v>79</v>
      </c>
      <c r="D30" s="16" t="s">
        <v>34</v>
      </c>
      <c r="E30" s="4">
        <v>18</v>
      </c>
      <c r="F30" s="3"/>
      <c r="G30" s="5">
        <v>10.5</v>
      </c>
      <c r="H30" s="80">
        <f>G30*E30</f>
        <v>189</v>
      </c>
      <c r="I30" s="80">
        <f t="shared" si="0"/>
        <v>0.189</v>
      </c>
      <c r="J30" s="3"/>
      <c r="K30" s="5">
        <v>13</v>
      </c>
      <c r="L30" s="80">
        <f>K30*E30</f>
        <v>234</v>
      </c>
      <c r="M30" s="80">
        <f t="shared" si="1"/>
        <v>0.23400000000000001</v>
      </c>
      <c r="N30" s="3"/>
    </row>
    <row r="31" spans="1:14" ht="16" customHeight="1">
      <c r="A31" s="71"/>
      <c r="B31" s="3"/>
      <c r="C31" s="153" t="s">
        <v>45</v>
      </c>
      <c r="D31" s="16" t="s">
        <v>34</v>
      </c>
      <c r="E31" s="4">
        <v>18</v>
      </c>
      <c r="F31" s="3"/>
      <c r="G31" s="5">
        <v>0</v>
      </c>
      <c r="H31" s="80">
        <f t="shared" ref="H31:H36" si="8">G31*E31</f>
        <v>0</v>
      </c>
      <c r="I31" s="80">
        <f t="shared" si="0"/>
        <v>0</v>
      </c>
      <c r="J31" s="3"/>
      <c r="K31" s="5">
        <v>12</v>
      </c>
      <c r="L31" s="80">
        <f t="shared" ref="L31:L36" si="9">K31*E31</f>
        <v>216</v>
      </c>
      <c r="M31" s="80">
        <f t="shared" si="1"/>
        <v>0.216</v>
      </c>
      <c r="N31" s="3"/>
    </row>
    <row r="32" spans="1:14" ht="16" customHeight="1">
      <c r="A32" s="71"/>
      <c r="B32" s="3"/>
      <c r="C32" s="153" t="s">
        <v>80</v>
      </c>
      <c r="D32" s="16" t="s">
        <v>34</v>
      </c>
      <c r="E32" s="4">
        <v>18</v>
      </c>
      <c r="F32" s="3"/>
      <c r="G32" s="5">
        <v>0</v>
      </c>
      <c r="H32" s="80">
        <f t="shared" si="8"/>
        <v>0</v>
      </c>
      <c r="I32" s="80">
        <f t="shared" si="0"/>
        <v>0</v>
      </c>
      <c r="J32" s="3"/>
      <c r="K32" s="5">
        <v>6</v>
      </c>
      <c r="L32" s="80">
        <f t="shared" si="9"/>
        <v>108</v>
      </c>
      <c r="M32" s="80">
        <f t="shared" si="1"/>
        <v>0.108</v>
      </c>
      <c r="N32" s="3"/>
    </row>
    <row r="33" spans="1:17" ht="16" customHeight="1">
      <c r="A33" s="71"/>
      <c r="B33" s="3" t="s">
        <v>36</v>
      </c>
      <c r="C33" s="153"/>
      <c r="D33" s="16"/>
      <c r="E33" s="24"/>
      <c r="F33" s="3"/>
      <c r="G33" s="81"/>
      <c r="H33" s="80"/>
      <c r="I33" s="80"/>
      <c r="J33" s="3"/>
      <c r="K33" s="81"/>
      <c r="L33" s="80"/>
      <c r="M33" s="80"/>
      <c r="N33" s="3"/>
    </row>
    <row r="34" spans="1:17" ht="16" customHeight="1">
      <c r="A34" s="71"/>
      <c r="B34" s="3"/>
      <c r="C34" s="153" t="s">
        <v>78</v>
      </c>
      <c r="D34" s="16" t="s">
        <v>6</v>
      </c>
      <c r="E34" s="4">
        <v>0.39</v>
      </c>
      <c r="F34" s="3"/>
      <c r="G34" s="5">
        <v>0</v>
      </c>
      <c r="H34" s="80">
        <f t="shared" si="8"/>
        <v>0</v>
      </c>
      <c r="I34" s="80">
        <f t="shared" si="0"/>
        <v>0</v>
      </c>
      <c r="J34" s="3"/>
      <c r="K34" s="5">
        <v>542</v>
      </c>
      <c r="L34" s="80">
        <f t="shared" si="9"/>
        <v>211.38</v>
      </c>
      <c r="M34" s="80">
        <f t="shared" si="1"/>
        <v>0.21137999999999998</v>
      </c>
      <c r="N34" s="3"/>
    </row>
    <row r="35" spans="1:17" ht="16" customHeight="1">
      <c r="A35" s="71"/>
      <c r="B35" s="3"/>
      <c r="C35" s="153" t="s">
        <v>99</v>
      </c>
      <c r="D35" s="16" t="s">
        <v>6</v>
      </c>
      <c r="E35" s="4">
        <v>1.35</v>
      </c>
      <c r="F35" s="3"/>
      <c r="G35" s="5">
        <v>0</v>
      </c>
      <c r="H35" s="80">
        <f t="shared" si="8"/>
        <v>0</v>
      </c>
      <c r="I35" s="80">
        <f t="shared" si="0"/>
        <v>0</v>
      </c>
      <c r="J35" s="3"/>
      <c r="K35" s="5">
        <v>68</v>
      </c>
      <c r="L35" s="80">
        <f t="shared" si="9"/>
        <v>91.800000000000011</v>
      </c>
      <c r="M35" s="80">
        <f t="shared" si="1"/>
        <v>9.1800000000000007E-2</v>
      </c>
      <c r="N35" s="3"/>
    </row>
    <row r="36" spans="1:17" ht="16" customHeight="1">
      <c r="A36" s="71"/>
      <c r="B36" s="3" t="s">
        <v>104</v>
      </c>
      <c r="C36" s="153"/>
      <c r="D36" s="16" t="s">
        <v>105</v>
      </c>
      <c r="E36" s="4">
        <v>5</v>
      </c>
      <c r="F36" s="3"/>
      <c r="G36" s="5">
        <v>1</v>
      </c>
      <c r="H36" s="80">
        <f t="shared" si="8"/>
        <v>5</v>
      </c>
      <c r="I36" s="80">
        <f t="shared" si="0"/>
        <v>5.0000000000000001E-3</v>
      </c>
      <c r="J36" s="3"/>
      <c r="K36" s="5">
        <v>0</v>
      </c>
      <c r="L36" s="80">
        <f t="shared" si="9"/>
        <v>0</v>
      </c>
      <c r="M36" s="80">
        <f t="shared" si="1"/>
        <v>0</v>
      </c>
      <c r="N36" s="3"/>
    </row>
    <row r="37" spans="1:17" ht="16" customHeight="1">
      <c r="A37" s="71"/>
      <c r="B37" s="3" t="s">
        <v>102</v>
      </c>
      <c r="C37" s="153"/>
      <c r="D37" s="16" t="s">
        <v>103</v>
      </c>
      <c r="E37" s="24"/>
      <c r="F37" s="3"/>
      <c r="G37" s="81"/>
      <c r="H37" s="106">
        <v>3.25</v>
      </c>
      <c r="I37" s="80"/>
      <c r="J37" s="3"/>
      <c r="K37" s="81"/>
      <c r="L37" s="106">
        <v>0</v>
      </c>
      <c r="M37" s="80"/>
      <c r="N37" s="3"/>
    </row>
    <row r="38" spans="1:17" ht="16" customHeight="1">
      <c r="A38" s="71"/>
      <c r="B38" s="3" t="s">
        <v>37</v>
      </c>
      <c r="C38" s="3"/>
      <c r="D38" s="82" t="s">
        <v>33</v>
      </c>
      <c r="E38" s="6">
        <v>0.1</v>
      </c>
      <c r="F38" s="83"/>
      <c r="G38" s="80">
        <f>H6</f>
        <v>0</v>
      </c>
      <c r="H38" s="80">
        <f>G38*E38</f>
        <v>0</v>
      </c>
      <c r="I38" s="80">
        <f t="shared" si="0"/>
        <v>0</v>
      </c>
      <c r="J38" s="3"/>
      <c r="K38" s="80">
        <f>L6</f>
        <v>3909.6251999999999</v>
      </c>
      <c r="L38" s="80">
        <f>K38*E38</f>
        <v>390.96252000000004</v>
      </c>
      <c r="M38" s="80">
        <f t="shared" si="1"/>
        <v>0.39096252000000004</v>
      </c>
      <c r="N38" s="3"/>
      <c r="Q38" s="68"/>
    </row>
    <row r="39" spans="1:17" ht="16" customHeight="1">
      <c r="A39" s="71"/>
      <c r="B39" s="3" t="s">
        <v>41</v>
      </c>
      <c r="C39" s="3"/>
      <c r="D39" s="16" t="s">
        <v>9</v>
      </c>
      <c r="E39" s="7">
        <v>7.7499999999999999E-2</v>
      </c>
      <c r="F39" s="3"/>
      <c r="G39" s="81"/>
      <c r="H39" s="77">
        <f>SUM(H9:H38)*$E$39*G43/12</f>
        <v>21.948930000000004</v>
      </c>
      <c r="I39" s="77">
        <f t="shared" si="0"/>
        <v>2.1948930000000005E-2</v>
      </c>
      <c r="J39" s="3"/>
      <c r="K39" s="81"/>
      <c r="L39" s="77">
        <f>SUM(L9:L38)*$E$39*K43/12</f>
        <v>50.054247650000001</v>
      </c>
      <c r="M39" s="77">
        <f t="shared" si="1"/>
        <v>5.0054247650000001E-2</v>
      </c>
      <c r="N39" s="3"/>
    </row>
    <row r="40" spans="1:17" ht="16" customHeight="1">
      <c r="C40" s="79" t="s">
        <v>16</v>
      </c>
      <c r="D40" s="16"/>
      <c r="E40" s="3"/>
      <c r="F40" s="3"/>
      <c r="G40" s="84"/>
      <c r="H40" s="80">
        <f>SUM(H9:H39)</f>
        <v>588.37293000000011</v>
      </c>
      <c r="I40" s="80">
        <f t="shared" si="0"/>
        <v>0.58837293000000013</v>
      </c>
      <c r="J40" s="80"/>
      <c r="K40" s="80"/>
      <c r="L40" s="80">
        <f>SUM(L9:L39)</f>
        <v>1341.77676765</v>
      </c>
      <c r="M40" s="80">
        <f t="shared" si="1"/>
        <v>1.3417767676500001</v>
      </c>
      <c r="N40" s="80"/>
    </row>
    <row r="41" spans="1:17" ht="8.15" customHeight="1">
      <c r="C41" s="79"/>
      <c r="D41" s="16"/>
      <c r="E41" s="3"/>
      <c r="F41" s="3"/>
      <c r="G41" s="84"/>
      <c r="H41" s="80"/>
      <c r="I41" s="80"/>
      <c r="J41" s="80"/>
      <c r="K41" s="80"/>
      <c r="L41" s="80"/>
      <c r="M41" s="80"/>
      <c r="N41" s="80"/>
    </row>
    <row r="42" spans="1:17" ht="35.15" customHeight="1">
      <c r="B42" s="72" t="s">
        <v>17</v>
      </c>
      <c r="C42" s="72"/>
      <c r="D42" s="73" t="s">
        <v>3</v>
      </c>
      <c r="E42" s="74" t="s">
        <v>4</v>
      </c>
      <c r="F42" s="75"/>
      <c r="G42" s="74" t="s">
        <v>5</v>
      </c>
      <c r="H42" s="74" t="str">
        <f>H4</f>
        <v>Dollars per 
1,000 sq. ft.</v>
      </c>
      <c r="I42" s="74" t="s">
        <v>77</v>
      </c>
      <c r="J42" s="76"/>
      <c r="K42" s="74" t="s">
        <v>5</v>
      </c>
      <c r="L42" s="74" t="str">
        <f>H4</f>
        <v>Dollars per 
1,000 sq. ft.</v>
      </c>
      <c r="M42" s="74" t="s">
        <v>77</v>
      </c>
      <c r="N42" s="76"/>
    </row>
    <row r="43" spans="1:17" ht="16" customHeight="1">
      <c r="B43" s="3" t="s">
        <v>57</v>
      </c>
      <c r="C43" s="3"/>
      <c r="D43" s="16" t="s">
        <v>58</v>
      </c>
      <c r="E43" s="80">
        <f>(K72/(10*12))*(D56/D55)</f>
        <v>72.732000356827555</v>
      </c>
      <c r="F43" s="3"/>
      <c r="G43" s="5">
        <v>6</v>
      </c>
      <c r="H43" s="78">
        <f>$E43*G43</f>
        <v>436.39200214096536</v>
      </c>
      <c r="I43" s="78">
        <f>H43/1000</f>
        <v>0.43639200214096535</v>
      </c>
      <c r="J43" s="3"/>
      <c r="K43" s="5">
        <v>6</v>
      </c>
      <c r="L43" s="78">
        <f>$E43*K43</f>
        <v>436.39200214096536</v>
      </c>
      <c r="M43" s="78">
        <f>L43/1000</f>
        <v>0.43639200214096535</v>
      </c>
      <c r="N43" s="3"/>
    </row>
    <row r="44" spans="1:17" ht="16" customHeight="1">
      <c r="C44" s="79" t="s">
        <v>18</v>
      </c>
      <c r="D44"/>
      <c r="E44" s="3"/>
      <c r="F44" s="3"/>
      <c r="G44" s="3"/>
      <c r="H44" s="80">
        <f>SUM(H43:H43)</f>
        <v>436.39200214096536</v>
      </c>
      <c r="I44" s="80"/>
      <c r="J44" s="3"/>
      <c r="K44" s="3"/>
      <c r="L44" s="80">
        <f>SUM(L43:L43)</f>
        <v>436.39200214096536</v>
      </c>
      <c r="M44" s="80"/>
      <c r="N44" s="3"/>
    </row>
    <row r="45" spans="1:17" ht="8.15" customHeight="1">
      <c r="C45" s="79"/>
      <c r="D45"/>
      <c r="E45" s="3"/>
      <c r="F45" s="3"/>
      <c r="G45" s="3"/>
      <c r="H45" s="80"/>
      <c r="I45" s="80"/>
      <c r="J45" s="3"/>
      <c r="K45" s="3"/>
      <c r="L45" s="80"/>
      <c r="M45" s="80"/>
      <c r="N45" s="3"/>
    </row>
    <row r="46" spans="1:17" ht="16" customHeight="1">
      <c r="C46" s="79" t="s">
        <v>10</v>
      </c>
      <c r="D46"/>
      <c r="E46" s="3"/>
      <c r="F46" s="3"/>
      <c r="G46" s="3"/>
      <c r="H46" s="80">
        <f>H40+H44</f>
        <v>1024.7649321409654</v>
      </c>
      <c r="I46" s="80">
        <f t="shared" ref="I46" si="10">H46/1000</f>
        <v>1.0247649321409653</v>
      </c>
      <c r="J46" s="80"/>
      <c r="K46" s="80"/>
      <c r="L46" s="80">
        <f>L40+L44</f>
        <v>1778.1687697909654</v>
      </c>
      <c r="M46" s="80">
        <f>L46/1000</f>
        <v>1.7781687697909654</v>
      </c>
      <c r="N46" s="80"/>
    </row>
    <row r="47" spans="1:17" ht="16" customHeight="1">
      <c r="B47" s="85"/>
      <c r="C47" s="86"/>
      <c r="D47" s="8"/>
      <c r="E47" s="87"/>
      <c r="F47" s="87"/>
      <c r="G47" s="87"/>
      <c r="H47" s="77"/>
      <c r="I47" s="77"/>
      <c r="J47" s="77"/>
      <c r="K47" s="77"/>
      <c r="L47" s="77"/>
      <c r="M47" s="77"/>
      <c r="N47" s="80"/>
    </row>
    <row r="48" spans="1:17" ht="16" customHeight="1">
      <c r="B48" s="88" t="s">
        <v>19</v>
      </c>
      <c r="C48" s="89"/>
      <c r="D48" s="79"/>
      <c r="E48" s="3"/>
      <c r="F48" s="3"/>
      <c r="G48" s="3"/>
      <c r="H48" s="80">
        <f>H6-H40</f>
        <v>-588.37293000000011</v>
      </c>
      <c r="I48" s="80">
        <f>I5-I40</f>
        <v>-0.58837293000000013</v>
      </c>
      <c r="J48" s="80"/>
      <c r="K48" s="80"/>
      <c r="L48" s="80">
        <f>L6-L40</f>
        <v>2567.8484323499997</v>
      </c>
      <c r="M48" s="80">
        <f>M5-M40</f>
        <v>2.5678484323499999</v>
      </c>
      <c r="N48" s="80"/>
    </row>
    <row r="49" spans="2:16" ht="16" customHeight="1" thickBot="1">
      <c r="B49" s="90" t="s">
        <v>11</v>
      </c>
      <c r="C49" s="91"/>
      <c r="D49" s="92"/>
      <c r="E49" s="93"/>
      <c r="F49" s="93"/>
      <c r="G49" s="93"/>
      <c r="H49" s="94">
        <f>H6-H46</f>
        <v>-1024.7649321409654</v>
      </c>
      <c r="I49" s="94">
        <f>I5-I46</f>
        <v>-1.0247649321409653</v>
      </c>
      <c r="J49" s="94"/>
      <c r="K49" s="94"/>
      <c r="L49" s="94">
        <f>L6-L46</f>
        <v>2131.4564302090348</v>
      </c>
      <c r="M49" s="94">
        <f>M5-M46</f>
        <v>2.1314564302090346</v>
      </c>
      <c r="N49" s="80"/>
    </row>
    <row r="50" spans="2:16" ht="16" thickTop="1">
      <c r="B50" s="151" t="s">
        <v>114</v>
      </c>
      <c r="C50" s="151"/>
      <c r="D50" s="151"/>
      <c r="E50" s="151"/>
      <c r="F50" s="151"/>
      <c r="G50" s="151"/>
      <c r="H50" s="151"/>
      <c r="I50" s="151"/>
      <c r="J50" s="151"/>
      <c r="K50" s="151"/>
      <c r="L50" s="151"/>
      <c r="M50" s="95"/>
      <c r="N50" s="16"/>
      <c r="O50" s="16"/>
      <c r="P50" s="16"/>
    </row>
    <row r="51" spans="2:16" ht="15.5">
      <c r="B51" s="170" t="s">
        <v>118</v>
      </c>
      <c r="C51" s="170"/>
      <c r="D51" s="170"/>
      <c r="E51" s="170"/>
      <c r="F51" s="170"/>
      <c r="G51" s="170"/>
      <c r="H51" s="170"/>
      <c r="I51" s="170"/>
      <c r="J51" s="170"/>
      <c r="K51" s="170"/>
      <c r="L51" s="170"/>
      <c r="M51" s="95"/>
      <c r="N51" s="16"/>
      <c r="O51" s="16"/>
      <c r="P51" s="16"/>
    </row>
    <row r="52" spans="2:16" ht="16" customHeight="1">
      <c r="B52" s="95"/>
      <c r="C52" s="95"/>
      <c r="D52" s="95"/>
      <c r="E52" s="95"/>
      <c r="F52" s="95"/>
      <c r="G52" s="95"/>
      <c r="H52" s="95"/>
      <c r="I52" s="95"/>
      <c r="J52" s="95"/>
      <c r="K52" s="95"/>
      <c r="L52" s="95"/>
      <c r="M52" s="95"/>
      <c r="N52" s="16"/>
      <c r="O52" s="16"/>
      <c r="P52" s="16"/>
    </row>
    <row r="53" spans="2:16" ht="16" customHeight="1">
      <c r="B53" s="2" t="s">
        <v>107</v>
      </c>
      <c r="C53"/>
      <c r="D53"/>
      <c r="E53"/>
      <c r="F53" s="95"/>
      <c r="G53" s="95"/>
      <c r="H53" s="95"/>
      <c r="I53" s="95"/>
      <c r="J53" s="95"/>
      <c r="K53" s="95"/>
      <c r="L53" s="95"/>
      <c r="M53" s="95"/>
      <c r="N53" s="16"/>
      <c r="O53" s="16"/>
      <c r="P53" s="16"/>
    </row>
    <row r="54" spans="2:16" ht="16" customHeight="1">
      <c r="B54" s="109"/>
      <c r="C54" s="109"/>
      <c r="D54" s="109" t="s">
        <v>108</v>
      </c>
      <c r="E54" s="109" t="s">
        <v>3</v>
      </c>
      <c r="F54" s="95"/>
      <c r="G54" s="95"/>
      <c r="H54" s="95"/>
      <c r="I54" s="95"/>
      <c r="J54" s="95"/>
      <c r="K54" s="95"/>
      <c r="L54" s="95"/>
      <c r="M54" s="95"/>
      <c r="N54" s="16"/>
      <c r="O54" s="16"/>
      <c r="P54" s="16"/>
    </row>
    <row r="55" spans="2:16" ht="16" customHeight="1">
      <c r="B55" t="s">
        <v>109</v>
      </c>
      <c r="C55"/>
      <c r="D55" s="110">
        <v>2000</v>
      </c>
      <c r="E55" s="16" t="s">
        <v>110</v>
      </c>
      <c r="F55" s="95"/>
      <c r="G55" s="95"/>
      <c r="H55" s="95"/>
      <c r="I55" s="95"/>
      <c r="J55" s="95"/>
      <c r="K55" s="95"/>
      <c r="L55" s="95"/>
      <c r="M55" s="95"/>
      <c r="N55" s="16"/>
      <c r="O55" s="16"/>
      <c r="P55" s="16"/>
    </row>
    <row r="56" spans="2:16" ht="16" customHeight="1">
      <c r="B56" t="s">
        <v>111</v>
      </c>
      <c r="C56"/>
      <c r="D56" s="110">
        <v>1000</v>
      </c>
      <c r="E56" s="16" t="s">
        <v>110</v>
      </c>
      <c r="F56"/>
      <c r="G56"/>
      <c r="H56"/>
      <c r="I56"/>
      <c r="J56"/>
      <c r="K56"/>
      <c r="L56"/>
      <c r="M56"/>
      <c r="N56"/>
    </row>
    <row r="57" spans="2:16" ht="16" customHeight="1">
      <c r="B57"/>
      <c r="C57"/>
      <c r="D57"/>
      <c r="E57"/>
      <c r="F57"/>
      <c r="G57"/>
      <c r="H57"/>
      <c r="I57"/>
      <c r="J57"/>
      <c r="K57"/>
      <c r="L57"/>
      <c r="M57"/>
      <c r="N57"/>
    </row>
    <row r="58" spans="2:16" ht="16" customHeight="1">
      <c r="B58" s="152" t="s">
        <v>119</v>
      </c>
      <c r="C58" s="2"/>
      <c r="D58" s="2"/>
      <c r="E58" s="96"/>
      <c r="F58" s="97"/>
      <c r="G58" s="97"/>
      <c r="H58" s="96"/>
      <c r="I58" s="96"/>
      <c r="J58" s="98"/>
      <c r="K58"/>
      <c r="L58"/>
      <c r="M58"/>
      <c r="N58"/>
    </row>
    <row r="59" spans="2:16" ht="16" customHeight="1">
      <c r="B59" s="99" t="s">
        <v>59</v>
      </c>
      <c r="C59" s="99"/>
      <c r="D59" s="100" t="s">
        <v>35</v>
      </c>
      <c r="E59" s="100" t="s">
        <v>46</v>
      </c>
      <c r="F59" s="101"/>
      <c r="G59" s="102" t="s">
        <v>60</v>
      </c>
      <c r="H59" s="102" t="s">
        <v>61</v>
      </c>
      <c r="I59" s="100" t="s">
        <v>62</v>
      </c>
      <c r="J59" s="101"/>
      <c r="K59" s="100" t="s">
        <v>63</v>
      </c>
      <c r="M59" s="103"/>
      <c r="N59"/>
    </row>
    <row r="60" spans="2:16" ht="16" customHeight="1">
      <c r="B60" s="149" t="s">
        <v>64</v>
      </c>
      <c r="C60" s="149"/>
      <c r="D60" s="42">
        <v>393.2978984857732</v>
      </c>
      <c r="E60" s="42">
        <v>86.064129503346848</v>
      </c>
      <c r="G60" s="43">
        <v>0</v>
      </c>
      <c r="H60" s="44">
        <f t="shared" ref="H60:H72" si="11">SUM(D60:G60)</f>
        <v>479.36202798912007</v>
      </c>
      <c r="I60" s="45">
        <v>10</v>
      </c>
      <c r="K60" s="46">
        <f t="shared" ref="K60:K71" si="12">H60/(I60/10)</f>
        <v>479.36202798912007</v>
      </c>
      <c r="M60" s="46"/>
      <c r="N60"/>
    </row>
    <row r="61" spans="2:16" ht="16" customHeight="1">
      <c r="B61" s="148" t="s">
        <v>65</v>
      </c>
      <c r="C61" s="148"/>
      <c r="D61" s="42">
        <v>17.849751209722509</v>
      </c>
      <c r="E61" s="42">
        <v>0</v>
      </c>
      <c r="G61" s="42">
        <v>133.34510624228753</v>
      </c>
      <c r="H61" s="44">
        <f t="shared" si="11"/>
        <v>151.19485745201004</v>
      </c>
      <c r="I61" s="45">
        <v>10</v>
      </c>
      <c r="K61" s="46">
        <f t="shared" si="12"/>
        <v>151.19485745201004</v>
      </c>
      <c r="M61" s="46"/>
      <c r="N61"/>
    </row>
    <row r="62" spans="2:16" ht="16" customHeight="1">
      <c r="B62" s="184" t="s">
        <v>66</v>
      </c>
      <c r="C62" s="184"/>
      <c r="D62" s="42">
        <v>356.89446221580391</v>
      </c>
      <c r="E62" s="42">
        <v>196.20403696654191</v>
      </c>
      <c r="G62" s="47">
        <v>281.62486438371127</v>
      </c>
      <c r="H62" s="44">
        <f t="shared" si="11"/>
        <v>834.72336356605706</v>
      </c>
      <c r="I62" s="45">
        <v>10</v>
      </c>
      <c r="K62" s="46">
        <f t="shared" si="12"/>
        <v>834.72336356605706</v>
      </c>
      <c r="M62" s="46"/>
      <c r="N62"/>
    </row>
    <row r="63" spans="2:16" ht="16" customHeight="1">
      <c r="B63" s="184" t="s">
        <v>67</v>
      </c>
      <c r="C63" s="184"/>
      <c r="D63" s="42">
        <v>356.89446221580391</v>
      </c>
      <c r="E63" s="42">
        <v>0</v>
      </c>
      <c r="G63" s="42">
        <v>9399.2298488063643</v>
      </c>
      <c r="H63" s="44">
        <f t="shared" si="11"/>
        <v>9756.1243110221676</v>
      </c>
      <c r="I63" s="45">
        <v>10</v>
      </c>
      <c r="K63" s="46">
        <f t="shared" si="12"/>
        <v>9756.1243110221676</v>
      </c>
      <c r="M63" s="46"/>
      <c r="N63"/>
    </row>
    <row r="64" spans="2:16" ht="16" customHeight="1">
      <c r="B64" s="184" t="s">
        <v>68</v>
      </c>
      <c r="C64" s="184"/>
      <c r="D64" s="42">
        <v>118.9648207386013</v>
      </c>
      <c r="E64" s="42">
        <v>0</v>
      </c>
      <c r="G64" s="42">
        <v>159.53408510827282</v>
      </c>
      <c r="H64" s="44">
        <f t="shared" si="11"/>
        <v>278.4989058468741</v>
      </c>
      <c r="I64" s="45">
        <v>10</v>
      </c>
      <c r="K64" s="46">
        <f t="shared" si="12"/>
        <v>278.4989058468741</v>
      </c>
      <c r="M64" s="46"/>
      <c r="N64"/>
    </row>
    <row r="65" spans="2:15" ht="16" customHeight="1">
      <c r="B65" s="184" t="s">
        <v>69</v>
      </c>
      <c r="C65" s="184"/>
      <c r="D65" s="42">
        <v>594.82410369300646</v>
      </c>
      <c r="E65" s="42">
        <v>0</v>
      </c>
      <c r="G65" s="42">
        <v>449.37300803650896</v>
      </c>
      <c r="H65" s="44">
        <f t="shared" si="11"/>
        <v>1044.1971117295154</v>
      </c>
      <c r="I65" s="45">
        <v>10</v>
      </c>
      <c r="K65" s="46">
        <f t="shared" si="12"/>
        <v>1044.1971117295154</v>
      </c>
      <c r="M65" s="46"/>
      <c r="N65"/>
    </row>
    <row r="66" spans="2:15" ht="16" customHeight="1">
      <c r="B66" s="184" t="s">
        <v>70</v>
      </c>
      <c r="C66" s="184"/>
      <c r="D66" s="42">
        <v>118.9648207386013</v>
      </c>
      <c r="E66" s="42">
        <v>0</v>
      </c>
      <c r="G66" s="42">
        <v>874.74389694940623</v>
      </c>
      <c r="H66" s="44">
        <f t="shared" si="11"/>
        <v>993.70871768800748</v>
      </c>
      <c r="I66" s="45">
        <v>3</v>
      </c>
      <c r="K66" s="46">
        <f t="shared" si="12"/>
        <v>3312.3623922933584</v>
      </c>
      <c r="M66" s="46"/>
      <c r="N66"/>
    </row>
    <row r="67" spans="2:15" ht="16" customHeight="1">
      <c r="B67" s="184" t="s">
        <v>71</v>
      </c>
      <c r="C67" s="184"/>
      <c r="D67" s="42">
        <v>29.741205184650326</v>
      </c>
      <c r="E67" s="42">
        <v>0</v>
      </c>
      <c r="G67" s="42">
        <v>0</v>
      </c>
      <c r="H67" s="44">
        <f t="shared" si="11"/>
        <v>29.741205184650326</v>
      </c>
      <c r="I67" s="45">
        <v>10</v>
      </c>
      <c r="K67" s="46">
        <f t="shared" si="12"/>
        <v>29.741205184650326</v>
      </c>
      <c r="M67" s="46"/>
      <c r="N67"/>
    </row>
    <row r="68" spans="2:15" ht="16" customHeight="1">
      <c r="B68" s="184" t="s">
        <v>72</v>
      </c>
      <c r="C68" s="184"/>
      <c r="D68" s="42">
        <v>0</v>
      </c>
      <c r="E68" s="47">
        <v>0</v>
      </c>
      <c r="G68" s="42">
        <v>816.0720502027998</v>
      </c>
      <c r="H68" s="44">
        <f t="shared" si="11"/>
        <v>816.0720502027998</v>
      </c>
      <c r="I68" s="45">
        <v>10</v>
      </c>
      <c r="K68" s="46">
        <f t="shared" si="12"/>
        <v>816.0720502027998</v>
      </c>
      <c r="M68" s="46"/>
      <c r="N68"/>
    </row>
    <row r="69" spans="2:15" ht="16" customHeight="1">
      <c r="B69" s="48" t="s">
        <v>73</v>
      </c>
      <c r="C69" s="48"/>
      <c r="D69" s="42">
        <v>178.44723110790196</v>
      </c>
      <c r="E69" s="42">
        <v>0</v>
      </c>
      <c r="G69" s="42">
        <v>295.09272011418238</v>
      </c>
      <c r="H69" s="44">
        <f t="shared" si="11"/>
        <v>473.53995122208437</v>
      </c>
      <c r="I69" s="45">
        <v>10</v>
      </c>
      <c r="K69" s="46">
        <f t="shared" si="12"/>
        <v>473.53995122208437</v>
      </c>
      <c r="M69" s="46"/>
      <c r="N69"/>
    </row>
    <row r="70" spans="2:15" ht="16" customHeight="1">
      <c r="B70" s="48" t="s">
        <v>74</v>
      </c>
      <c r="C70" s="48"/>
      <c r="D70" s="42">
        <v>146.51880288769411</v>
      </c>
      <c r="E70" s="42">
        <v>0</v>
      </c>
      <c r="G70" s="42">
        <v>0</v>
      </c>
      <c r="H70" s="44">
        <f t="shared" si="11"/>
        <v>146.51880288769411</v>
      </c>
      <c r="I70" s="45">
        <v>10</v>
      </c>
      <c r="K70" s="46">
        <f t="shared" si="12"/>
        <v>146.51880288769411</v>
      </c>
      <c r="M70" s="46"/>
      <c r="N70"/>
    </row>
    <row r="71" spans="2:15" ht="16" customHeight="1">
      <c r="B71" s="185" t="s">
        <v>75</v>
      </c>
      <c r="C71" s="185"/>
      <c r="D71" s="49">
        <v>0</v>
      </c>
      <c r="E71" s="49">
        <v>0</v>
      </c>
      <c r="G71" s="49">
        <v>133.34510624228753</v>
      </c>
      <c r="H71" s="50">
        <f t="shared" si="11"/>
        <v>133.34510624228753</v>
      </c>
      <c r="I71" s="51">
        <v>10</v>
      </c>
      <c r="K71" s="52">
        <f t="shared" si="12"/>
        <v>133.34510624228753</v>
      </c>
      <c r="M71" s="46"/>
      <c r="N71"/>
    </row>
    <row r="72" spans="2:15" ht="16" customHeight="1">
      <c r="B72" s="98"/>
      <c r="C72" s="103" t="s">
        <v>61</v>
      </c>
      <c r="D72" s="46">
        <f>SUM(D60:D71)</f>
        <v>2312.397558477559</v>
      </c>
      <c r="E72" s="46">
        <f t="shared" ref="E72" si="13">SUM(E60:E71)</f>
        <v>282.26816646988874</v>
      </c>
      <c r="F72" s="104"/>
      <c r="G72" s="46">
        <f>SUM(G60:G71)</f>
        <v>12542.360686085822</v>
      </c>
      <c r="H72" s="44">
        <f t="shared" si="11"/>
        <v>15137.02641103327</v>
      </c>
      <c r="I72" s="44"/>
      <c r="J72" s="104"/>
      <c r="K72" s="46">
        <f>SUM(K60:K71)</f>
        <v>17455.680085638614</v>
      </c>
      <c r="M72" s="46"/>
      <c r="N72"/>
    </row>
    <row r="73" spans="2:15" ht="16" customHeight="1">
      <c r="B73" s="8"/>
      <c r="C73" s="54" t="s">
        <v>76</v>
      </c>
      <c r="D73" s="105">
        <f>D72/$D$55</f>
        <v>1.1561987792387796</v>
      </c>
      <c r="E73" s="105">
        <f t="shared" ref="E73:K73" si="14">E72/$D$55</f>
        <v>0.14113408323494436</v>
      </c>
      <c r="F73" s="105">
        <f t="shared" si="14"/>
        <v>0</v>
      </c>
      <c r="G73" s="105">
        <f t="shared" si="14"/>
        <v>6.2711803430429107</v>
      </c>
      <c r="H73" s="105">
        <f t="shared" si="14"/>
        <v>7.5685132055166351</v>
      </c>
      <c r="I73" s="105"/>
      <c r="J73" s="105"/>
      <c r="K73" s="105">
        <f t="shared" si="14"/>
        <v>8.7278400428193077</v>
      </c>
      <c r="M73" s="65"/>
      <c r="N73"/>
    </row>
    <row r="74" spans="2:15" ht="16" hidden="1" customHeight="1">
      <c r="B74" s="35"/>
      <c r="C74" s="35"/>
      <c r="D74"/>
      <c r="E74"/>
      <c r="F74"/>
      <c r="G74"/>
      <c r="H74"/>
      <c r="I74"/>
      <c r="J74"/>
      <c r="K74"/>
      <c r="L74"/>
      <c r="M74"/>
      <c r="N74"/>
    </row>
    <row r="75" spans="2:15" ht="16" hidden="1" customHeight="1">
      <c r="B75"/>
      <c r="C75"/>
      <c r="D75"/>
      <c r="E75" s="58"/>
      <c r="F75" s="59"/>
      <c r="G75" s="59"/>
      <c r="H75" s="58"/>
      <c r="I75" s="58"/>
      <c r="K75"/>
      <c r="L75"/>
      <c r="M75"/>
      <c r="N75"/>
      <c r="O75"/>
    </row>
    <row r="76" spans="2:15" ht="16" hidden="1" customHeight="1">
      <c r="B76" s="16"/>
      <c r="C76" s="16"/>
      <c r="D76" s="60"/>
      <c r="E76" s="60"/>
      <c r="G76" s="61"/>
      <c r="H76" s="61"/>
      <c r="I76" s="61"/>
      <c r="K76" s="60"/>
      <c r="L76" s="60"/>
      <c r="M76" s="60"/>
      <c r="N76" s="62"/>
    </row>
    <row r="77" spans="2:15" ht="16" hidden="1" customHeight="1">
      <c r="B77" s="168"/>
      <c r="C77" s="168"/>
      <c r="D77" s="63"/>
      <c r="E77" s="63"/>
      <c r="G77" s="56"/>
      <c r="H77" s="57"/>
      <c r="I77" s="57"/>
      <c r="K77" s="64"/>
      <c r="L77" s="65"/>
      <c r="M77" s="65"/>
      <c r="N77" s="62"/>
    </row>
    <row r="78" spans="2:15" ht="16" hidden="1" customHeight="1">
      <c r="B78" s="168"/>
      <c r="C78" s="168"/>
      <c r="D78" s="63"/>
      <c r="E78" s="63"/>
      <c r="G78" s="63"/>
      <c r="H78" s="57"/>
      <c r="I78" s="57"/>
      <c r="K78" s="64"/>
      <c r="L78" s="65"/>
      <c r="M78" s="65"/>
      <c r="N78" s="62"/>
    </row>
    <row r="79" spans="2:15" ht="16" hidden="1" customHeight="1">
      <c r="B79" s="168"/>
      <c r="C79" s="168"/>
      <c r="D79" s="63"/>
      <c r="E79" s="63"/>
      <c r="G79" s="66"/>
      <c r="H79" s="57"/>
      <c r="I79" s="57"/>
      <c r="K79" s="64"/>
      <c r="L79" s="65"/>
      <c r="M79" s="65"/>
      <c r="N79" s="67"/>
    </row>
    <row r="80" spans="2:15" ht="16" hidden="1" customHeight="1">
      <c r="B80" s="168"/>
      <c r="C80" s="168"/>
      <c r="D80" s="63"/>
      <c r="E80" s="63"/>
      <c r="G80" s="63"/>
      <c r="H80" s="57"/>
      <c r="I80" s="57"/>
      <c r="K80" s="64"/>
      <c r="L80" s="65"/>
      <c r="M80" s="65"/>
      <c r="N80" s="67"/>
    </row>
    <row r="81" spans="2:14" ht="16" hidden="1" customHeight="1">
      <c r="B81" s="168"/>
      <c r="C81" s="168"/>
      <c r="D81" s="63"/>
      <c r="E81" s="63"/>
      <c r="G81" s="63"/>
      <c r="H81" s="57"/>
      <c r="I81" s="57"/>
      <c r="K81" s="64"/>
      <c r="L81" s="65"/>
      <c r="M81" s="65"/>
      <c r="N81"/>
    </row>
    <row r="82" spans="2:14" ht="16" hidden="1" customHeight="1">
      <c r="B82" s="168"/>
      <c r="C82" s="168"/>
      <c r="D82" s="63"/>
      <c r="E82" s="63"/>
      <c r="G82" s="63"/>
      <c r="H82" s="57"/>
      <c r="I82" s="57"/>
      <c r="K82" s="64"/>
      <c r="L82" s="65"/>
      <c r="M82" s="65"/>
      <c r="N82"/>
    </row>
    <row r="83" spans="2:14" ht="15.5" hidden="1">
      <c r="B83" s="168"/>
      <c r="C83" s="168"/>
      <c r="D83" s="63"/>
      <c r="E83" s="63"/>
      <c r="G83" s="63"/>
      <c r="H83" s="57"/>
      <c r="I83" s="57"/>
      <c r="K83" s="64"/>
      <c r="L83" s="65"/>
      <c r="M83" s="65"/>
      <c r="N83"/>
    </row>
    <row r="84" spans="2:14" ht="0" hidden="1" customHeight="1">
      <c r="B84" s="165" t="s">
        <v>71</v>
      </c>
      <c r="C84" s="165"/>
      <c r="D84" s="42">
        <v>29.741205184650326</v>
      </c>
      <c r="E84" s="42">
        <v>0</v>
      </c>
      <c r="F84" s="42">
        <v>0</v>
      </c>
      <c r="G84" s="44">
        <f t="shared" ref="G84:G89" si="15">SUM(D84:F84)</f>
        <v>29.741205184650326</v>
      </c>
      <c r="H84" s="45">
        <v>10</v>
      </c>
      <c r="I84" s="45"/>
      <c r="J84" s="46">
        <f t="shared" ref="J84:J88" si="16">G84/(H84/10)</f>
        <v>29.741205184650326</v>
      </c>
    </row>
    <row r="85" spans="2:14" ht="0" hidden="1" customHeight="1">
      <c r="B85" s="165" t="s">
        <v>72</v>
      </c>
      <c r="C85" s="165"/>
      <c r="D85" s="42">
        <v>0</v>
      </c>
      <c r="E85" s="47">
        <v>0</v>
      </c>
      <c r="F85" s="42">
        <v>816.0720502027998</v>
      </c>
      <c r="G85" s="44">
        <f t="shared" si="15"/>
        <v>816.0720502027998</v>
      </c>
      <c r="H85" s="45">
        <v>10</v>
      </c>
      <c r="I85" s="45"/>
      <c r="J85" s="46">
        <f t="shared" si="16"/>
        <v>816.0720502027998</v>
      </c>
    </row>
    <row r="86" spans="2:14" ht="0" hidden="1" customHeight="1">
      <c r="B86" s="48" t="s">
        <v>73</v>
      </c>
      <c r="C86" s="48"/>
      <c r="D86" s="42">
        <v>178.44723110790196</v>
      </c>
      <c r="E86" s="42">
        <v>0</v>
      </c>
      <c r="F86" s="42">
        <v>295.09272011418238</v>
      </c>
      <c r="G86" s="44">
        <f t="shared" si="15"/>
        <v>473.53995122208437</v>
      </c>
      <c r="H86" s="45">
        <v>10</v>
      </c>
      <c r="I86" s="45"/>
      <c r="J86" s="46">
        <f t="shared" si="16"/>
        <v>473.53995122208437</v>
      </c>
    </row>
    <row r="87" spans="2:14" ht="0" hidden="1" customHeight="1">
      <c r="B87" s="48" t="s">
        <v>74</v>
      </c>
      <c r="C87" s="48"/>
      <c r="D87" s="42">
        <v>146.51880288769411</v>
      </c>
      <c r="E87" s="42">
        <v>0</v>
      </c>
      <c r="F87" s="42">
        <v>0</v>
      </c>
      <c r="G87" s="44">
        <f t="shared" si="15"/>
        <v>146.51880288769411</v>
      </c>
      <c r="H87" s="45">
        <v>10</v>
      </c>
      <c r="I87" s="45"/>
      <c r="J87" s="46">
        <f t="shared" si="16"/>
        <v>146.51880288769411</v>
      </c>
    </row>
    <row r="88" spans="2:14" ht="0" hidden="1" customHeight="1">
      <c r="B88" s="148" t="s">
        <v>75</v>
      </c>
      <c r="C88" s="148"/>
      <c r="D88" s="49">
        <v>0</v>
      </c>
      <c r="E88" s="49">
        <v>0</v>
      </c>
      <c r="F88" s="49">
        <v>133.34510624228753</v>
      </c>
      <c r="G88" s="50">
        <f t="shared" si="15"/>
        <v>133.34510624228753</v>
      </c>
      <c r="H88" s="51">
        <v>10</v>
      </c>
      <c r="I88" s="51"/>
      <c r="J88" s="52">
        <f t="shared" si="16"/>
        <v>133.34510624228753</v>
      </c>
    </row>
    <row r="89" spans="2:14" ht="0" hidden="1" customHeight="1">
      <c r="B89" s="53"/>
      <c r="C89" s="54" t="s">
        <v>61</v>
      </c>
      <c r="D89" s="52">
        <f>SUM(D77:D88)</f>
        <v>354.7072391802464</v>
      </c>
      <c r="E89" s="52">
        <f t="shared" ref="E89:F89" si="17">SUM(E77:E88)</f>
        <v>0</v>
      </c>
      <c r="F89" s="52">
        <f t="shared" si="17"/>
        <v>1244.5098765592697</v>
      </c>
      <c r="G89" s="50">
        <f t="shared" si="15"/>
        <v>1599.2171157395162</v>
      </c>
      <c r="H89" s="55"/>
      <c r="I89" s="55"/>
      <c r="J89" s="52">
        <f>SUM(J77:J88)</f>
        <v>1599.2171157395162</v>
      </c>
    </row>
  </sheetData>
  <sheetProtection sheet="1" objects="1" scenarios="1"/>
  <mergeCells count="13">
    <mergeCell ref="K3:M3"/>
    <mergeCell ref="G3:I3"/>
    <mergeCell ref="B51:L51"/>
    <mergeCell ref="B2:M2"/>
    <mergeCell ref="B77:C77"/>
    <mergeCell ref="B78:C78"/>
    <mergeCell ref="B79:C79"/>
    <mergeCell ref="B80:C80"/>
    <mergeCell ref="B81:C81"/>
    <mergeCell ref="B82:C82"/>
    <mergeCell ref="B83:C83"/>
    <mergeCell ref="B84:C84"/>
    <mergeCell ref="B85:C85"/>
  </mergeCells>
  <hyperlinks>
    <hyperlink ref="B51" r:id="rId1" xr:uid="{70A44468-F34E-463F-8163-A3E4676E7866}"/>
  </hyperlinks>
  <pageMargins left="0.7" right="0.7" top="0.75" bottom="0.75" header="0.3" footer="0.3"/>
  <pageSetup scale="74" fitToHeight="0" orientation="portrait" r:id="rId2"/>
  <rowBreaks count="1" manualBreakCount="1">
    <brk id="1180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pageSetUpPr fitToPage="1"/>
  </sheetPr>
  <dimension ref="A1:L48"/>
  <sheetViews>
    <sheetView showGridLines="0" workbookViewId="0">
      <selection activeCell="B28" sqref="B28:K28"/>
    </sheetView>
  </sheetViews>
  <sheetFormatPr defaultColWidth="0" defaultRowHeight="14.5" zeroHeight="1"/>
  <cols>
    <col min="1" max="1" width="3.08203125" customWidth="1"/>
    <col min="2" max="2" width="8.58203125" customWidth="1"/>
    <col min="3" max="3" width="10.08203125" customWidth="1"/>
    <col min="4" max="4" width="9.33203125" customWidth="1"/>
    <col min="5" max="5" width="11.83203125" customWidth="1"/>
    <col min="6" max="6" width="9.58203125" bestFit="1" customWidth="1"/>
    <col min="7" max="7" width="9.08203125" bestFit="1" customWidth="1"/>
    <col min="8" max="8" width="9.83203125" customWidth="1"/>
    <col min="9" max="9" width="11" customWidth="1"/>
    <col min="10" max="10" width="9.83203125" bestFit="1" customWidth="1"/>
    <col min="11" max="11" width="10.08203125" customWidth="1"/>
    <col min="12" max="12" width="3.08203125" customWidth="1"/>
    <col min="13" max="16384" width="8.58203125" hidden="1"/>
  </cols>
  <sheetData>
    <row r="1" spans="1:12" ht="16">
      <c r="B1" s="171" t="s">
        <v>120</v>
      </c>
      <c r="C1" s="171"/>
      <c r="D1" s="171"/>
      <c r="E1" s="171"/>
      <c r="F1" s="171"/>
      <c r="G1" s="171"/>
      <c r="H1" s="171"/>
      <c r="I1" s="171"/>
      <c r="J1" s="171"/>
      <c r="K1" s="171"/>
    </row>
    <row r="2" spans="1:12" ht="52" customHeight="1">
      <c r="B2" s="173" t="s">
        <v>122</v>
      </c>
      <c r="C2" s="173"/>
      <c r="D2" s="173"/>
      <c r="E2" s="173"/>
      <c r="F2" s="173"/>
      <c r="G2" s="173"/>
      <c r="H2" s="173"/>
      <c r="I2" s="173"/>
      <c r="J2" s="173"/>
      <c r="K2" s="173"/>
    </row>
    <row r="3" spans="1:12" s="129" customFormat="1" ht="16.5" customHeight="1">
      <c r="A3"/>
      <c r="B3" s="36"/>
      <c r="C3" s="37"/>
      <c r="D3" s="37"/>
      <c r="E3" s="181" t="str">
        <f>"Pounds per 
"&amp;FIXED(Budget!D56,0,FALSE)&amp;" square feet"</f>
        <v>Pounds per 
1,000 square feet</v>
      </c>
      <c r="F3" s="182"/>
      <c r="G3" s="182"/>
      <c r="H3" s="182"/>
      <c r="I3" s="182"/>
      <c r="J3" s="182"/>
      <c r="K3" s="183"/>
      <c r="L3"/>
    </row>
    <row r="4" spans="1:12" ht="16.5" customHeight="1">
      <c r="B4" s="39"/>
      <c r="C4" s="40"/>
      <c r="D4" s="40"/>
      <c r="E4" s="130" t="s">
        <v>30</v>
      </c>
      <c r="F4" s="131" t="s">
        <v>29</v>
      </c>
      <c r="G4" s="131" t="s">
        <v>25</v>
      </c>
      <c r="H4" s="131" t="s">
        <v>23</v>
      </c>
      <c r="I4" s="131" t="s">
        <v>21</v>
      </c>
      <c r="J4" s="131" t="s">
        <v>27</v>
      </c>
      <c r="K4" s="132" t="s">
        <v>28</v>
      </c>
    </row>
    <row r="5" spans="1:12" ht="16.5" customHeight="1">
      <c r="B5" s="18"/>
      <c r="C5" s="19"/>
      <c r="D5" s="38"/>
      <c r="E5" s="133">
        <f>H5*70%</f>
        <v>455.36399999999998</v>
      </c>
      <c r="F5" s="134">
        <f>H5*80%</f>
        <v>520.41600000000005</v>
      </c>
      <c r="G5" s="134">
        <f>H5*90%</f>
        <v>585.46799999999996</v>
      </c>
      <c r="H5" s="135">
        <f>Budget!K5</f>
        <v>650.52</v>
      </c>
      <c r="I5" s="134">
        <f>H5*110%</f>
        <v>715.572</v>
      </c>
      <c r="J5" s="134">
        <f>H5*120%</f>
        <v>780.62399999999991</v>
      </c>
      <c r="K5" s="136">
        <f>H5*130%</f>
        <v>845.67600000000004</v>
      </c>
    </row>
    <row r="6" spans="1:12" ht="16.5" customHeight="1">
      <c r="B6" s="174" t="s">
        <v>42</v>
      </c>
      <c r="C6" s="137" t="s">
        <v>26</v>
      </c>
      <c r="D6" s="138">
        <f>D9*85%</f>
        <v>5.1084999999999994</v>
      </c>
      <c r="E6" s="25">
        <f>(D6*$E$5)-Budget!$L$46</f>
        <v>548.05822420903428</v>
      </c>
      <c r="F6" s="9">
        <f>(D6*$F$5)-Budget!$L$46</f>
        <v>880.37636620903436</v>
      </c>
      <c r="G6" s="30">
        <f>(D6*$G$5)-Budget!$L$46</f>
        <v>1212.694508209034</v>
      </c>
      <c r="H6" s="30">
        <f>(D6*$H$5)-Budget!$L$46</f>
        <v>1545.0126502090341</v>
      </c>
      <c r="I6" s="30">
        <f>(D6*$I$5)-Budget!$L$46</f>
        <v>1877.3307922090341</v>
      </c>
      <c r="J6" s="30">
        <f>(D6*$J$5)-Budget!$L$46</f>
        <v>2209.6489342090335</v>
      </c>
      <c r="K6" s="139">
        <f>(D6*$K$5)-Budget!$L$46</f>
        <v>2541.9670762090345</v>
      </c>
    </row>
    <row r="7" spans="1:12" ht="16.5" customHeight="1">
      <c r="B7" s="174"/>
      <c r="C7" s="140" t="s">
        <v>25</v>
      </c>
      <c r="D7" s="141">
        <f>D9*90%</f>
        <v>5.4089999999999998</v>
      </c>
      <c r="E7" s="26">
        <f>(D7*$E$5)-Budget!$L$46</f>
        <v>684.89510620903434</v>
      </c>
      <c r="F7" s="11">
        <f>(D7*$F$5)-Budget!$L$46</f>
        <v>1036.761374209035</v>
      </c>
      <c r="G7" s="32">
        <f>(D7*$G$5)-Budget!$L$46</f>
        <v>1388.6276422090343</v>
      </c>
      <c r="H7" s="32">
        <f>(D7*$H$5)-Budget!$L$46</f>
        <v>1740.4939102090345</v>
      </c>
      <c r="I7" s="32">
        <f>(D7*$I$5)-Budget!$L$46</f>
        <v>2092.3601782090345</v>
      </c>
      <c r="J7" s="32">
        <f>(D7*$J$5)-Budget!$L$46</f>
        <v>2444.2264462090334</v>
      </c>
      <c r="K7" s="142">
        <f>(D7*$K$5)-Budget!$L$46</f>
        <v>2796.0927142090341</v>
      </c>
    </row>
    <row r="8" spans="1:12" ht="16.5" customHeight="1" thickBot="1">
      <c r="B8" s="174"/>
      <c r="C8" s="143" t="s">
        <v>24</v>
      </c>
      <c r="D8" s="141">
        <f>D9*0.95</f>
        <v>5.7094999999999994</v>
      </c>
      <c r="E8" s="26">
        <f>(D8*$E$5)-Budget!$L$46</f>
        <v>821.7319882090344</v>
      </c>
      <c r="F8" s="11">
        <f>(D8*$F$5)-Budget!$L$46</f>
        <v>1193.1463822090348</v>
      </c>
      <c r="G8" s="32">
        <f>(D8*$G$5)-Budget!$L$46</f>
        <v>1564.5607762090342</v>
      </c>
      <c r="H8" s="32">
        <f>(D8*$H$5)-Budget!$L$46</f>
        <v>1935.9751702090341</v>
      </c>
      <c r="I8" s="32">
        <f>(D8*$I$5)-Budget!$L$46</f>
        <v>2307.3895642090338</v>
      </c>
      <c r="J8" s="32">
        <f>(D8*$J$5)-Budget!$L$46</f>
        <v>2678.8039582090332</v>
      </c>
      <c r="K8" s="142">
        <f>(D8*$K$5)-Budget!$L$46</f>
        <v>3050.2183522090345</v>
      </c>
    </row>
    <row r="9" spans="1:12" ht="16.5" customHeight="1" thickBot="1">
      <c r="B9" s="174"/>
      <c r="C9" s="140" t="s">
        <v>23</v>
      </c>
      <c r="D9" s="144">
        <f>Budget!E5</f>
        <v>6.01</v>
      </c>
      <c r="E9" s="26">
        <f>(D9*$E$5)-Budget!$L$46</f>
        <v>958.56887020903446</v>
      </c>
      <c r="F9" s="11">
        <f>(D9*$F$5)-Budget!$L$46</f>
        <v>1349.531390209035</v>
      </c>
      <c r="G9" s="32">
        <f>(D9*$G$5)-Budget!$L$46</f>
        <v>1740.4939102090341</v>
      </c>
      <c r="H9" s="28">
        <f>(D9*$H$5)-Budget!$L$46</f>
        <v>2131.4564302090348</v>
      </c>
      <c r="I9" s="32">
        <f>(D9*$I$5)-Budget!$L$46</f>
        <v>2522.4189502090339</v>
      </c>
      <c r="J9" s="32">
        <f>(D9*$J$5)-Budget!$L$46</f>
        <v>2913.381470209034</v>
      </c>
      <c r="K9" s="142">
        <f>(D9*$K$5)-Budget!$L$46</f>
        <v>3304.3439902090349</v>
      </c>
    </row>
    <row r="10" spans="1:12" ht="16.5" customHeight="1">
      <c r="B10" s="174"/>
      <c r="C10" s="140" t="s">
        <v>22</v>
      </c>
      <c r="D10" s="141">
        <f>D9*105%</f>
        <v>6.3105000000000002</v>
      </c>
      <c r="E10" s="26">
        <f>(D10*$E$5)-Budget!$L$46</f>
        <v>1095.4057522090345</v>
      </c>
      <c r="F10" s="11">
        <f>(D10*$F$5)-Budget!$L$46</f>
        <v>1505.9163982090352</v>
      </c>
      <c r="G10" s="32">
        <f>(D10*$G$5)-Budget!$L$46</f>
        <v>1916.4270442090344</v>
      </c>
      <c r="H10" s="32">
        <f>(D10*$H$5)-Budget!$L$46</f>
        <v>2326.9376902090344</v>
      </c>
      <c r="I10" s="32">
        <f>(D10*$I$5)-Budget!$L$46</f>
        <v>2737.448336209035</v>
      </c>
      <c r="J10" s="32">
        <f>(D10*$J$5)-Budget!$L$46</f>
        <v>3147.9589822090338</v>
      </c>
      <c r="K10" s="142">
        <f>(D10*$K$5)-Budget!$L$46</f>
        <v>3558.4696282090345</v>
      </c>
    </row>
    <row r="11" spans="1:12" ht="16.5" customHeight="1">
      <c r="B11" s="174"/>
      <c r="C11" s="140" t="s">
        <v>21</v>
      </c>
      <c r="D11" s="141">
        <f>D9*110%</f>
        <v>6.6110000000000007</v>
      </c>
      <c r="E11" s="26">
        <f>(D11*$E$5)-Budget!$L$46</f>
        <v>1232.2426342090346</v>
      </c>
      <c r="F11" s="11">
        <f>(D11*$F$5)-Budget!$L$46</f>
        <v>1662.3014062090353</v>
      </c>
      <c r="G11" s="32">
        <f>(D11*$G$5)-Budget!$L$46</f>
        <v>2092.3601782090345</v>
      </c>
      <c r="H11" s="32">
        <f>(D11*$H$5)-Budget!$L$46</f>
        <v>2522.4189502090348</v>
      </c>
      <c r="I11" s="32">
        <f>(D11*$I$5)-Budget!$L$46</f>
        <v>2952.4777222090352</v>
      </c>
      <c r="J11" s="32">
        <f>(D11*$J$5)-Budget!$L$46</f>
        <v>3382.5364942090346</v>
      </c>
      <c r="K11" s="142">
        <f>(D11*$K$5)-Budget!$L$46</f>
        <v>3812.5952662090349</v>
      </c>
    </row>
    <row r="12" spans="1:12" s="8" customFormat="1" ht="16.5" customHeight="1">
      <c r="A12"/>
      <c r="B12" s="175"/>
      <c r="C12" s="145" t="s">
        <v>20</v>
      </c>
      <c r="D12" s="146">
        <f>D9*115%</f>
        <v>6.9114999999999993</v>
      </c>
      <c r="E12" s="27">
        <f>(D12*$E$5)-Budget!$L$46</f>
        <v>1369.0795162090342</v>
      </c>
      <c r="F12" s="14">
        <f>(D12*$F$5)-Budget!$L$46</f>
        <v>1818.6864142090346</v>
      </c>
      <c r="G12" s="34">
        <f>(D12*$G$5)-Budget!$L$46</f>
        <v>2268.2933122090335</v>
      </c>
      <c r="H12" s="34">
        <f>(D12*$H$5)-Budget!$L$46</f>
        <v>2717.9002102090335</v>
      </c>
      <c r="I12" s="34">
        <f>(D12*$I$5)-Budget!$L$46</f>
        <v>3167.5071082090335</v>
      </c>
      <c r="J12" s="34">
        <f>(D12*$J$5)-Budget!$L$46</f>
        <v>3617.1140062090335</v>
      </c>
      <c r="K12" s="147">
        <f>(D12*$K$5)-Budget!$L$46</f>
        <v>4066.7209042090344</v>
      </c>
      <c r="L12"/>
    </row>
    <row r="13" spans="1:12" ht="8.15" customHeight="1">
      <c r="B13" s="3"/>
      <c r="C13" s="3"/>
      <c r="D13" s="3"/>
      <c r="E13" s="3"/>
      <c r="F13" s="3"/>
      <c r="G13" s="3"/>
      <c r="H13" s="3"/>
      <c r="I13" s="3"/>
      <c r="J13" s="3"/>
      <c r="K13" s="3"/>
    </row>
    <row r="14" spans="1:12" ht="16">
      <c r="B14" s="171" t="s">
        <v>121</v>
      </c>
      <c r="C14" s="171"/>
      <c r="D14" s="171"/>
      <c r="E14" s="171"/>
      <c r="F14" s="171"/>
      <c r="G14" s="171"/>
      <c r="H14" s="171"/>
      <c r="I14" s="171"/>
      <c r="J14" s="171"/>
      <c r="K14" s="171"/>
    </row>
    <row r="15" spans="1:12" ht="16" customHeight="1">
      <c r="B15" s="173" t="s">
        <v>123</v>
      </c>
      <c r="C15" s="173"/>
      <c r="D15" s="173"/>
      <c r="E15" s="173"/>
      <c r="F15" s="173"/>
      <c r="G15" s="173"/>
      <c r="H15" s="173"/>
      <c r="I15" s="173"/>
      <c r="J15" s="173"/>
      <c r="K15" s="173"/>
    </row>
    <row r="16" spans="1:12" ht="16.5" customHeight="1">
      <c r="B16" s="17"/>
      <c r="C16" s="17"/>
      <c r="D16" s="20"/>
      <c r="E16" s="176" t="s">
        <v>2</v>
      </c>
      <c r="F16" s="177"/>
      <c r="G16" s="177"/>
      <c r="H16" s="177"/>
      <c r="I16" s="177"/>
      <c r="J16" s="177"/>
      <c r="K16" s="178"/>
    </row>
    <row r="17" spans="2:11" ht="16.5" customHeight="1">
      <c r="B17" s="18"/>
      <c r="C17" s="18"/>
      <c r="D17" s="21"/>
      <c r="E17" s="127" t="s">
        <v>26</v>
      </c>
      <c r="F17" s="127" t="s">
        <v>25</v>
      </c>
      <c r="G17" s="127" t="s">
        <v>24</v>
      </c>
      <c r="H17" s="127" t="s">
        <v>23</v>
      </c>
      <c r="I17" s="127" t="s">
        <v>22</v>
      </c>
      <c r="J17" s="127" t="s">
        <v>21</v>
      </c>
      <c r="K17" s="128" t="s">
        <v>20</v>
      </c>
    </row>
    <row r="18" spans="2:11" ht="16.5" customHeight="1">
      <c r="B18" s="179" t="s">
        <v>15</v>
      </c>
      <c r="C18" s="22"/>
      <c r="D18" s="125" t="s">
        <v>26</v>
      </c>
      <c r="E18" s="29">
        <f>(Budget!L6*0.85)-(Budget!L40*0.85)-Budget!L44</f>
        <v>1746.2791653565346</v>
      </c>
      <c r="F18" s="30">
        <f>(Budget!L6*0.9)-(Budget!L40*0.85)-Budget!L44</f>
        <v>1941.7604253565346</v>
      </c>
      <c r="G18" s="30">
        <f>(Budget!L6*0.95)-(Budget!L40*0.85)-Budget!L44</f>
        <v>2137.2416853565346</v>
      </c>
      <c r="H18" s="9">
        <f>Budget!L6-(Budget!L40*0.85)-Budget!L44</f>
        <v>2332.7229453565346</v>
      </c>
      <c r="I18" s="9">
        <f>(Budget!L6*1.05)-(Budget!L40*0.85)-Budget!L44</f>
        <v>2528.2042053565347</v>
      </c>
      <c r="J18" s="9">
        <f>(Budget!L6*1.1)-(Budget!L40*0.85)-Budget!L44</f>
        <v>2723.6854653565351</v>
      </c>
      <c r="K18" s="10">
        <f>(Budget!L6*1.15)-(Budget!L40*0.85)-Budget!L44</f>
        <v>2919.1667253565347</v>
      </c>
    </row>
    <row r="19" spans="2:11" ht="16.5" customHeight="1">
      <c r="B19" s="179"/>
      <c r="C19" s="22"/>
      <c r="D19" s="125" t="s">
        <v>25</v>
      </c>
      <c r="E19" s="31">
        <f>(Budget!L6*0.85)-(Budget!L40*0.9)-Budget!L44</f>
        <v>1679.1903269740346</v>
      </c>
      <c r="F19" s="32">
        <f>(Budget!L6*0.9)-(Budget!L40*0.9)-Budget!L44</f>
        <v>1874.6715869740342</v>
      </c>
      <c r="G19" s="32">
        <f>(Budget!L6*0.95)-(Budget!L40*0.9)-Budget!L44</f>
        <v>2070.1528469740347</v>
      </c>
      <c r="H19" s="11">
        <f>Budget!L6-(Budget!L40*0.9)-Budget!L44</f>
        <v>2265.6341069740342</v>
      </c>
      <c r="I19" s="11">
        <f>(Budget!L6*1.05)-(Budget!L40*0.9)-Budget!L44</f>
        <v>2461.1153669740347</v>
      </c>
      <c r="J19" s="11">
        <f>(Budget!L6*1.1)-(Budget!L40*0.9)-Budget!L44</f>
        <v>2656.5966269740352</v>
      </c>
      <c r="K19" s="12">
        <f>(Budget!L6*1.15)-(Budget!L40*0.9)-Budget!L44</f>
        <v>2852.0778869740348</v>
      </c>
    </row>
    <row r="20" spans="2:11" ht="16.5" customHeight="1" thickBot="1">
      <c r="B20" s="179"/>
      <c r="C20" s="22"/>
      <c r="D20" s="125" t="s">
        <v>24</v>
      </c>
      <c r="E20" s="31">
        <f>(Budget!L6*0.85)-(Budget!L40*0.95)-Budget!L44</f>
        <v>1612.1014885915347</v>
      </c>
      <c r="F20" s="32">
        <f>(Budget!L6*0.9)-(Budget!L40*0.95)-Budget!L44</f>
        <v>1807.5827485915347</v>
      </c>
      <c r="G20" s="32">
        <f>(Budget!L6*0.95)-(Budget!L40*0.95)-Budget!L44</f>
        <v>2003.0640085915347</v>
      </c>
      <c r="H20" s="11">
        <f>Budget!L6-(Budget!L40*0.95)-Budget!L44</f>
        <v>2198.5452685915348</v>
      </c>
      <c r="I20" s="11">
        <f>(Budget!L6*1.05)-(Budget!L40*0.95)-Budget!L44</f>
        <v>2394.0265285915348</v>
      </c>
      <c r="J20" s="11">
        <f>(Budget!L6*1.1)-(Budget!L40*0.95)-Budget!L44</f>
        <v>2589.5077885915352</v>
      </c>
      <c r="K20" s="12">
        <f>(Budget!L6*1.15)-(Budget!L40*0.95)-Budget!L44</f>
        <v>2784.9890485915348</v>
      </c>
    </row>
    <row r="21" spans="2:11" ht="16.5" customHeight="1" thickBot="1">
      <c r="B21" s="179"/>
      <c r="C21" s="22"/>
      <c r="D21" s="125" t="s">
        <v>23</v>
      </c>
      <c r="E21" s="31">
        <f>(Budget!L6*0.85)-Budget!L40-Budget!L44</f>
        <v>1545.0126502090345</v>
      </c>
      <c r="F21" s="32">
        <f>(Budget!L6*0.9)-(Budget!L40)-Budget!L44</f>
        <v>1740.4939102090343</v>
      </c>
      <c r="G21" s="32">
        <f>(Budget!L6*0.95)-(Budget!L40)-Budget!L44</f>
        <v>1935.9751702090348</v>
      </c>
      <c r="H21" s="13">
        <f>Budget!L6-(Budget!L40)-Budget!L44</f>
        <v>2131.4564302090344</v>
      </c>
      <c r="I21" s="11">
        <f>(Budget!L6*1.05)-(Budget!L40)-Budget!L44</f>
        <v>2326.9376902090348</v>
      </c>
      <c r="J21" s="11">
        <f>(Budget!L6*1.1)-(Budget!L40)-Budget!L44</f>
        <v>2522.4189502090353</v>
      </c>
      <c r="K21" s="12">
        <f>(Budget!L6*1.15)-(Budget!L40)-Budget!L44</f>
        <v>2717.9002102090349</v>
      </c>
    </row>
    <row r="22" spans="2:11" ht="16.5" customHeight="1">
      <c r="B22" s="179"/>
      <c r="C22" s="22"/>
      <c r="D22" s="125" t="s">
        <v>22</v>
      </c>
      <c r="E22" s="31">
        <f>(Budget!L6*0.85)-(Budget!L40*1.05)-Budget!L44</f>
        <v>1477.9238118265343</v>
      </c>
      <c r="F22" s="32">
        <f>(Budget!L6*0.9)-(Budget!L40*1.05)-Budget!L44</f>
        <v>1673.4050718265344</v>
      </c>
      <c r="G22" s="32">
        <f>(Budget!L6*0.95)-(Budget!L40*1.05)-Budget!L44</f>
        <v>1868.8863318265344</v>
      </c>
      <c r="H22" s="11">
        <f>Budget!L6-(Budget!L40*1.05)-Budget!L44</f>
        <v>2064.3675918265344</v>
      </c>
      <c r="I22" s="11">
        <f>(Budget!L6*1.05)-(Budget!L40*1.05)-Budget!L44</f>
        <v>2259.8488518265344</v>
      </c>
      <c r="J22" s="11">
        <f>(Budget!L6*1.1)-(Budget!L40*1.05)-Budget!L44</f>
        <v>2455.3301118265349</v>
      </c>
      <c r="K22" s="12">
        <f>(Budget!L6*1.15)-(Budget!L40*1.05)-Budget!L44</f>
        <v>2650.8113718265345</v>
      </c>
    </row>
    <row r="23" spans="2:11" ht="16.5" customHeight="1">
      <c r="B23" s="179"/>
      <c r="C23" s="22"/>
      <c r="D23" s="125" t="s">
        <v>21</v>
      </c>
      <c r="E23" s="31">
        <f>(Budget!L6*0.85)-(Budget!L40*1.1)-Budget!L44</f>
        <v>1410.8349734440344</v>
      </c>
      <c r="F23" s="32">
        <f>(Budget!L6*0.9)-(Budget!L40*1.1)-Budget!L44</f>
        <v>1606.3162334440344</v>
      </c>
      <c r="G23" s="32">
        <f>(Budget!L6*0.95)-(Budget!L40*1.1)-Budget!L44</f>
        <v>1801.7974934440344</v>
      </c>
      <c r="H23" s="11">
        <f>Budget!L6-(Budget!L40*1.1)-Budget!L44</f>
        <v>1997.2787534440345</v>
      </c>
      <c r="I23" s="11">
        <f>(Budget!L6*1.05)-(Budget!L40*1.1)-Budget!L44</f>
        <v>2192.7600134440345</v>
      </c>
      <c r="J23" s="11">
        <f>(Budget!L6*1.1)-(Budget!L40*1.1)-Budget!L44</f>
        <v>2388.241273444035</v>
      </c>
      <c r="K23" s="12">
        <f>(Budget!L6*1.15)-(Budget!L40*1.1)-Budget!L44</f>
        <v>2583.7225334440345</v>
      </c>
    </row>
    <row r="24" spans="2:11" ht="16.5" customHeight="1">
      <c r="B24" s="180"/>
      <c r="C24" s="23"/>
      <c r="D24" s="126" t="s">
        <v>20</v>
      </c>
      <c r="E24" s="33">
        <f>(Budget!L6*0.85)-(Budget!L40*1.15)-Budget!L44</f>
        <v>1343.7461350615347</v>
      </c>
      <c r="F24" s="34">
        <f>(Budget!L6*0.9)-(Budget!L40*1.15)-Budget!L44</f>
        <v>1539.2273950615347</v>
      </c>
      <c r="G24" s="34">
        <f>(Budget!L6*0.95)-(Budget!L40*1.15)-Budget!L44</f>
        <v>1734.7086550615345</v>
      </c>
      <c r="H24" s="14">
        <f>Budget!L6-(Budget!L40*1.15)-Budget!L44</f>
        <v>1930.189915061535</v>
      </c>
      <c r="I24" s="14">
        <f>(Budget!L6*1.05)-(Budget!L40*1.15)-Budget!L44</f>
        <v>2125.6711750615345</v>
      </c>
      <c r="J24" s="14">
        <f>(Budget!L6*1.1)-(Budget!L40*1.15)-Budget!L44</f>
        <v>2321.152435061535</v>
      </c>
      <c r="K24" s="15">
        <f>(Budget!L6*1.15)-(Budget!L40*1.15)-Budget!L44</f>
        <v>2516.6336950615346</v>
      </c>
    </row>
    <row r="25" spans="2:11" ht="8.15" customHeight="1">
      <c r="B25" s="3"/>
      <c r="C25" s="3"/>
      <c r="D25" s="3"/>
      <c r="E25" s="3"/>
      <c r="F25" s="3"/>
      <c r="G25" s="3"/>
      <c r="H25" s="3"/>
      <c r="I25" s="3"/>
      <c r="J25" s="3"/>
      <c r="K25" s="3"/>
    </row>
    <row r="26" spans="2:11" ht="16">
      <c r="B26" s="171" t="s">
        <v>112</v>
      </c>
      <c r="C26" s="171"/>
      <c r="D26" s="171"/>
      <c r="E26" s="171"/>
      <c r="F26" s="171"/>
      <c r="G26" s="171"/>
      <c r="H26" s="171"/>
      <c r="I26" s="171"/>
      <c r="J26" s="171"/>
      <c r="K26" s="171"/>
    </row>
    <row r="27" spans="2:11" ht="16">
      <c r="B27" s="173" t="s">
        <v>32</v>
      </c>
      <c r="C27" s="173"/>
      <c r="D27" s="173"/>
      <c r="E27" s="173"/>
      <c r="F27" s="173"/>
      <c r="G27" s="173"/>
      <c r="H27" s="173"/>
      <c r="I27" s="173"/>
      <c r="J27" s="173"/>
      <c r="K27" s="173"/>
    </row>
    <row r="28" spans="2:11" ht="65.5" customHeight="1">
      <c r="B28" s="173" t="s">
        <v>116</v>
      </c>
      <c r="C28" s="173"/>
      <c r="D28" s="173"/>
      <c r="E28" s="173"/>
      <c r="F28" s="173"/>
      <c r="G28" s="173"/>
      <c r="H28" s="173"/>
      <c r="I28" s="173"/>
      <c r="J28" s="173"/>
      <c r="K28" s="173"/>
    </row>
    <row r="29" spans="2:11" ht="33.65" customHeight="1">
      <c r="B29" s="173" t="s">
        <v>48</v>
      </c>
      <c r="C29" s="173"/>
      <c r="D29" s="173"/>
      <c r="E29" s="173"/>
      <c r="F29" s="173"/>
      <c r="G29" s="173"/>
      <c r="H29" s="173"/>
      <c r="I29" s="173"/>
      <c r="J29" s="173"/>
      <c r="K29" s="173"/>
    </row>
    <row r="30" spans="2:11">
      <c r="B30" s="173"/>
      <c r="C30" s="173"/>
      <c r="D30" s="173"/>
      <c r="E30" s="173"/>
      <c r="F30" s="173"/>
      <c r="G30" s="173"/>
      <c r="H30" s="173"/>
      <c r="I30" s="173"/>
      <c r="J30" s="173"/>
      <c r="K30" s="173"/>
    </row>
    <row r="31" spans="2:11">
      <c r="B31" s="173"/>
      <c r="C31" s="173"/>
      <c r="D31" s="173"/>
      <c r="E31" s="173"/>
      <c r="F31" s="173"/>
      <c r="G31" s="173"/>
      <c r="H31" s="173"/>
      <c r="I31" s="173"/>
      <c r="J31" s="173"/>
      <c r="K31" s="173"/>
    </row>
    <row r="32" spans="2:11" ht="32.5" customHeight="1">
      <c r="B32" s="173" t="s">
        <v>115</v>
      </c>
      <c r="C32" s="173"/>
      <c r="D32" s="173"/>
      <c r="E32" s="173"/>
      <c r="F32" s="173"/>
      <c r="G32" s="173"/>
      <c r="H32" s="173"/>
      <c r="I32" s="173"/>
      <c r="J32" s="173"/>
      <c r="K32" s="173"/>
    </row>
    <row r="33" spans="2:11" ht="10" customHeight="1">
      <c r="B33" s="123"/>
      <c r="C33" s="123"/>
      <c r="D33" s="123"/>
      <c r="E33" s="123"/>
      <c r="F33" s="123"/>
      <c r="G33" s="123"/>
      <c r="H33" s="123"/>
      <c r="I33" s="123"/>
      <c r="J33" s="123"/>
      <c r="K33" s="123"/>
    </row>
    <row r="34" spans="2:11" ht="16">
      <c r="B34" s="121" t="s">
        <v>12</v>
      </c>
      <c r="C34" s="3"/>
      <c r="D34" s="3"/>
      <c r="E34" s="3"/>
    </row>
    <row r="35" spans="2:11" ht="16">
      <c r="B35" s="3" t="s">
        <v>31</v>
      </c>
      <c r="C35" s="120"/>
      <c r="D35" s="120"/>
      <c r="E35" s="6">
        <v>0.06</v>
      </c>
      <c r="F35" s="3"/>
      <c r="G35" s="121"/>
      <c r="H35" s="122"/>
      <c r="I35" s="122"/>
      <c r="J35" s="122"/>
      <c r="K35" s="112"/>
    </row>
    <row r="36" spans="2:11" ht="16">
      <c r="B36" s="3" t="s">
        <v>47</v>
      </c>
      <c r="C36" s="120"/>
      <c r="D36" s="120"/>
      <c r="E36" s="80">
        <f>(Budget!H49+Budget!L49/(1+E35))</f>
        <v>986.04302088642589</v>
      </c>
      <c r="F36" s="3"/>
      <c r="G36" s="121"/>
      <c r="H36" s="122"/>
      <c r="I36" s="122"/>
      <c r="J36" s="122"/>
      <c r="K36" s="112"/>
    </row>
    <row r="37" spans="2:11" ht="16">
      <c r="B37" s="3" t="s">
        <v>106</v>
      </c>
      <c r="C37" s="3"/>
      <c r="D37" s="3"/>
      <c r="E37" s="80">
        <f>(Budget!H49+Budget!L49/(1+E35)+Budget!L49/(1+E35)^2)</f>
        <v>2883.0316558179265</v>
      </c>
      <c r="F37" s="3"/>
      <c r="G37" s="123"/>
      <c r="H37" s="122"/>
      <c r="I37" s="122"/>
      <c r="J37" s="122"/>
      <c r="K37" s="80"/>
    </row>
    <row r="38" spans="2:11" ht="14.5" hidden="1" customHeight="1"/>
    <row r="40" spans="2:11" ht="32.15" hidden="1" customHeight="1"/>
    <row r="41" spans="2:11" ht="16" hidden="1">
      <c r="B41" s="172"/>
      <c r="C41" s="172"/>
      <c r="D41" s="172"/>
      <c r="E41" s="172"/>
      <c r="F41" s="172"/>
      <c r="G41" s="172"/>
      <c r="H41" s="172"/>
      <c r="I41" s="172"/>
      <c r="J41" s="172"/>
      <c r="K41" s="172"/>
    </row>
    <row r="42" spans="2:11" ht="16" hidden="1">
      <c r="B42" s="172"/>
      <c r="C42" s="172"/>
      <c r="D42" s="172"/>
      <c r="E42" s="172"/>
      <c r="F42" s="172"/>
      <c r="G42" s="172"/>
      <c r="H42" s="172"/>
      <c r="I42" s="172"/>
      <c r="J42" s="172"/>
      <c r="K42" s="172"/>
    </row>
    <row r="43" spans="2:11" ht="16" hidden="1">
      <c r="B43" s="124"/>
      <c r="C43" s="124"/>
      <c r="D43" s="124"/>
      <c r="E43" s="124"/>
      <c r="F43" s="124"/>
      <c r="G43" s="124"/>
      <c r="H43" s="124"/>
      <c r="I43" s="124"/>
      <c r="J43" s="124"/>
      <c r="K43" s="124"/>
    </row>
    <row r="44" spans="2:11" ht="16" hidden="1">
      <c r="G44" s="3"/>
      <c r="H44" s="3"/>
      <c r="I44" s="3"/>
      <c r="J44" s="3"/>
      <c r="K44" s="3"/>
    </row>
    <row r="45" spans="2:11" ht="16" hidden="1">
      <c r="G45" s="3"/>
      <c r="H45" s="3"/>
      <c r="I45" s="3"/>
      <c r="J45" s="3"/>
      <c r="K45" s="3"/>
    </row>
    <row r="46" spans="2:11" ht="16" hidden="1">
      <c r="G46" s="3"/>
      <c r="H46" s="3"/>
      <c r="I46" s="3"/>
      <c r="J46" s="3"/>
      <c r="K46" s="3"/>
    </row>
    <row r="47" spans="2:11" ht="16" hidden="1">
      <c r="G47" s="3"/>
      <c r="H47" s="3"/>
      <c r="I47" s="3"/>
      <c r="J47" s="3"/>
      <c r="K47" s="3"/>
    </row>
    <row r="48" spans="2:11" ht="16" hidden="1">
      <c r="G48" s="3"/>
      <c r="H48" s="3"/>
      <c r="I48" s="3"/>
      <c r="J48" s="3"/>
      <c r="K48" s="3"/>
    </row>
  </sheetData>
  <sheetProtection sheet="1" objects="1" scenarios="1"/>
  <mergeCells count="15">
    <mergeCell ref="B1:K1"/>
    <mergeCell ref="B14:K14"/>
    <mergeCell ref="B41:K41"/>
    <mergeCell ref="B42:K42"/>
    <mergeCell ref="B29:K31"/>
    <mergeCell ref="B26:K26"/>
    <mergeCell ref="B6:B12"/>
    <mergeCell ref="E16:K16"/>
    <mergeCell ref="B18:B24"/>
    <mergeCell ref="B27:K27"/>
    <mergeCell ref="B2:K2"/>
    <mergeCell ref="B15:K15"/>
    <mergeCell ref="B28:K28"/>
    <mergeCell ref="B32:K32"/>
    <mergeCell ref="E3:K3"/>
  </mergeCells>
  <phoneticPr fontId="23" type="noConversion"/>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7" fitToHeight="0" orientation="portrait" r:id="rId1"/>
  <ignoredErrors>
    <ignoredError sqref="E3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E1293EDA749C499D09F25756402A22" ma:contentTypeVersion="18" ma:contentTypeDescription="Create a new document." ma:contentTypeScope="" ma:versionID="5d5302aff14df483c43236a570fa4496">
  <xsd:schema xmlns:xsd="http://www.w3.org/2001/XMLSchema" xmlns:xs="http://www.w3.org/2001/XMLSchema" xmlns:p="http://schemas.microsoft.com/office/2006/metadata/properties" xmlns:ns2="efba6830-88fc-4660-8252-66421c0ed606" xmlns:ns3="68029b82-de8b-4bb8-a3ab-fd0183ed5d77" targetNamespace="http://schemas.microsoft.com/office/2006/metadata/properties" ma:root="true" ma:fieldsID="e4ef6fd8f4a36105861edc94ec9f0e2c" ns2:_="" ns3:_="">
    <xsd:import namespace="efba6830-88fc-4660-8252-66421c0ed606"/>
    <xsd:import namespace="68029b82-de8b-4bb8-a3ab-fd0183ed5d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a6830-88fc-4660-8252-66421c0ed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29b82-de8b-4bb8-a3ab-fd0183ed5d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98e622-2bdb-4ed5-999f-2e6ceaea9292}" ma:internalName="TaxCatchAll" ma:showField="CatchAllData" ma:web="68029b82-de8b-4bb8-a3ab-fd0183ed5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ba6830-88fc-4660-8252-66421c0ed606">
      <Terms xmlns="http://schemas.microsoft.com/office/infopath/2007/PartnerControls"/>
    </lcf76f155ced4ddcb4097134ff3c332f>
    <TaxCatchAll xmlns="68029b82-de8b-4bb8-a3ab-fd0183ed5d7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2D54D2-D4A0-46C0-AAFE-49EB81BAEC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a6830-88fc-4660-8252-66421c0ed606"/>
    <ds:schemaRef ds:uri="68029b82-de8b-4bb8-a3ab-fd0183ed5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 ds:uri="efba6830-88fc-4660-8252-66421c0ed606"/>
    <ds:schemaRef ds:uri="68029b82-de8b-4bb8-a3ab-fd0183ed5d77"/>
  </ds:schemaRefs>
</ds:datastoreItem>
</file>

<file path=customXml/itemProps3.xml><?xml version="1.0" encoding="utf-8"?>
<ds:datastoreItem xmlns:ds="http://schemas.openxmlformats.org/officeDocument/2006/customXml" ds:itemID="{803F0A06-9F9F-49EF-8C3D-05FBF50BAE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Rahe, Mallory</cp:lastModifiedBy>
  <cp:revision/>
  <cp:lastPrinted>2025-09-02T13:49:11Z</cp:lastPrinted>
  <dcterms:created xsi:type="dcterms:W3CDTF">2020-07-30T17:48:44Z</dcterms:created>
  <dcterms:modified xsi:type="dcterms:W3CDTF">2025-10-07T14:00:24Z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0x010100C8E1293EDA749C499D09F25756402A22</vt:lpwstr>
  </property>
  <property fmtid="{D5CDD505-2E9C-101B-9397-08002B2CF9AE}" pid="3" name="MediaServiceImageTags">
    <vt:lpwstr/>
  </property>
</Properties>
</file>