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High Tunnel Budgets Updated/"/>
    </mc:Choice>
  </mc:AlternateContent>
  <xr:revisionPtr revIDLastSave="469" documentId="8_{4D38DB16-DD01-4038-9753-9E1A3B7833AD}" xr6:coauthVersionLast="47" xr6:coauthVersionMax="47" xr10:uidLastSave="{E6EFC084-122A-40F6-B705-9C83532965ED}"/>
  <workbookProtection lockStructure="1"/>
  <bookViews>
    <workbookView xWindow="28680" yWindow="-5280" windowWidth="29040" windowHeight="16440" xr2:uid="{50691399-9F51-4DAE-88E6-4D51F075FBD5}"/>
  </bookViews>
  <sheets>
    <sheet name="Introduction" sheetId="3" r:id="rId1"/>
    <sheet name="Budget" sheetId="1" r:id="rId2"/>
    <sheet name="Financial Sensitivity" sheetId="4"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Budget!$B$2:$H$43,Budget!$B$46:$I$66</definedName>
    <definedName name="_xlnm.Print_Area" localSheetId="2">'Financial Sensitivity'!$B$1:$K$24</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E3" i="4" l="1"/>
  <c r="G28" i="1"/>
  <c r="H28" i="1" s="1"/>
  <c r="G4" i="1" l="1"/>
  <c r="G35" i="1" s="1"/>
  <c r="G8" i="1" l="1"/>
  <c r="G18" i="1" l="1"/>
  <c r="H18" i="1" s="1"/>
  <c r="G17" i="1"/>
  <c r="H17" i="1" s="1"/>
  <c r="E65" i="1" l="1"/>
  <c r="E66" i="1" s="1"/>
  <c r="F65" i="1"/>
  <c r="F66" i="1" s="1"/>
  <c r="D65" i="1"/>
  <c r="D66" i="1" s="1"/>
  <c r="G54" i="1"/>
  <c r="I54" i="1" s="1"/>
  <c r="G55" i="1"/>
  <c r="I55" i="1" s="1"/>
  <c r="G56" i="1"/>
  <c r="I56" i="1" s="1"/>
  <c r="G57" i="1"/>
  <c r="I57" i="1" s="1"/>
  <c r="G58" i="1"/>
  <c r="I58" i="1" s="1"/>
  <c r="G59" i="1"/>
  <c r="I59" i="1" s="1"/>
  <c r="G60" i="1"/>
  <c r="I60" i="1" s="1"/>
  <c r="G61" i="1"/>
  <c r="I61" i="1" s="1"/>
  <c r="G62" i="1"/>
  <c r="I62" i="1" s="1"/>
  <c r="G63" i="1"/>
  <c r="I63" i="1" s="1"/>
  <c r="G64" i="1"/>
  <c r="I64" i="1" s="1"/>
  <c r="G53" i="1"/>
  <c r="I53" i="1" s="1"/>
  <c r="G65" i="1" l="1"/>
  <c r="G66" i="1" s="1"/>
  <c r="I65" i="1"/>
  <c r="F36" i="1" l="1"/>
  <c r="I66" i="1"/>
  <c r="H31" i="1"/>
  <c r="G36" i="1" l="1"/>
  <c r="H36" i="1" s="1"/>
  <c r="G14" i="1"/>
  <c r="H14" i="1" s="1"/>
  <c r="G12" i="1"/>
  <c r="H12" i="1" s="1"/>
  <c r="G13" i="1"/>
  <c r="H13" i="1" s="1"/>
  <c r="G26" i="1"/>
  <c r="H26" i="1" s="1"/>
  <c r="G24" i="1"/>
  <c r="H24" i="1" s="1"/>
  <c r="G22" i="1"/>
  <c r="H22" i="1" s="1"/>
  <c r="G23" i="1"/>
  <c r="H23" i="1" s="1"/>
  <c r="G20" i="1"/>
  <c r="H20" i="1" s="1"/>
  <c r="G21" i="1"/>
  <c r="H21" i="1" s="1"/>
  <c r="G10" i="1"/>
  <c r="H10" i="1" s="1"/>
  <c r="H5" i="4" l="1"/>
  <c r="G16" i="1" l="1"/>
  <c r="H16" i="1" s="1"/>
  <c r="I5" i="4" l="1"/>
  <c r="D9" i="4"/>
  <c r="J5" i="4" l="1"/>
  <c r="K5" i="4"/>
  <c r="G5" i="4"/>
  <c r="F5" i="4"/>
  <c r="E5" i="4"/>
  <c r="D8" i="4"/>
  <c r="D10" i="4"/>
  <c r="D11" i="4"/>
  <c r="D7" i="4"/>
  <c r="D12" i="4"/>
  <c r="D6" i="4"/>
  <c r="G37" i="1" l="1"/>
  <c r="H37" i="1" s="1"/>
  <c r="G25" i="1" l="1"/>
  <c r="H25" i="1" s="1"/>
  <c r="G27" i="1"/>
  <c r="H27" i="1" s="1"/>
  <c r="G15" i="1"/>
  <c r="H15" i="1" s="1"/>
  <c r="G9" i="1"/>
  <c r="G5" i="1"/>
  <c r="H5" i="1" s="1"/>
  <c r="H9" i="1" l="1"/>
  <c r="G29" i="1"/>
  <c r="H29" i="1" s="1"/>
  <c r="G6" i="1"/>
  <c r="E30" i="1" l="1"/>
  <c r="G30" i="1" s="1"/>
  <c r="H30" i="1" s="1"/>
  <c r="G32" i="1" l="1"/>
  <c r="G33" i="1" l="1"/>
  <c r="H33" i="1" s="1"/>
  <c r="H32" i="1"/>
  <c r="I18" i="4" l="1"/>
  <c r="J24" i="4"/>
  <c r="F19" i="4"/>
  <c r="F22" i="4"/>
  <c r="E22" i="4"/>
  <c r="H22" i="4"/>
  <c r="F21" i="4"/>
  <c r="J19" i="4"/>
  <c r="G23" i="4"/>
  <c r="I19" i="4"/>
  <c r="G24" i="4"/>
  <c r="K24" i="4"/>
  <c r="I21" i="4"/>
  <c r="E21" i="4"/>
  <c r="K23" i="4"/>
  <c r="H23" i="4"/>
  <c r="I22" i="4"/>
  <c r="J18" i="4"/>
  <c r="F24" i="4"/>
  <c r="G21" i="4"/>
  <c r="E24" i="4"/>
  <c r="K20" i="4"/>
  <c r="I23" i="4"/>
  <c r="K18" i="4"/>
  <c r="E23" i="4"/>
  <c r="K19" i="4"/>
  <c r="F23" i="4"/>
  <c r="E18" i="4"/>
  <c r="G22" i="4"/>
  <c r="H21" i="4"/>
  <c r="I20" i="4"/>
  <c r="J21" i="4"/>
  <c r="J23" i="4"/>
  <c r="H19" i="4"/>
  <c r="G19" i="4"/>
  <c r="H24" i="4"/>
  <c r="J22" i="4"/>
  <c r="G20" i="4"/>
  <c r="H18" i="4"/>
  <c r="G39" i="1"/>
  <c r="E7" i="4" s="1"/>
  <c r="J20" i="4"/>
  <c r="H20" i="4"/>
  <c r="G41" i="1"/>
  <c r="H41" i="1" s="1"/>
  <c r="E20" i="4"/>
  <c r="K22" i="4"/>
  <c r="G18" i="4"/>
  <c r="I24" i="4"/>
  <c r="F20" i="4"/>
  <c r="K21" i="4"/>
  <c r="E19" i="4"/>
  <c r="F18" i="4"/>
  <c r="G8" i="4" l="1"/>
  <c r="I12" i="4"/>
  <c r="J10" i="4"/>
  <c r="J12" i="4"/>
  <c r="I11" i="4"/>
  <c r="I7" i="4"/>
  <c r="J8" i="4"/>
  <c r="F12" i="4"/>
  <c r="H10" i="4"/>
  <c r="F6" i="4"/>
  <c r="J6" i="4"/>
  <c r="E12" i="4"/>
  <c r="H9" i="4"/>
  <c r="E6" i="4"/>
  <c r="I10" i="4"/>
  <c r="F10" i="4"/>
  <c r="I9" i="4"/>
  <c r="J9" i="4"/>
  <c r="G42" i="1"/>
  <c r="H42" i="1" s="1"/>
  <c r="H6" i="4"/>
  <c r="H8" i="4"/>
  <c r="K11" i="4"/>
  <c r="G7" i="4"/>
  <c r="K9" i="4"/>
  <c r="K8" i="4"/>
  <c r="E11" i="4"/>
  <c r="E8" i="4"/>
  <c r="G12" i="4"/>
  <c r="J7" i="4"/>
  <c r="F11" i="4"/>
  <c r="G6" i="4"/>
  <c r="H7" i="4"/>
  <c r="G10" i="4"/>
  <c r="J11" i="4"/>
  <c r="E10" i="4"/>
  <c r="F7" i="4"/>
  <c r="E9" i="4"/>
  <c r="F8" i="4"/>
  <c r="K7" i="4"/>
  <c r="K12" i="4"/>
  <c r="G11" i="4"/>
  <c r="K6" i="4"/>
  <c r="I8" i="4"/>
  <c r="I6" i="4"/>
  <c r="K10" i="4"/>
  <c r="H12" i="4"/>
  <c r="H11" i="4"/>
  <c r="H39" i="1"/>
  <c r="F9" i="4"/>
  <c r="G9"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<sst xmlns="http://schemas.openxmlformats.org/spreadsheetml/2006/main" count="148" uniqueCount="106">
  <si>
    <t>Updated: 1/2025</t>
  </si>
  <si>
    <t>This worksheet is for educational purposes only and the user assumes all risks associated with its use.</t>
  </si>
  <si>
    <t>Revenue</t>
  </si>
  <si>
    <t>Unit</t>
  </si>
  <si>
    <t xml:space="preserve"> Quantity</t>
  </si>
  <si>
    <t>each</t>
  </si>
  <si>
    <t>Total costs</t>
  </si>
  <si>
    <t>Return over total costs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</si>
  <si>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</si>
  <si>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</si>
  <si>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</si>
  <si>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</si>
  <si>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</si>
  <si>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</si>
  <si>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</si>
  <si>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</si>
  <si>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</si>
  <si>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</si>
  <si>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</si>
  <si>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</si>
  <si>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</si>
  <si>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</si>
  <si>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</si>
  <si>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</si>
  <si>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</si>
  <si>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</si>
  <si>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 of sales</t>
  </si>
  <si>
    <t xml:space="preserve">For budget questions, contact: </t>
  </si>
  <si>
    <t>Ryan Milhollin, MU Extension</t>
  </si>
  <si>
    <t xml:space="preserve">For horticulture expertise, contact: </t>
  </si>
  <si>
    <t>MU Commercial Horticulture Team</t>
  </si>
  <si>
    <t>Price per unit</t>
  </si>
  <si>
    <t>Drip tape</t>
  </si>
  <si>
    <t>Labor</t>
  </si>
  <si>
    <t>hour</t>
  </si>
  <si>
    <t xml:space="preserve">Marketing </t>
  </si>
  <si>
    <t>Miscellaneous</t>
  </si>
  <si>
    <t>Developed by: Peter Zimmel, FAPRI</t>
  </si>
  <si>
    <t>Dollars per
 sq. ft.</t>
  </si>
  <si>
    <t>Soil test</t>
  </si>
  <si>
    <t>Lay beds</t>
  </si>
  <si>
    <t>Tilling</t>
  </si>
  <si>
    <t>Planting</t>
  </si>
  <si>
    <t>Weeding</t>
  </si>
  <si>
    <t>IPM scouting/application</t>
  </si>
  <si>
    <t xml:space="preserve">Fertilizer </t>
  </si>
  <si>
    <t>total</t>
  </si>
  <si>
    <t>Water soluble fertilizer</t>
  </si>
  <si>
    <t>Compost fertilizer</t>
  </si>
  <si>
    <t>Plastic mulch</t>
  </si>
  <si>
    <t>Boxes and other supplies</t>
  </si>
  <si>
    <t>feet</t>
  </si>
  <si>
    <t>High tunnel building use</t>
  </si>
  <si>
    <t>month</t>
  </si>
  <si>
    <t>Component</t>
  </si>
  <si>
    <t>Machinery</t>
  </si>
  <si>
    <t>Materials</t>
  </si>
  <si>
    <t>Site evaluation and soil preparation</t>
  </si>
  <si>
    <t>Trenching and laying water pipes</t>
  </si>
  <si>
    <t>Inserting poles and setting posts</t>
  </si>
  <si>
    <t>Assembling the frame</t>
  </si>
  <si>
    <t>Treating and setting baseboards</t>
  </si>
  <si>
    <t>End and sidewall installation</t>
  </si>
  <si>
    <t>Pulling plastic</t>
  </si>
  <si>
    <t>Channel lock installation</t>
  </si>
  <si>
    <t>Shutter vents</t>
  </si>
  <si>
    <t>Trellis purlin installation</t>
  </si>
  <si>
    <t>Electrical</t>
  </si>
  <si>
    <t>Miscellaneous hardware and tools</t>
  </si>
  <si>
    <t>Total cost</t>
  </si>
  <si>
    <t>Useful life</t>
  </si>
  <si>
    <t>10-year cost</t>
  </si>
  <si>
    <t>Seeds</t>
  </si>
  <si>
    <t>cubic yard</t>
  </si>
  <si>
    <t>thousand</t>
  </si>
  <si>
    <t>End of season cleanup</t>
  </si>
  <si>
    <t>Harvesting and washing</t>
  </si>
  <si>
    <t>Venting</t>
  </si>
  <si>
    <t>Row cover</t>
  </si>
  <si>
    <t>Hoops</t>
  </si>
  <si>
    <t>sq. ft.</t>
  </si>
  <si>
    <t>Cost per square foot</t>
  </si>
  <si>
    <t>percent</t>
  </si>
  <si>
    <t>Operating interest</t>
  </si>
  <si>
    <t>High tunnel utilization</t>
  </si>
  <si>
    <t>Value</t>
  </si>
  <si>
    <t>High tunnel size (total area)</t>
  </si>
  <si>
    <t>square feet</t>
  </si>
  <si>
    <t>High tunnel area used for this crop</t>
  </si>
  <si>
    <t xml:space="preserve">Explore estimated annual returns over total costs under varying revenue and cost scenarios in full production. </t>
  </si>
  <si>
    <t xml:space="preserve">Spinach (High Tunnel) Enterprise Budget for Missouri </t>
  </si>
  <si>
    <t>Spinach (High Tunnel) Enterprise Budget</t>
  </si>
  <si>
    <t>Spinach</t>
  </si>
  <si>
    <t>pound</t>
  </si>
  <si>
    <t xml:space="preserve">Irrigation </t>
  </si>
  <si>
    <t>Lady bugs</t>
  </si>
  <si>
    <t>Price per pound</t>
  </si>
  <si>
    <t xml:space="preserve">Explore annual profitability expectations (per square foot area returns over total costs) under varying yield and price scenarios in full production and holding costs constant. </t>
  </si>
  <si>
    <t>This budget models high tunnel spinach production. Marketing is assumed to be fresh markets. Develop a customized budget by adjusting the assumptions in gray cells to match the management practices and expected yields and prices for your farm.</t>
  </si>
  <si>
    <t xml:space="preserve">Budget created by Peter Zimmel, Food and Agricultural Policy Institute (FAPRI). Prices were updated January 2025. Access online at </t>
  </si>
  <si>
    <t>box</t>
  </si>
  <si>
    <t>This work is supported by the U.S. Department of Agriculture’s (USDA) Farm Service Agency through project award number FSA23CPT0012862. Its contents are solely the responsibility of the authors and do not necessarily represent the official views of the USDA.</t>
  </si>
  <si>
    <t>https://extension.missouri.edu/programs/agricultural-business-and-policy-extension/missouri-crop-and-livestock-enterprise-budgets</t>
  </si>
  <si>
    <t>Table 2. Capital investments used in Missouri high tunnel spinach budget</t>
  </si>
  <si>
    <t>Table 3. Sensitivity analysis for Missouri high tunnel spinach budget, income over total costs</t>
  </si>
  <si>
    <t>Table 4. Sensitivity analysis for Missouri high tunnel spinach budget, operating costs and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</si>
</sst>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164" formatCode="&quot;$&quot;#,##0.00"/>
    <numFmt numFmtId="165" formatCode="#,##0.0"/>
    <numFmt numFmtId="166" formatCode="0.0%"/>
  </numFmts>
  <fonts count="30">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u/>
      <sz val="11"/>
      <color theme="1"/>
      <name val="Palatino Linotype"/>
      <family val="1"/>
    </font>
    <font>
      <b/>
      <sz val="12"/>
      <color theme="1"/>
      <name val="Aptos"/>
      <family val="2"/>
      <scheme val="minor"/>
    </font>
    <font>
      <b/>
      <sz val="12"/>
      <color rgb="FFFDB719"/>
      <name val="Aptos Black"/>
      <family val="2"/>
      <scheme val="major"/>
    </font>
    <font>
      <b/>
      <sz val="11"/>
      <name val="Aptos"/>
      <family val="2"/>
      <scheme val="minor"/>
    </font>
    <font>
      <u/>
      <sz val="11"/>
      <color theme="1"/>
      <name val="Aptos"/>
      <family val="2"/>
      <scheme val="minor"/>
    </font>
    <font>
      <sz val="10"/>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b/>
      <sz val="12"/>
      <color rgb="FF3F3F3F"/>
      <name val="Aptos"/>
      <family val="2"/>
      <scheme val="minor"/>
    </font>
    <font>
      <sz val="12"/>
      <color theme="1"/>
      <name val="Palatino Linotype"/>
      <family val="1"/>
    </font>
    <font>
      <b/>
      <sz val="12"/>
      <name val="Aptos"/>
      <family val="2"/>
      <scheme val="minor"/>
    </font>
    <font>
      <i/>
      <sz val="12"/>
      <color theme="1"/>
      <name val="Aptos"/>
      <family val="2"/>
      <scheme val="minor"/>
    </font>
    <font>
      <sz val="12"/>
      <name val="Aptos"/>
      <family val="2"/>
      <scheme val="minor"/>
    </font>
    <font>
      <b/>
      <sz val="12"/>
      <color rgb="FFF1B82D"/>
      <name val="Aptos"/>
      <family val="2"/>
      <scheme val="minor"/>
    </font>
    <font>
      <sz val="16"/>
      <color rgb="FFFDB719"/>
      <name val="Aptos Black"/>
      <family val="2"/>
      <scheme val="major"/>
    </font>
    <font>
      <b/>
      <sz val="16"/>
      <color rgb="FFF1B82D"/>
      <name val="Aptos Black"/>
      <family val="2"/>
      <scheme val="major"/>
    </font>
    <font>
      <b/>
      <sz val="12"/>
      <color rgb="FFF1B82D"/>
      <name val="Aptos Black"/>
      <family val="2"/>
      <scheme val="major"/>
    </font>
    <font>
      <u/>
      <sz val="11"/>
      <color theme="10"/>
      <name val="Aptos"/>
      <family val="2"/>
      <scheme val="minor"/>
    </font>
    <font>
      <b/>
      <u/>
      <sz val="12"/>
      <color theme="10"/>
      <name val="Aptos"/>
      <family val="2"/>
      <scheme val="minor"/>
    </font>
    <font>
      <sz val="10"/>
      <name val="TimesNewRomanPS"/>
    </font>
    <font>
      <i/>
      <sz val="10"/>
      <color theme="1"/>
      <name val="Aptos"/>
      <family val="2"/>
      <scheme val="minor"/>
    </font>
    <font>
      <sz val="10"/>
      <name val="Aptos"/>
      <family val="2"/>
      <scheme val="minor"/>
    </font>
    <font>
      <u/>
      <sz val="10"/>
      <color theme="10"/>
      <name val="Aptos"/>
      <family val="2"/>
      <scheme val="minor"/>
    </font>
    <font>
      <b/>
      <sz val="12"/>
      <color theme="0"/>
      <name val="Aptos"/>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10" fillId="4" borderId="4" applyNumberFormat="0" applyAlignment="0" applyProtection="0"/>
    <xf numFmtId="0" fontId="1" fillId="0" borderId="0"/>
    <xf numFmtId="44" fontId="1" fillId="0" borderId="0" applyFont="0" applyFill="0" applyBorder="0" applyAlignment="0" applyProtection="0"/>
    <xf numFmtId="0" fontId="23" fillId="0" borderId="0" applyNumberFormat="0" applyFill="0" applyBorder="0" applyAlignment="0" applyProtection="0"/>
    <xf numFmtId="0" fontId="25" fillId="0" borderId="0"/>
  </cellStyleXfs>
  <cellXfs count="150">
    <xf numFmtId="0" fontId="0" fillId="0" borderId="0" xfId="0"/>
    <xf numFmtId="0" fontId="19" fillId="3" borderId="17" xfId="0" applyFont="1" applyFill="1" applyBorder="1" applyAlignment="1">
      <alignment horizontal="center" textRotation="90"/>
    </xf>
    <xf numFmtId="0" fontId="17" fillId="3" borderId="19" xfId="0" applyFont="1" applyFill="1" applyBorder="1"/>
    <xf numFmtId="0" fontId="17" fillId="3" borderId="20" xfId="0" applyFont="1" applyFill="1" applyBorder="1"/>
    <xf numFmtId="0" fontId="19" fillId="3" borderId="17" xfId="0" applyFont="1" applyFill="1" applyBorder="1" applyAlignment="1">
      <alignment horizontal="center" vertical="center" textRotation="90"/>
    </xf>
    <xf numFmtId="164" fontId="13" fillId="2" borderId="0" xfId="4" applyNumberFormat="1" applyFont="1" applyFill="1" applyProtection="1">
      <protection locked="0"/>
    </xf>
    <xf numFmtId="165" fontId="13" fillId="2" borderId="0" xfId="0" applyNumberFormat="1" applyFont="1" applyFill="1" applyProtection="1">
      <protection locked="0"/>
    </xf>
    <xf numFmtId="9" fontId="13" fillId="2" borderId="0" xfId="1" applyFont="1" applyFill="1" applyProtection="1">
      <protection locked="0"/>
    </xf>
    <xf numFmtId="0" fontId="13" fillId="3" borderId="16" xfId="0" applyFont="1" applyFill="1" applyBorder="1"/>
    <xf numFmtId="0" fontId="13" fillId="3" borderId="11" xfId="0" applyFont="1" applyFill="1" applyBorder="1"/>
    <xf numFmtId="0" fontId="13" fillId="3" borderId="12" xfId="0" applyFont="1" applyFill="1" applyBorder="1"/>
    <xf numFmtId="0" fontId="13" fillId="3" borderId="0" xfId="0" applyFont="1" applyFill="1"/>
    <xf numFmtId="0" fontId="19" fillId="3" borderId="12" xfId="0" applyFont="1" applyFill="1" applyBorder="1" applyAlignment="1">
      <alignment horizontal="center" textRotation="90"/>
    </xf>
    <xf numFmtId="0" fontId="13" fillId="3" borderId="18" xfId="0" applyFont="1" applyFill="1" applyBorder="1"/>
    <xf numFmtId="0" fontId="13" fillId="3" borderId="13" xfId="0" applyFont="1" applyFill="1" applyBorder="1"/>
    <xf numFmtId="0" fontId="19" fillId="3" borderId="15" xfId="0" applyFont="1" applyFill="1" applyBorder="1" applyAlignment="1">
      <alignment horizontal="center" textRotation="90"/>
    </xf>
    <xf numFmtId="0" fontId="19" fillId="3" borderId="2" xfId="0" applyFont="1" applyFill="1" applyBorder="1" applyAlignment="1">
      <alignment horizontal="center" textRotation="90"/>
    </xf>
    <xf numFmtId="0" fontId="13" fillId="3" borderId="27" xfId="0" applyFont="1" applyFill="1" applyBorder="1"/>
    <xf numFmtId="0" fontId="19" fillId="3" borderId="28" xfId="0" applyFont="1" applyFill="1" applyBorder="1" applyAlignment="1">
      <alignment horizontal="center" vertical="center" textRotation="90"/>
    </xf>
    <xf numFmtId="0" fontId="9" fillId="2" borderId="0" xfId="0" applyFont="1" applyFill="1" applyProtection="1">
      <protection locked="0"/>
    </xf>
    <xf numFmtId="0" fontId="13" fillId="2" borderId="0" xfId="0" applyFont="1" applyFill="1" applyProtection="1">
      <protection locked="0"/>
    </xf>
    <xf numFmtId="164" fontId="9" fillId="2" borderId="0" xfId="0" applyNumberFormat="1" applyFont="1" applyFill="1" applyProtection="1">
      <protection locked="0"/>
    </xf>
    <xf numFmtId="164" fontId="9" fillId="2" borderId="0" xfId="1" applyNumberFormat="1" applyFont="1" applyFill="1" applyBorder="1" applyProtection="1">
      <protection locked="0"/>
    </xf>
    <xf numFmtId="164" fontId="9" fillId="2" borderId="0" xfId="0" applyNumberFormat="1" applyFont="1" applyFill="1" applyAlignment="1" applyProtection="1">
      <alignment horizontal="right"/>
      <protection locked="0"/>
    </xf>
    <xf numFmtId="0" fontId="27" fillId="2" borderId="0" xfId="6" applyFont="1" applyFill="1" applyAlignment="1" applyProtection="1">
      <alignment horizontal="left"/>
      <protection locked="0"/>
    </xf>
    <xf numFmtId="164" fontId="9" fillId="2" borderId="2" xfId="0" applyNumberFormat="1" applyFont="1" applyFill="1" applyBorder="1" applyProtection="1">
      <protection locked="0"/>
    </xf>
    <xf numFmtId="3" fontId="9" fillId="2" borderId="0" xfId="0" applyNumberFormat="1" applyFont="1" applyFill="1" applyProtection="1">
      <protection locked="0"/>
    </xf>
    <xf numFmtId="3" fontId="9" fillId="2" borderId="2" xfId="0" applyNumberFormat="1" applyFont="1" applyFill="1" applyBorder="1" applyProtection="1">
      <protection locked="0"/>
    </xf>
    <xf numFmtId="164" fontId="13" fillId="2" borderId="0" xfId="0" applyNumberFormat="1" applyFont="1" applyFill="1" applyProtection="1">
      <protection locked="0"/>
    </xf>
    <xf numFmtId="10" fontId="13" fillId="2" borderId="0" xfId="0" applyNumberFormat="1" applyFont="1" applyFill="1" applyProtection="1">
      <protection locked="0"/>
    </xf>
    <xf numFmtId="3" fontId="0" fillId="2" borderId="0" xfId="0" applyNumberFormat="1" applyFill="1" applyProtection="1">
      <protection locked="0"/>
    </xf>
    <xf numFmtId="3" fontId="13" fillId="0" borderId="11" xfId="0" applyNumberFormat="1" applyFont="1" applyBorder="1" applyProtection="1">
      <protection locked="0"/>
    </xf>
    <xf numFmtId="7" fontId="13" fillId="0" borderId="12" xfId="4" applyNumberFormat="1" applyFont="1" applyFill="1" applyBorder="1" applyAlignment="1" applyProtection="1">
      <alignment horizontal="center"/>
      <protection locked="0"/>
    </xf>
    <xf numFmtId="0" fontId="13" fillId="0" borderId="0" xfId="0" applyFont="1"/>
    <xf numFmtId="0" fontId="13" fillId="0" borderId="0" xfId="0" applyFont="1" applyAlignment="1">
      <alignment wrapText="1"/>
    </xf>
    <xf numFmtId="2" fontId="13" fillId="0" borderId="17" xfId="0" applyNumberFormat="1" applyFont="1" applyBorder="1" applyAlignment="1">
      <alignment horizontal="center"/>
    </xf>
    <xf numFmtId="6" fontId="18" fillId="0" borderId="16" xfId="4" applyNumberFormat="1" applyFont="1" applyFill="1" applyBorder="1"/>
    <xf numFmtId="6" fontId="18" fillId="0" borderId="11" xfId="4" applyNumberFormat="1" applyFont="1" applyFill="1" applyBorder="1"/>
    <xf numFmtId="6" fontId="18" fillId="0" borderId="18" xfId="4" applyNumberFormat="1" applyFont="1" applyFill="1" applyBorder="1"/>
    <xf numFmtId="6" fontId="18" fillId="0" borderId="12" xfId="4" applyNumberFormat="1" applyFont="1" applyFill="1" applyBorder="1"/>
    <xf numFmtId="6" fontId="18" fillId="0" borderId="0" xfId="4" applyNumberFormat="1" applyFont="1" applyFill="1" applyBorder="1"/>
    <xf numFmtId="6" fontId="18" fillId="0" borderId="13" xfId="4" applyNumberFormat="1" applyFont="1" applyFill="1" applyBorder="1"/>
    <xf numFmtId="6" fontId="18" fillId="0" borderId="21" xfId="4" applyNumberFormat="1" applyFont="1" applyFill="1" applyBorder="1"/>
    <xf numFmtId="2" fontId="13" fillId="0" borderId="28" xfId="0" applyNumberFormat="1" applyFont="1" applyBorder="1" applyAlignment="1">
      <alignment horizontal="center"/>
    </xf>
    <xf numFmtId="6" fontId="18" fillId="0" borderId="15" xfId="4" applyNumberFormat="1" applyFont="1" applyFill="1" applyBorder="1"/>
    <xf numFmtId="6" fontId="18" fillId="0" borderId="2" xfId="4" applyNumberFormat="1" applyFont="1" applyFill="1" applyBorder="1"/>
    <xf numFmtId="6" fontId="18" fillId="0" borderId="14" xfId="4" applyNumberFormat="1" applyFont="1" applyFill="1" applyBorder="1"/>
    <xf numFmtId="3" fontId="13" fillId="0" borderId="22" xfId="0" applyNumberFormat="1" applyFont="1" applyBorder="1" applyAlignment="1">
      <alignment horizontal="right"/>
    </xf>
    <xf numFmtId="3" fontId="13" fillId="0" borderId="1" xfId="0" applyNumberFormat="1" applyFont="1" applyBorder="1" applyAlignment="1">
      <alignment horizontal="right"/>
    </xf>
    <xf numFmtId="3" fontId="13" fillId="0" borderId="23" xfId="0" applyNumberFormat="1" applyFont="1" applyBorder="1" applyAlignment="1">
      <alignment horizontal="right"/>
    </xf>
    <xf numFmtId="0" fontId="18" fillId="0" borderId="0" xfId="0" applyFont="1" applyAlignment="1">
      <alignment horizontal="center" vertical="center"/>
    </xf>
    <xf numFmtId="7" fontId="13" fillId="0" borderId="12" xfId="4" applyNumberFormat="1" applyFont="1" applyFill="1" applyBorder="1" applyAlignment="1">
      <alignment horizontal="center"/>
    </xf>
    <xf numFmtId="9" fontId="18" fillId="0" borderId="0" xfId="0" applyNumberFormat="1" applyFont="1" applyAlignment="1">
      <alignment horizontal="center" vertical="center"/>
    </xf>
    <xf numFmtId="0" fontId="18" fillId="0" borderId="2" xfId="0" applyFont="1" applyBorder="1" applyAlignment="1">
      <alignment horizontal="center" vertical="center"/>
    </xf>
    <xf numFmtId="7" fontId="13" fillId="0" borderId="15" xfId="4" applyNumberFormat="1" applyFont="1" applyFill="1" applyBorder="1" applyAlignment="1">
      <alignment horizontal="center"/>
    </xf>
    <xf numFmtId="0" fontId="18" fillId="0" borderId="0" xfId="0" applyFont="1" applyAlignment="1">
      <alignment horizontal="right"/>
    </xf>
    <xf numFmtId="0" fontId="18" fillId="0" borderId="13" xfId="0" applyFont="1" applyBorder="1" applyAlignment="1">
      <alignment horizontal="right"/>
    </xf>
    <xf numFmtId="3" fontId="13" fillId="0" borderId="11" xfId="0" applyNumberFormat="1" applyFont="1" applyBorder="1"/>
    <xf numFmtId="3" fontId="13" fillId="0" borderId="18" xfId="0" applyNumberFormat="1" applyFont="1" applyBorder="1"/>
    <xf numFmtId="0" fontId="2" fillId="0" borderId="0" xfId="0" applyFont="1"/>
    <xf numFmtId="0" fontId="9" fillId="0" borderId="0" xfId="0" applyFont="1" applyAlignment="1">
      <alignment horizontal="right"/>
    </xf>
    <xf numFmtId="164" fontId="9" fillId="0" borderId="0" xfId="0" applyNumberFormat="1" applyFont="1"/>
    <xf numFmtId="164" fontId="9" fillId="0" borderId="0" xfId="1" applyNumberFormat="1" applyFont="1" applyFill="1" applyBorder="1" applyProtection="1"/>
    <xf numFmtId="0" fontId="9" fillId="0" borderId="0" xfId="0" applyFont="1"/>
    <xf numFmtId="0" fontId="0" fillId="0" borderId="2" xfId="0" applyBorder="1"/>
    <xf numFmtId="0" fontId="9" fillId="0" borderId="2" xfId="0" applyFont="1" applyBorder="1" applyAlignment="1">
      <alignment horizontal="right"/>
    </xf>
    <xf numFmtId="164" fontId="9" fillId="0" borderId="2" xfId="0" applyNumberFormat="1" applyFont="1" applyBorder="1"/>
    <xf numFmtId="0" fontId="26" fillId="0" borderId="0" xfId="0" applyFont="1" applyAlignment="1">
      <alignment horizontal="right"/>
    </xf>
    <xf numFmtId="164" fontId="0" fillId="0" borderId="0" xfId="0" applyNumberFormat="1"/>
    <xf numFmtId="166" fontId="0" fillId="0" borderId="0" xfId="0" applyNumberFormat="1"/>
    <xf numFmtId="164" fontId="9" fillId="0" borderId="2" xfId="1" applyNumberFormat="1" applyFont="1" applyFill="1" applyBorder="1" applyProtection="1"/>
    <xf numFmtId="0" fontId="8" fillId="0" borderId="0" xfId="0" applyFont="1"/>
    <xf numFmtId="0" fontId="0" fillId="0" borderId="0" xfId="0" applyAlignment="1">
      <alignment horizontal="right"/>
    </xf>
    <xf numFmtId="164" fontId="0" fillId="0" borderId="0" xfId="0" applyNumberFormat="1" applyAlignment="1">
      <alignment horizontal="right"/>
    </xf>
    <xf numFmtId="0" fontId="9" fillId="0" borderId="1" xfId="0" applyFont="1" applyBorder="1"/>
    <xf numFmtId="0" fontId="9" fillId="0" borderId="1" xfId="0" applyFont="1" applyBorder="1" applyAlignment="1">
      <alignment horizontal="right"/>
    </xf>
    <xf numFmtId="164" fontId="9" fillId="0" borderId="1" xfId="0" applyNumberFormat="1" applyFont="1" applyBorder="1" applyAlignment="1">
      <alignment horizontal="right"/>
    </xf>
    <xf numFmtId="0" fontId="9" fillId="0" borderId="0" xfId="0" applyFont="1" applyAlignment="1">
      <alignment horizontal="left" wrapText="1"/>
    </xf>
    <xf numFmtId="0" fontId="5" fillId="0" borderId="0" xfId="0" applyFont="1" applyAlignment="1">
      <alignment horizontal="right"/>
    </xf>
    <xf numFmtId="164" fontId="13" fillId="0" borderId="0" xfId="0" applyNumberFormat="1" applyFont="1"/>
    <xf numFmtId="0" fontId="2" fillId="0" borderId="2" xfId="0" applyFont="1" applyBorder="1"/>
    <xf numFmtId="164" fontId="13" fillId="0" borderId="2" xfId="0" applyNumberFormat="1" applyFont="1" applyBorder="1"/>
    <xf numFmtId="0" fontId="5" fillId="0" borderId="0" xfId="0" applyFont="1" applyAlignment="1">
      <alignment horizontal="left"/>
    </xf>
    <xf numFmtId="0" fontId="5" fillId="0" borderId="11" xfId="0" applyFont="1" applyBorder="1" applyAlignment="1">
      <alignment horizontal="left" wrapText="1"/>
    </xf>
    <xf numFmtId="0" fontId="13" fillId="0" borderId="11" xfId="0" applyFont="1" applyBorder="1"/>
    <xf numFmtId="164" fontId="13" fillId="0" borderId="11" xfId="0" applyNumberFormat="1" applyFont="1" applyBorder="1"/>
    <xf numFmtId="0" fontId="5" fillId="0" borderId="3" xfId="0" applyFont="1" applyBorder="1" applyAlignment="1">
      <alignment horizontal="left"/>
    </xf>
    <xf numFmtId="0" fontId="2" fillId="0" borderId="3" xfId="0" applyFont="1" applyBorder="1"/>
    <xf numFmtId="0" fontId="13" fillId="0" borderId="3" xfId="0" applyFont="1" applyBorder="1"/>
    <xf numFmtId="164" fontId="13" fillId="0" borderId="3" xfId="0" applyNumberFormat="1" applyFont="1" applyBorder="1"/>
    <xf numFmtId="0" fontId="0" fillId="0" borderId="1" xfId="0" applyBorder="1"/>
    <xf numFmtId="164" fontId="13" fillId="0" borderId="1" xfId="0" applyNumberFormat="1" applyFont="1" applyBorder="1"/>
    <xf numFmtId="0" fontId="15" fillId="0" borderId="0" xfId="0" applyFont="1"/>
    <xf numFmtId="3" fontId="13" fillId="0" borderId="0" xfId="0" applyNumberFormat="1" applyFont="1"/>
    <xf numFmtId="164" fontId="2" fillId="0" borderId="0" xfId="0" applyNumberFormat="1" applyFont="1"/>
    <xf numFmtId="0" fontId="16" fillId="0" borderId="1" xfId="0" applyFont="1" applyBorder="1"/>
    <xf numFmtId="0" fontId="7" fillId="0" borderId="1" xfId="0" applyFont="1" applyBorder="1" applyAlignment="1">
      <alignment horizontal="left" wrapText="1"/>
    </xf>
    <xf numFmtId="2" fontId="16" fillId="0" borderId="1" xfId="6" applyNumberFormat="1" applyFont="1" applyBorder="1" applyAlignment="1">
      <alignment horizontal="right"/>
    </xf>
    <xf numFmtId="2" fontId="16" fillId="0" borderId="1" xfId="6" applyNumberFormat="1" applyFont="1" applyBorder="1" applyAlignment="1">
      <alignment horizontal="right" wrapText="1"/>
    </xf>
    <xf numFmtId="9" fontId="9" fillId="0" borderId="0" xfId="0" applyNumberFormat="1" applyFont="1" applyAlignment="1">
      <alignment horizontal="left"/>
    </xf>
    <xf numFmtId="165" fontId="13" fillId="0" borderId="0" xfId="0" applyNumberFormat="1" applyFont="1"/>
    <xf numFmtId="0" fontId="9" fillId="0" borderId="0" xfId="0" applyFont="1" applyProtection="1">
      <protection locked="0"/>
    </xf>
    <xf numFmtId="164" fontId="13" fillId="0" borderId="0" xfId="4" applyNumberFormat="1" applyFont="1" applyFill="1" applyProtection="1"/>
    <xf numFmtId="0" fontId="16" fillId="0" borderId="1" xfId="6" applyFont="1" applyBorder="1" applyAlignment="1">
      <alignment horizontal="left"/>
    </xf>
    <xf numFmtId="0" fontId="6" fillId="0" borderId="0" xfId="0" applyFont="1"/>
    <xf numFmtId="0" fontId="18" fillId="0" borderId="0" xfId="0" applyFont="1"/>
    <xf numFmtId="0" fontId="4" fillId="0" borderId="0" xfId="0" applyFont="1"/>
    <xf numFmtId="0" fontId="5" fillId="0" borderId="0" xfId="0" applyFont="1"/>
    <xf numFmtId="0" fontId="11" fillId="0" borderId="0" xfId="0" applyFont="1"/>
    <xf numFmtId="0" fontId="11"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right" vertical="top" wrapText="1"/>
    </xf>
    <xf numFmtId="0" fontId="24" fillId="0" borderId="0" xfId="5" applyFont="1" applyFill="1" applyAlignment="1">
      <alignment horizontal="left" vertical="top" wrapText="1"/>
    </xf>
    <xf numFmtId="0" fontId="3" fillId="0" borderId="0" xfId="0" applyFont="1" applyAlignment="1">
      <alignment horizontal="left" indent="4"/>
    </xf>
    <xf numFmtId="0" fontId="9" fillId="2" borderId="11"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0" fontId="9" fillId="2" borderId="2" xfId="0" applyFont="1" applyFill="1" applyBorder="1" applyAlignment="1" applyProtection="1">
      <alignment horizontal="left"/>
      <protection locked="0"/>
    </xf>
    <xf numFmtId="0" fontId="12" fillId="3" borderId="5" xfId="0" applyFont="1" applyFill="1" applyBorder="1"/>
    <xf numFmtId="0" fontId="12" fillId="3" borderId="6" xfId="0" applyFont="1" applyFill="1" applyBorder="1"/>
    <xf numFmtId="0" fontId="21" fillId="3" borderId="5" xfId="3" applyFont="1" applyFill="1" applyBorder="1" applyAlignment="1">
      <alignment horizontal="center"/>
    </xf>
    <xf numFmtId="0" fontId="21" fillId="3" borderId="6" xfId="3" applyFont="1" applyFill="1" applyBorder="1" applyAlignment="1">
      <alignment horizontal="center"/>
    </xf>
    <xf numFmtId="0" fontId="21" fillId="3" borderId="7" xfId="3" applyFont="1" applyFill="1" applyBorder="1" applyAlignment="1">
      <alignment horizontal="center"/>
    </xf>
    <xf numFmtId="0" fontId="13" fillId="0" borderId="0" xfId="0" applyFont="1" applyAlignment="1">
      <alignment horizontal="right"/>
    </xf>
    <xf numFmtId="0" fontId="0" fillId="0" borderId="0" xfId="0"/>
    <xf numFmtId="0" fontId="14" fillId="4" borderId="8" xfId="2" applyFont="1" applyBorder="1" applyAlignment="1">
      <alignment horizontal="center" wrapText="1"/>
    </xf>
    <xf numFmtId="0" fontId="14" fillId="4" borderId="9" xfId="2" applyFont="1" applyBorder="1" applyAlignment="1">
      <alignment horizontal="center" wrapText="1"/>
    </xf>
    <xf numFmtId="0" fontId="14" fillId="4" borderId="10" xfId="2" applyFont="1" applyBorder="1" applyAlignment="1">
      <alignment horizontal="center" wrapText="1"/>
    </xf>
    <xf numFmtId="0" fontId="13" fillId="0" borderId="0" xfId="0" applyFont="1" applyAlignment="1">
      <alignment horizontal="left" vertical="top" wrapText="1"/>
    </xf>
    <xf numFmtId="0" fontId="9" fillId="0" borderId="0" xfId="0" applyFont="1" applyAlignment="1">
      <alignment horizontal="left" vertical="center" wrapText="1"/>
    </xf>
    <xf numFmtId="0" fontId="9" fillId="2" borderId="0" xfId="0" applyFont="1" applyFill="1" applyAlignment="1" applyProtection="1">
      <alignment horizontal="left"/>
      <protection locked="0"/>
    </xf>
    <xf numFmtId="0" fontId="20" fillId="3" borderId="12" xfId="0" applyFont="1" applyFill="1" applyBorder="1" applyAlignment="1">
      <alignment horizontal="center" wrapText="1"/>
    </xf>
    <xf numFmtId="0" fontId="20" fillId="3" borderId="0" xfId="0" applyFont="1" applyFill="1" applyAlignment="1">
      <alignment horizontal="center" wrapText="1"/>
    </xf>
    <xf numFmtId="0" fontId="18" fillId="0" borderId="2" xfId="0" applyFont="1" applyBorder="1" applyAlignment="1">
      <alignment horizontal="center" wrapText="1"/>
    </xf>
    <xf numFmtId="0" fontId="28" fillId="0" borderId="0" xfId="5" applyFont="1" applyFill="1" applyAlignment="1">
      <alignment horizontal="left"/>
    </xf>
    <xf numFmtId="0" fontId="5" fillId="0" borderId="0" xfId="0" applyFont="1" applyAlignment="1">
      <alignment horizontal="center"/>
    </xf>
    <xf numFmtId="0" fontId="13" fillId="0" borderId="0" xfId="0" applyFont="1" applyAlignment="1">
      <alignment horizontal="left"/>
    </xf>
    <xf numFmtId="0" fontId="22" fillId="3" borderId="25" xfId="0" applyFont="1" applyFill="1" applyBorder="1" applyAlignment="1">
      <alignment horizontal="center" vertical="center" textRotation="90"/>
    </xf>
    <xf numFmtId="0" fontId="22" fillId="3" borderId="26" xfId="0" applyFont="1" applyFill="1" applyBorder="1" applyAlignment="1">
      <alignment horizontal="center" vertical="center" textRotation="90"/>
    </xf>
    <xf numFmtId="0" fontId="22" fillId="3" borderId="24" xfId="0" applyFont="1" applyFill="1" applyBorder="1" applyAlignment="1">
      <alignment horizontal="center"/>
    </xf>
    <xf numFmtId="0" fontId="22" fillId="3" borderId="1" xfId="0" applyFont="1" applyFill="1" applyBorder="1" applyAlignment="1">
      <alignment horizontal="center"/>
    </xf>
    <xf numFmtId="0" fontId="22" fillId="3" borderId="23" xfId="0" applyFont="1" applyFill="1" applyBorder="1" applyAlignment="1">
      <alignment horizontal="center"/>
    </xf>
    <xf numFmtId="0" fontId="22" fillId="3" borderId="12" xfId="0" applyFont="1" applyFill="1" applyBorder="1" applyAlignment="1">
      <alignment horizontal="center" vertical="center" textRotation="90"/>
    </xf>
    <xf numFmtId="0" fontId="22" fillId="3" borderId="15" xfId="0" applyFont="1" applyFill="1" applyBorder="1" applyAlignment="1">
      <alignment horizontal="center" vertical="center" textRotation="90"/>
    </xf>
    <xf numFmtId="0" fontId="13" fillId="0" borderId="0" xfId="0" applyFont="1" applyAlignment="1">
      <alignment horizontal="left" wrapText="1"/>
    </xf>
    <xf numFmtId="0" fontId="22" fillId="3" borderId="1" xfId="0" applyFont="1" applyFill="1" applyBorder="1" applyAlignment="1">
      <alignment horizontal="center" wrapText="1"/>
    </xf>
    <xf numFmtId="0" fontId="29" fillId="5" borderId="0" xfId="2" applyFont="1" applyFill="1" applyBorder="1" applyAlignment="1">
      <alignment horizontal="center" wrapText="1"/>
    </xf>
    <xf numFmtId="0" fontId="11" fillId="0" borderId="0" xfId="0" applyFont="1" applyAlignment="1"/>
    <xf numFmtId="0" fontId="5" fillId="0" borderId="0" xfId="0" applyFont="1" applyAlignment="1">
      <alignment vertical="top" wrapText="1"/>
    </xf>
    <xf numFmtId="0" fontId="9" fillId="0" borderId="0" xfId="0" applyFont="1" applyAlignment="1"/>
    <xf numFmtId="0" fontId="3" fillId="0" borderId="0" xfId="0" applyFont="1"/>
  </cellXfs>
  <cellStyles count="7">
    <cellStyle name="Currency" xfId="4" builtinId="4"/>
    <cellStyle name="Hyperlink" xfId="5" builtinId="8"/>
    <cellStyle name="Normal" xfId="0" builtinId="0"/>
    <cellStyle name="Normal 2" xfId="6" xr:uid="{138806ED-816B-4D53-BED9-1168E54DE5D2}"/>
    <cellStyle name="Normal 2 2" xfId="3" xr:uid="{B82EEC54-C959-4263-882E-61D78481713D}"/>
    <cellStyle name="Output" xfId="2" builtinId="21"/>
    <cellStyle name="Percent" xfId="1" builtinId="5"/>
  </cellStyles>
  <dxfs count="5">
    <dxf>
      <font>
        <color rgb="FFFF0000"/>
      </font>
    </dxf>
    <dxf>
      <font>
        <color rgb="FFFF0000"/>
      </font>
    </dxf>
    <dxf>
      <font>
        <strike val="0"/>
        <color theme="0"/>
      </font>
    </dxf>
    <dxf>
      <font>
        <strike val="0"/>
        <color theme="0"/>
      </font>
    </dxf>
    <dxf>
      <font>
        <strike val="0"/>
        <color theme="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University of Missouri - Extension and Food &amp; Agricultural Policy Research Institute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ryan-milhollin" TargetMode="External"/><Relationship Id="rId1" Type="http://schemas.openxmlformats.org/officeDocument/2006/relationships/hyperlink" Target="https://extension.missouri.edu/programs/commercial-horticulture/find-a-horticulturist-near-yo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xtension.missouri.edu/programs/agricultural-business-and-policy-extension/missouri-crop-and-livestock-enterprise-budg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codeName="Sheet1">
    <pageSetUpPr fitToPage="1"/>
  </sheetPr>
  <dimension ref="A1:M47"/>
  <sheetViews>
    <sheetView showGridLines="0" tabSelected="1" workbookViewId="0">
      <selection activeCell="D12" sqref="D12"/>
    </sheetView>
  </sheetViews>
  <sheetFormatPr defaultColWidth="0" defaultRowHeight="16.5" customHeight="1" zeroHeight="1"/>
  <cols>
    <col min="1" max="1" width="2.83203125" style="108" customWidth="1"/>
    <col min="2" max="2" width="35.75" style="108" customWidth="1"/>
    <col min="3" max="3" width="34.58203125" style="108" customWidth="1"/>
    <col min="4" max="4" width="27.58203125" style="108" customWidth="1"/>
    <col min="5" max="5" width="3" style="108" customWidth="1"/>
    <col min="6" max="8" width="9" style="108" hidden="1" customWidth="1"/>
    <col min="9" max="13" width="0" style="108" hidden="1" customWidth="1"/>
    <col min="14" max="16384" width="9" style="108" hidden="1"/>
  </cols>
  <sheetData>
    <row r="1" spans="2:4" ht="17" thickBot="1">
      <c r="B1"/>
      <c r="C1"/>
      <c r="D1"/>
    </row>
    <row r="2" spans="2:4" ht="19.5" customHeight="1" thickBot="1">
      <c r="B2" s="119" t="s">
        <v>90</v>
      </c>
      <c r="C2" s="120"/>
      <c r="D2" s="121"/>
    </row>
    <row r="3" spans="2:4" ht="16.5" customHeight="1">
      <c r="B3" s="122" t="s">
        <v>0</v>
      </c>
      <c r="C3" s="122"/>
      <c r="D3" s="122"/>
    </row>
    <row r="4" spans="2:4">
      <c r="B4" s="123"/>
      <c r="C4" s="123"/>
      <c r="D4" s="123"/>
    </row>
    <row r="5" spans="2:4" ht="56.5" customHeight="1">
      <c r="B5" s="107" t="s">
        <v>37</v>
      </c>
      <c r="C5" s="33"/>
      <c r="D5" s="146" t="e" vm="1">
        <v>#VALUE!</v>
      </c>
    </row>
    <row r="6" spans="2:4" ht="16.5" customHeight="1">
      <c r="B6" s="147"/>
      <c r="C6" s="147"/>
      <c r="D6" s="146"/>
    </row>
    <row r="7" spans="2:4" ht="16.5" customHeight="1">
      <c r="B7" s="111" t="s">
        <v>27</v>
      </c>
      <c r="C7" s="112" t="s">
        <v>28</v>
      </c>
      <c r="D7" s="109"/>
    </row>
    <row r="8" spans="2:4" ht="8.15" customHeight="1">
      <c r="B8" s="111"/>
      <c r="C8" s="110"/>
      <c r="D8" s="109"/>
    </row>
    <row r="9" spans="2:4" ht="16.5" customHeight="1">
      <c r="B9" s="111" t="s">
        <v>29</v>
      </c>
      <c r="C9" s="112" t="s">
        <v>30</v>
      </c>
      <c r="D9" s="109"/>
    </row>
    <row r="10" spans="2:4" ht="16.5" customHeight="1">
      <c r="B10" s="113"/>
      <c r="C10"/>
      <c r="D10"/>
    </row>
    <row r="11" spans="2:4" ht="48.65" customHeight="1">
      <c r="B11" s="127" t="s">
        <v>98</v>
      </c>
      <c r="C11" s="127"/>
      <c r="D11" s="127"/>
    </row>
    <row r="12" spans="2:4" ht="16.5" customHeight="1">
      <c r="B12" s="33"/>
      <c r="C12" s="33"/>
      <c r="D12" s="33"/>
    </row>
    <row r="13" spans="2:4" ht="16.5" customHeight="1">
      <c r="B13" s="124" t="s">
        <v>1</v>
      </c>
      <c r="C13" s="125"/>
      <c r="D13" s="126"/>
    </row>
    <row r="14" spans="2:4" ht="16.5" customHeight="1">
      <c r="B14" s="145"/>
      <c r="C14" s="145"/>
      <c r="D14" s="145"/>
    </row>
    <row r="15" spans="2:4" ht="39" customHeight="1">
      <c r="B15" s="128" t="s">
        <v>101</v>
      </c>
      <c r="C15" s="128"/>
      <c r="D15" s="128"/>
    </row>
    <row r="16" spans="2:4" ht="17" thickBot="1">
      <c r="B16"/>
      <c r="C16"/>
      <c r="D16"/>
    </row>
    <row r="17" spans="2:4" ht="19" thickBot="1">
      <c r="B17" s="117"/>
      <c r="C17" s="118"/>
      <c r="D17" s="118"/>
    </row>
    <row r="18" spans="2:4"/>
    <row r="19" spans="2:4" hidden="1"/>
    <row r="20" spans="2:4" hidden="1"/>
    <row r="21" spans="2:4" hidden="1"/>
    <row r="22" spans="2:4" hidden="1"/>
    <row r="23" spans="2:4" hidden="1"/>
    <row r="24" spans="2:4" hidden="1"/>
    <row r="25" spans="2:4" hidden="1"/>
    <row r="26" spans="2:4" hidden="1"/>
    <row r="27" spans="2:4" hidden="1"/>
    <row r="28" spans="2:4" hidden="1"/>
    <row r="29" spans="2:4" hidden="1"/>
    <row r="33" s="108" customFormat="1" ht="16.5" hidden="1" customHeight="1"/>
    <row r="34" s="108" customFormat="1" ht="16.5" hidden="1" customHeight="1"/>
    <row r="35" s="108" customFormat="1" ht="16.5" hidden="1" customHeight="1"/>
    <row r="36" s="108" customFormat="1" ht="16.5" hidden="1" customHeight="1"/>
    <row r="37" s="108" customFormat="1" ht="16.5" hidden="1" customHeight="1"/>
    <row r="38" s="108" customFormat="1" ht="16.5" hidden="1" customHeight="1"/>
    <row r="39" s="108" customFormat="1" ht="16.5" hidden="1" customHeight="1"/>
    <row r="40" s="108" customFormat="1" ht="16.5" hidden="1" customHeight="1"/>
    <row r="41" s="108" customFormat="1" ht="16.5" hidden="1" customHeight="1"/>
    <row r="42" s="108" customFormat="1" ht="16.5" hidden="1" customHeight="1"/>
    <row r="43" s="108" customFormat="1" ht="16.5" hidden="1" customHeight="1"/>
    <row r="44" s="108" customFormat="1" ht="16.5" hidden="1" customHeight="1"/>
    <row r="45" s="108" customFormat="1" ht="16.5" hidden="1" customHeight="1"/>
    <row r="46" s="108" customFormat="1" ht="16.5" hidden="1" customHeight="1"/>
    <row r="47" s="108" customFormat="1" ht="16.5" hidden="1" customHeight="1"/>
  </sheetData>
  <sheetProtection sheet="1" objects="1" scenarios="1"/>
  <mergeCells count="7">
    <mergeCell ref="B17:D17"/>
    <mergeCell ref="B2:D2"/>
    <mergeCell ref="B3:D3"/>
    <mergeCell ref="B4:D4"/>
    <mergeCell ref="B13:D13"/>
    <mergeCell ref="B11:D11"/>
    <mergeCell ref="B15:D15"/>
  </mergeCells>
  <hyperlinks>
    <hyperlink ref="C9" r:id="rId1" xr:uid="{60F8126B-D46E-4ABD-986C-B44783A3E7CD}"/>
    <hyperlink ref="C7" r:id="rId2" xr:uid="{300DED1D-4F06-434C-AD94-7F2F434D14E3}"/>
  </hyperlinks>
  <pageMargins left="0.7" right="0.7" top="0.75" bottom="0.75" header="0.3" footer="0.3"/>
  <pageSetup scale="76"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sheetPr codeName="Sheet2">
    <pageSetUpPr fitToPage="1"/>
  </sheetPr>
  <dimension ref="A1:L73"/>
  <sheetViews>
    <sheetView showGridLines="0" zoomScaleNormal="100" workbookViewId="0">
      <selection activeCell="I7" sqref="I7"/>
    </sheetView>
  </sheetViews>
  <sheetFormatPr defaultColWidth="0" defaultRowHeight="15.5" zeroHeight="1"/>
  <cols>
    <col min="1" max="1" width="3.08203125" style="59" customWidth="1"/>
    <col min="2" max="2" width="1.58203125" style="59" customWidth="1"/>
    <col min="3" max="3" width="30.83203125" style="59" customWidth="1"/>
    <col min="4" max="4" width="12.58203125" style="59" customWidth="1"/>
    <col min="5" max="5" width="11.58203125" style="59" customWidth="1"/>
    <col min="6" max="6" width="13" style="59" customWidth="1"/>
    <col min="7" max="7" width="12.33203125" style="59" customWidth="1"/>
    <col min="8" max="8" width="11.33203125" style="59" customWidth="1"/>
    <col min="9" max="9" width="10.58203125" style="59" customWidth="1"/>
    <col min="10" max="10" width="3.08203125" style="59" customWidth="1"/>
    <col min="11" max="11" width="10" style="59" hidden="1" customWidth="1"/>
    <col min="12" max="16384" width="9" style="59" hidden="1"/>
  </cols>
  <sheetData>
    <row r="1" spans="1:12" ht="16.5" customHeight="1">
      <c r="C1" s="107"/>
      <c r="D1"/>
      <c r="E1"/>
      <c r="F1"/>
      <c r="G1"/>
      <c r="H1"/>
    </row>
    <row r="2" spans="1:12" ht="21.75" customHeight="1">
      <c r="B2" s="130" t="s">
        <v>91</v>
      </c>
      <c r="C2" s="131"/>
      <c r="D2" s="131"/>
      <c r="E2" s="131"/>
      <c r="F2" s="131"/>
      <c r="G2" s="131"/>
      <c r="H2" s="131"/>
    </row>
    <row r="3" spans="1:12" ht="16" customHeight="1">
      <c r="C3" s="104"/>
      <c r="D3" s="104"/>
      <c r="E3" s="132"/>
      <c r="F3" s="132"/>
      <c r="G3" s="132"/>
      <c r="H3" s="105"/>
      <c r="L3" s="106"/>
    </row>
    <row r="4" spans="1:12" ht="33" customHeight="1">
      <c r="A4" s="92"/>
      <c r="B4" s="103" t="s">
        <v>8</v>
      </c>
      <c r="C4" s="103"/>
      <c r="D4" s="103" t="s">
        <v>3</v>
      </c>
      <c r="E4" s="97" t="s">
        <v>4</v>
      </c>
      <c r="F4" s="98" t="s">
        <v>31</v>
      </c>
      <c r="G4" s="98" t="str">
        <f>"Dollars per 
"&amp;FIXED(D49,0,FALSE)&amp;" sq. ft."</f>
        <v>Dollars per 
2,000 sq. ft.</v>
      </c>
      <c r="H4" s="98" t="s">
        <v>38</v>
      </c>
    </row>
    <row r="5" spans="1:12" ht="16" customHeight="1">
      <c r="A5" s="92"/>
      <c r="B5" s="33" t="s">
        <v>92</v>
      </c>
      <c r="C5" s="33"/>
      <c r="D5" s="63" t="s">
        <v>93</v>
      </c>
      <c r="E5" s="6">
        <v>600</v>
      </c>
      <c r="F5" s="5">
        <v>3.71</v>
      </c>
      <c r="G5" s="81">
        <f>E5*F5</f>
        <v>2226</v>
      </c>
      <c r="H5" s="91">
        <f>G5/2000</f>
        <v>1.113</v>
      </c>
    </row>
    <row r="6" spans="1:12" ht="16" customHeight="1">
      <c r="A6" s="92"/>
      <c r="B6" s="92"/>
      <c r="C6" s="78" t="s">
        <v>9</v>
      </c>
      <c r="D6"/>
      <c r="E6" s="33"/>
      <c r="F6" s="33"/>
      <c r="G6" s="79">
        <f>G5</f>
        <v>2226</v>
      </c>
      <c r="H6" s="79"/>
    </row>
    <row r="7" spans="1:12" ht="8.15" customHeight="1">
      <c r="A7" s="92"/>
      <c r="B7" s="92"/>
      <c r="C7" s="78"/>
      <c r="D7"/>
      <c r="E7" s="33"/>
      <c r="F7" s="33"/>
      <c r="G7" s="79"/>
      <c r="H7" s="79"/>
    </row>
    <row r="8" spans="1:12" ht="33" customHeight="1">
      <c r="A8" s="92"/>
      <c r="B8" s="95" t="s">
        <v>10</v>
      </c>
      <c r="C8" s="95"/>
      <c r="D8" s="103" t="s">
        <v>3</v>
      </c>
      <c r="E8" s="97" t="s">
        <v>4</v>
      </c>
      <c r="F8" s="97" t="s">
        <v>31</v>
      </c>
      <c r="G8" s="98" t="str">
        <f>G4</f>
        <v>Dollars per 
2,000 sq. ft.</v>
      </c>
      <c r="H8" s="98" t="s">
        <v>38</v>
      </c>
    </row>
    <row r="9" spans="1:12" ht="16" customHeight="1">
      <c r="A9" s="92"/>
      <c r="B9" s="33" t="s">
        <v>72</v>
      </c>
      <c r="C9" s="33"/>
      <c r="D9" s="63" t="s">
        <v>74</v>
      </c>
      <c r="E9" s="6">
        <v>50</v>
      </c>
      <c r="F9" s="5">
        <v>1.1200000000000001</v>
      </c>
      <c r="G9" s="79">
        <f>E9*F9</f>
        <v>56.000000000000007</v>
      </c>
      <c r="H9" s="79">
        <f>G9/2000</f>
        <v>2.8000000000000004E-2</v>
      </c>
    </row>
    <row r="10" spans="1:12" ht="16" customHeight="1">
      <c r="A10" s="92"/>
      <c r="B10" s="33" t="s">
        <v>39</v>
      </c>
      <c r="C10" s="33"/>
      <c r="D10" s="63" t="s">
        <v>5</v>
      </c>
      <c r="E10" s="6">
        <v>1</v>
      </c>
      <c r="F10" s="5">
        <v>15</v>
      </c>
      <c r="G10" s="79">
        <f>E10*F10</f>
        <v>15</v>
      </c>
      <c r="H10" s="79">
        <f>G10/2000</f>
        <v>7.4999999999999997E-3</v>
      </c>
    </row>
    <row r="11" spans="1:12" ht="16" customHeight="1">
      <c r="A11" s="92"/>
      <c r="B11" s="33" t="s">
        <v>45</v>
      </c>
      <c r="C11" s="33"/>
      <c r="D11" s="63"/>
      <c r="E11" s="100"/>
      <c r="F11" s="102"/>
      <c r="G11" s="79"/>
      <c r="H11" s="79"/>
    </row>
    <row r="12" spans="1:12" ht="16" customHeight="1">
      <c r="A12" s="92"/>
      <c r="B12" s="33"/>
      <c r="C12" s="33" t="s">
        <v>48</v>
      </c>
      <c r="D12" s="19" t="s">
        <v>73</v>
      </c>
      <c r="E12" s="6">
        <v>0</v>
      </c>
      <c r="F12" s="5">
        <v>0</v>
      </c>
      <c r="G12" s="79">
        <f t="shared" ref="G12:G14" si="0">E12*F12</f>
        <v>0</v>
      </c>
      <c r="H12" s="79">
        <f t="shared" ref="H12:H42" si="1">G12/2000</f>
        <v>0</v>
      </c>
    </row>
    <row r="13" spans="1:12" ht="16" customHeight="1">
      <c r="A13" s="92"/>
      <c r="B13" s="33"/>
      <c r="C13" s="33" t="s">
        <v>47</v>
      </c>
      <c r="D13" s="19" t="s">
        <v>46</v>
      </c>
      <c r="E13" s="6">
        <v>0</v>
      </c>
      <c r="F13" s="5">
        <v>0</v>
      </c>
      <c r="G13" s="79">
        <f t="shared" si="0"/>
        <v>0</v>
      </c>
      <c r="H13" s="79">
        <f t="shared" si="1"/>
        <v>0</v>
      </c>
    </row>
    <row r="14" spans="1:12" ht="16" customHeight="1">
      <c r="A14" s="92"/>
      <c r="B14" s="33" t="s">
        <v>95</v>
      </c>
      <c r="C14" s="33"/>
      <c r="D14" s="101" t="s">
        <v>100</v>
      </c>
      <c r="E14" s="6">
        <v>1</v>
      </c>
      <c r="F14" s="5">
        <v>45.87</v>
      </c>
      <c r="G14" s="79">
        <f t="shared" si="0"/>
        <v>45.87</v>
      </c>
      <c r="H14" s="79">
        <f t="shared" si="1"/>
        <v>2.2934999999999997E-2</v>
      </c>
    </row>
    <row r="15" spans="1:12" ht="16" customHeight="1">
      <c r="A15" s="92"/>
      <c r="B15" s="33" t="s">
        <v>32</v>
      </c>
      <c r="C15" s="33"/>
      <c r="D15" s="63" t="s">
        <v>51</v>
      </c>
      <c r="E15" s="6">
        <v>400</v>
      </c>
      <c r="F15" s="5">
        <v>0.06</v>
      </c>
      <c r="G15" s="79">
        <f>E15*F15</f>
        <v>24</v>
      </c>
      <c r="H15" s="79">
        <f t="shared" si="1"/>
        <v>1.2E-2</v>
      </c>
    </row>
    <row r="16" spans="1:12" ht="16" customHeight="1">
      <c r="A16" s="92"/>
      <c r="B16" s="33" t="s">
        <v>49</v>
      </c>
      <c r="C16" s="33"/>
      <c r="D16" s="63" t="s">
        <v>51</v>
      </c>
      <c r="E16" s="6">
        <v>400</v>
      </c>
      <c r="F16" s="5">
        <v>0.06</v>
      </c>
      <c r="G16" s="79">
        <f>E16*F16</f>
        <v>24</v>
      </c>
      <c r="H16" s="79">
        <f t="shared" si="1"/>
        <v>1.2E-2</v>
      </c>
    </row>
    <row r="17" spans="1:11" ht="16" customHeight="1">
      <c r="A17" s="92"/>
      <c r="B17" s="33" t="s">
        <v>78</v>
      </c>
      <c r="C17" s="33"/>
      <c r="D17" s="63" t="s">
        <v>80</v>
      </c>
      <c r="E17" s="6">
        <v>2000</v>
      </c>
      <c r="F17" s="5">
        <v>0.06</v>
      </c>
      <c r="G17" s="79">
        <f>E17*F17</f>
        <v>120</v>
      </c>
      <c r="H17" s="79">
        <f t="shared" si="1"/>
        <v>0.06</v>
      </c>
    </row>
    <row r="18" spans="1:11" ht="16" customHeight="1">
      <c r="A18" s="92"/>
      <c r="B18" s="33" t="s">
        <v>79</v>
      </c>
      <c r="C18" s="33"/>
      <c r="D18" s="63" t="s">
        <v>5</v>
      </c>
      <c r="E18" s="6">
        <v>75</v>
      </c>
      <c r="F18" s="5">
        <v>0.49</v>
      </c>
      <c r="G18" s="79">
        <f>E18*F18</f>
        <v>36.75</v>
      </c>
      <c r="H18" s="79">
        <f t="shared" si="1"/>
        <v>1.8374999999999999E-2</v>
      </c>
    </row>
    <row r="19" spans="1:11" ht="16" customHeight="1">
      <c r="A19" s="92"/>
      <c r="B19" s="33" t="s">
        <v>33</v>
      </c>
      <c r="C19" s="33"/>
      <c r="D19" s="63"/>
      <c r="E19" s="100"/>
      <c r="F19" s="33"/>
      <c r="G19" s="79"/>
      <c r="H19" s="79"/>
    </row>
    <row r="20" spans="1:11" ht="16" customHeight="1">
      <c r="A20" s="92"/>
      <c r="B20" s="92"/>
      <c r="C20" s="33" t="s">
        <v>41</v>
      </c>
      <c r="D20" s="63" t="s">
        <v>34</v>
      </c>
      <c r="E20" s="6">
        <v>0.5</v>
      </c>
      <c r="F20" s="5">
        <v>18</v>
      </c>
      <c r="G20" s="79">
        <f t="shared" ref="G20:G24" si="2">E20*F20</f>
        <v>9</v>
      </c>
      <c r="H20" s="79">
        <f t="shared" si="1"/>
        <v>4.4999999999999997E-3</v>
      </c>
    </row>
    <row r="21" spans="1:11" ht="16" customHeight="1">
      <c r="A21" s="92"/>
      <c r="B21" s="92"/>
      <c r="C21" s="33" t="s">
        <v>40</v>
      </c>
      <c r="D21" s="63" t="s">
        <v>34</v>
      </c>
      <c r="E21" s="6">
        <v>1</v>
      </c>
      <c r="F21" s="5">
        <v>18</v>
      </c>
      <c r="G21" s="79">
        <f t="shared" si="2"/>
        <v>18</v>
      </c>
      <c r="H21" s="79">
        <f t="shared" si="1"/>
        <v>8.9999999999999993E-3</v>
      </c>
    </row>
    <row r="22" spans="1:11" ht="16" customHeight="1">
      <c r="A22" s="92"/>
      <c r="B22" s="92"/>
      <c r="C22" s="33" t="s">
        <v>42</v>
      </c>
      <c r="D22" s="63" t="s">
        <v>34</v>
      </c>
      <c r="E22" s="6">
        <v>0.5</v>
      </c>
      <c r="F22" s="5">
        <v>18</v>
      </c>
      <c r="G22" s="79">
        <f t="shared" si="2"/>
        <v>9</v>
      </c>
      <c r="H22" s="79">
        <f t="shared" si="1"/>
        <v>4.4999999999999997E-3</v>
      </c>
    </row>
    <row r="23" spans="1:11" ht="16" customHeight="1">
      <c r="A23" s="92"/>
      <c r="B23" s="92"/>
      <c r="C23" s="33" t="s">
        <v>43</v>
      </c>
      <c r="D23" s="63" t="s">
        <v>34</v>
      </c>
      <c r="E23" s="6">
        <v>4</v>
      </c>
      <c r="F23" s="5">
        <v>18</v>
      </c>
      <c r="G23" s="79">
        <f t="shared" si="2"/>
        <v>72</v>
      </c>
      <c r="H23" s="79">
        <f t="shared" si="1"/>
        <v>3.5999999999999997E-2</v>
      </c>
    </row>
    <row r="24" spans="1:11" ht="16" customHeight="1">
      <c r="A24" s="92"/>
      <c r="B24" s="92"/>
      <c r="C24" s="33" t="s">
        <v>77</v>
      </c>
      <c r="D24" s="63" t="s">
        <v>34</v>
      </c>
      <c r="E24" s="6">
        <v>5</v>
      </c>
      <c r="F24" s="5">
        <v>18</v>
      </c>
      <c r="G24" s="79">
        <f t="shared" si="2"/>
        <v>90</v>
      </c>
      <c r="H24" s="79">
        <f t="shared" si="1"/>
        <v>4.4999999999999998E-2</v>
      </c>
    </row>
    <row r="25" spans="1:11" ht="16" customHeight="1">
      <c r="A25" s="92"/>
      <c r="B25" s="92"/>
      <c r="C25" s="33" t="s">
        <v>94</v>
      </c>
      <c r="D25" s="63" t="s">
        <v>34</v>
      </c>
      <c r="E25" s="6">
        <v>3</v>
      </c>
      <c r="F25" s="5">
        <v>18</v>
      </c>
      <c r="G25" s="79">
        <f t="shared" ref="G25:G30" si="3">E25*F25</f>
        <v>54</v>
      </c>
      <c r="H25" s="79">
        <f t="shared" si="1"/>
        <v>2.7E-2</v>
      </c>
    </row>
    <row r="26" spans="1:11" ht="16" customHeight="1">
      <c r="A26" s="92"/>
      <c r="B26" s="92"/>
      <c r="C26" s="33" t="s">
        <v>44</v>
      </c>
      <c r="D26" s="63" t="s">
        <v>34</v>
      </c>
      <c r="E26" s="6">
        <v>1</v>
      </c>
      <c r="F26" s="5">
        <v>18</v>
      </c>
      <c r="G26" s="79">
        <f t="shared" si="3"/>
        <v>18</v>
      </c>
      <c r="H26" s="79">
        <f t="shared" si="1"/>
        <v>8.9999999999999993E-3</v>
      </c>
      <c r="J26" s="94"/>
    </row>
    <row r="27" spans="1:11" ht="16" customHeight="1">
      <c r="A27" s="92"/>
      <c r="C27" s="33" t="s">
        <v>76</v>
      </c>
      <c r="D27" s="63" t="s">
        <v>34</v>
      </c>
      <c r="E27" s="6">
        <v>40</v>
      </c>
      <c r="F27" s="5">
        <v>18</v>
      </c>
      <c r="G27" s="79">
        <f t="shared" si="3"/>
        <v>720</v>
      </c>
      <c r="H27" s="79">
        <f t="shared" si="1"/>
        <v>0.36</v>
      </c>
      <c r="J27" s="94"/>
      <c r="K27" s="94"/>
    </row>
    <row r="28" spans="1:11" ht="16" customHeight="1">
      <c r="A28" s="92"/>
      <c r="C28" s="33" t="s">
        <v>75</v>
      </c>
      <c r="D28" s="63" t="s">
        <v>34</v>
      </c>
      <c r="E28" s="6">
        <v>2</v>
      </c>
      <c r="F28" s="5">
        <v>18</v>
      </c>
      <c r="G28" s="79">
        <f t="shared" si="3"/>
        <v>36</v>
      </c>
      <c r="H28" s="79">
        <f t="shared" si="1"/>
        <v>1.7999999999999999E-2</v>
      </c>
      <c r="J28" s="94"/>
      <c r="K28" s="94"/>
    </row>
    <row r="29" spans="1:11" ht="16" customHeight="1">
      <c r="A29" s="92"/>
      <c r="B29" s="33" t="s">
        <v>50</v>
      </c>
      <c r="C29" s="33"/>
      <c r="D29" s="63" t="s">
        <v>5</v>
      </c>
      <c r="E29" s="6">
        <v>600</v>
      </c>
      <c r="F29" s="5">
        <f>(127/116)+(1662/400/3)</f>
        <v>2.4798275862068966</v>
      </c>
      <c r="G29" s="79">
        <f t="shared" si="3"/>
        <v>1487.8965517241379</v>
      </c>
      <c r="H29" s="79">
        <f>G29/2000</f>
        <v>0.74394827586206891</v>
      </c>
      <c r="J29" s="94"/>
      <c r="K29" s="94"/>
    </row>
    <row r="30" spans="1:11" ht="16" customHeight="1">
      <c r="A30" s="92"/>
      <c r="B30" s="33" t="s">
        <v>35</v>
      </c>
      <c r="C30" s="33"/>
      <c r="D30" s="99" t="s">
        <v>26</v>
      </c>
      <c r="E30" s="79">
        <f>G6</f>
        <v>2226</v>
      </c>
      <c r="F30" s="7">
        <v>0.1</v>
      </c>
      <c r="G30" s="79">
        <f t="shared" si="3"/>
        <v>222.60000000000002</v>
      </c>
      <c r="H30" s="79">
        <f t="shared" si="1"/>
        <v>0.11130000000000001</v>
      </c>
      <c r="J30" s="94"/>
      <c r="K30" s="94"/>
    </row>
    <row r="31" spans="1:11" ht="16" customHeight="1">
      <c r="A31" s="92"/>
      <c r="B31" s="33" t="s">
        <v>36</v>
      </c>
      <c r="D31" s="63" t="s">
        <v>46</v>
      </c>
      <c r="G31" s="28">
        <v>0</v>
      </c>
      <c r="H31" s="79">
        <f t="shared" si="1"/>
        <v>0</v>
      </c>
      <c r="J31" s="94"/>
      <c r="K31" s="94"/>
    </row>
    <row r="32" spans="1:11" ht="16" customHeight="1">
      <c r="A32" s="92"/>
      <c r="B32" s="33" t="s">
        <v>83</v>
      </c>
      <c r="D32" s="63" t="s">
        <v>82</v>
      </c>
      <c r="E32" s="29">
        <v>7.7499999999999999E-2</v>
      </c>
      <c r="G32" s="81">
        <f>SUM(G9:G31)*$E$32*E36/12</f>
        <v>118.50201637931032</v>
      </c>
      <c r="H32" s="81">
        <f t="shared" si="1"/>
        <v>5.925100818965516E-2</v>
      </c>
      <c r="J32" s="94"/>
      <c r="K32" s="94"/>
    </row>
    <row r="33" spans="1:11" ht="16" customHeight="1">
      <c r="A33" s="92"/>
      <c r="C33" s="78" t="s">
        <v>11</v>
      </c>
      <c r="D33" s="63"/>
      <c r="E33" s="93"/>
      <c r="F33" s="33"/>
      <c r="G33" s="79">
        <f>SUM(G9:G32)</f>
        <v>3176.6185681034476</v>
      </c>
      <c r="H33" s="79">
        <f t="shared" si="1"/>
        <v>1.5883092840517239</v>
      </c>
      <c r="J33" s="94"/>
      <c r="K33" s="94"/>
    </row>
    <row r="34" spans="1:11" ht="8.15" customHeight="1">
      <c r="A34" s="92"/>
      <c r="C34" s="78"/>
      <c r="D34" s="63"/>
      <c r="E34" s="93"/>
      <c r="F34" s="33"/>
      <c r="G34" s="79"/>
      <c r="H34" s="79"/>
      <c r="K34" s="94"/>
    </row>
    <row r="35" spans="1:11" ht="32.15" customHeight="1">
      <c r="A35" s="92"/>
      <c r="B35" s="95" t="s">
        <v>12</v>
      </c>
      <c r="C35" s="95"/>
      <c r="D35" s="96" t="s">
        <v>3</v>
      </c>
      <c r="E35" s="97" t="s">
        <v>4</v>
      </c>
      <c r="F35" s="97" t="s">
        <v>31</v>
      </c>
      <c r="G35" s="98" t="str">
        <f>G4</f>
        <v>Dollars per 
2,000 sq. ft.</v>
      </c>
      <c r="H35" s="98" t="s">
        <v>38</v>
      </c>
    </row>
    <row r="36" spans="1:11" ht="16" customHeight="1">
      <c r="B36" s="33" t="s">
        <v>52</v>
      </c>
      <c r="C36" s="33"/>
      <c r="D36" s="63" t="s">
        <v>53</v>
      </c>
      <c r="E36" s="20">
        <v>6</v>
      </c>
      <c r="F36" s="79">
        <f>I65/(10*12)*(D49/D48)</f>
        <v>145.46400071365511</v>
      </c>
      <c r="G36" s="91">
        <f>E36*F36</f>
        <v>872.78400428193072</v>
      </c>
      <c r="H36" s="91">
        <f t="shared" si="1"/>
        <v>0.43639200214096535</v>
      </c>
    </row>
    <row r="37" spans="1:11" ht="16" customHeight="1">
      <c r="C37" s="78" t="s">
        <v>13</v>
      </c>
      <c r="D37"/>
      <c r="E37" s="33"/>
      <c r="F37" s="33"/>
      <c r="G37" s="79">
        <f>SUM(G36:G36)</f>
        <v>872.78400428193072</v>
      </c>
      <c r="H37" s="79">
        <f t="shared" si="1"/>
        <v>0.43639200214096535</v>
      </c>
    </row>
    <row r="38" spans="1:11" ht="8.15" customHeight="1">
      <c r="C38" s="78"/>
      <c r="D38"/>
      <c r="E38" s="33"/>
      <c r="F38" s="33"/>
      <c r="G38" s="79"/>
      <c r="H38" s="79"/>
    </row>
    <row r="39" spans="1:11" ht="16" customHeight="1">
      <c r="C39" s="78" t="s">
        <v>6</v>
      </c>
      <c r="D39"/>
      <c r="E39" s="33"/>
      <c r="F39" s="33"/>
      <c r="G39" s="79">
        <f>G33+G37</f>
        <v>4049.4025723853783</v>
      </c>
      <c r="H39" s="79">
        <f t="shared" si="1"/>
        <v>2.024701286192689</v>
      </c>
    </row>
    <row r="40" spans="1:11" ht="16" customHeight="1">
      <c r="B40" s="80"/>
      <c r="C40" s="78"/>
      <c r="D40" s="64"/>
      <c r="E40" s="33"/>
      <c r="F40" s="33"/>
      <c r="G40" s="79"/>
      <c r="H40" s="81"/>
    </row>
    <row r="41" spans="1:11" ht="16" customHeight="1">
      <c r="B41" s="82" t="s">
        <v>14</v>
      </c>
      <c r="C41" s="83"/>
      <c r="E41" s="84"/>
      <c r="F41" s="84"/>
      <c r="G41" s="85">
        <f>G6-G33</f>
        <v>-950.61856810344761</v>
      </c>
      <c r="H41" s="79">
        <f t="shared" si="1"/>
        <v>-0.47530928405172379</v>
      </c>
    </row>
    <row r="42" spans="1:11" ht="16" customHeight="1" thickBot="1">
      <c r="B42" s="86" t="s">
        <v>7</v>
      </c>
      <c r="C42" s="86"/>
      <c r="D42" s="87"/>
      <c r="E42" s="88"/>
      <c r="F42" s="88"/>
      <c r="G42" s="89">
        <f>G6-G39</f>
        <v>-1823.4025723853783</v>
      </c>
      <c r="H42" s="89">
        <f t="shared" si="1"/>
        <v>-0.9117012861926892</v>
      </c>
    </row>
    <row r="43" spans="1:11" ht="16" thickTop="1">
      <c r="B43" s="148" t="s">
        <v>99</v>
      </c>
      <c r="C43" s="148"/>
      <c r="D43" s="148"/>
      <c r="E43" s="148"/>
      <c r="F43" s="148"/>
      <c r="G43" s="148"/>
      <c r="H43" s="148"/>
    </row>
    <row r="44" spans="1:11">
      <c r="B44" s="133" t="s">
        <v>102</v>
      </c>
      <c r="C44" s="133"/>
      <c r="D44" s="133"/>
      <c r="E44" s="133"/>
      <c r="F44" s="133"/>
      <c r="G44" s="133"/>
      <c r="H44" s="133"/>
    </row>
    <row r="45" spans="1:11" ht="16" customHeight="1">
      <c r="B45" s="77"/>
      <c r="C45" s="77"/>
      <c r="D45" s="77"/>
      <c r="E45" s="77"/>
      <c r="F45" s="77"/>
      <c r="G45" s="77"/>
      <c r="H45" s="77"/>
    </row>
    <row r="46" spans="1:11" ht="16" customHeight="1">
      <c r="B46" t="s">
        <v>84</v>
      </c>
      <c r="C46"/>
      <c r="D46"/>
      <c r="E46"/>
      <c r="F46" s="77"/>
      <c r="G46" s="77"/>
      <c r="H46" s="77"/>
    </row>
    <row r="47" spans="1:11" ht="16" customHeight="1">
      <c r="B47" s="90"/>
      <c r="C47" s="90"/>
      <c r="D47" s="90" t="s">
        <v>85</v>
      </c>
      <c r="E47" s="90" t="s">
        <v>3</v>
      </c>
      <c r="F47" s="77"/>
      <c r="G47" s="77"/>
      <c r="H47" s="77"/>
    </row>
    <row r="48" spans="1:11" ht="16" customHeight="1">
      <c r="B48" t="s">
        <v>86</v>
      </c>
      <c r="C48"/>
      <c r="D48" s="30">
        <v>2000</v>
      </c>
      <c r="E48" s="63" t="s">
        <v>87</v>
      </c>
      <c r="F48" s="77"/>
      <c r="G48" s="77"/>
      <c r="H48" s="77"/>
    </row>
    <row r="49" spans="1:9" ht="16" customHeight="1">
      <c r="B49" t="s">
        <v>88</v>
      </c>
      <c r="C49"/>
      <c r="D49" s="30">
        <v>2000</v>
      </c>
      <c r="E49" s="63" t="s">
        <v>87</v>
      </c>
      <c r="F49"/>
      <c r="G49"/>
      <c r="H49"/>
    </row>
    <row r="50" spans="1:9" ht="16" customHeight="1">
      <c r="C50" s="71"/>
      <c r="D50"/>
      <c r="E50"/>
      <c r="F50"/>
      <c r="G50"/>
      <c r="H50"/>
    </row>
    <row r="51" spans="1:9" ht="16" customHeight="1">
      <c r="B51" s="149" t="s">
        <v>103</v>
      </c>
      <c r="D51"/>
      <c r="E51" s="72"/>
      <c r="F51" s="73"/>
      <c r="G51" s="73"/>
      <c r="H51" s="72"/>
    </row>
    <row r="52" spans="1:9" ht="16" customHeight="1">
      <c r="B52" s="74" t="s">
        <v>54</v>
      </c>
      <c r="C52" s="74"/>
      <c r="D52" s="75" t="s">
        <v>33</v>
      </c>
      <c r="E52" s="75" t="s">
        <v>55</v>
      </c>
      <c r="F52" s="76" t="s">
        <v>56</v>
      </c>
      <c r="G52" s="76" t="s">
        <v>69</v>
      </c>
      <c r="H52" s="75" t="s">
        <v>70</v>
      </c>
      <c r="I52" s="75" t="s">
        <v>71</v>
      </c>
    </row>
    <row r="53" spans="1:9" ht="16" customHeight="1">
      <c r="A53"/>
      <c r="B53" s="114" t="s">
        <v>57</v>
      </c>
      <c r="C53" s="114"/>
      <c r="D53" s="21">
        <v>393.2978984857732</v>
      </c>
      <c r="E53" s="21">
        <v>86.064129503346848</v>
      </c>
      <c r="F53" s="22">
        <v>0</v>
      </c>
      <c r="G53" s="62">
        <f>SUM(D53:F53)</f>
        <v>479.36202798912007</v>
      </c>
      <c r="H53" s="26">
        <v>10</v>
      </c>
      <c r="I53" s="61">
        <f>G53/(H53/10)</f>
        <v>479.36202798912007</v>
      </c>
    </row>
    <row r="54" spans="1:9" ht="16" customHeight="1">
      <c r="A54"/>
      <c r="B54" s="115" t="s">
        <v>58</v>
      </c>
      <c r="C54" s="115"/>
      <c r="D54" s="21">
        <v>17.849751209722509</v>
      </c>
      <c r="E54" s="21">
        <v>0</v>
      </c>
      <c r="F54" s="21">
        <v>133.34510624228753</v>
      </c>
      <c r="G54" s="62">
        <f t="shared" ref="G54:G65" si="4">SUM(D54:F54)</f>
        <v>151.19485745201004</v>
      </c>
      <c r="H54" s="26">
        <v>10</v>
      </c>
      <c r="I54" s="61">
        <f t="shared" ref="I54:I64" si="5">G54/(H54/10)</f>
        <v>151.19485745201004</v>
      </c>
    </row>
    <row r="55" spans="1:9" ht="16" customHeight="1">
      <c r="A55"/>
      <c r="B55" s="129" t="s">
        <v>59</v>
      </c>
      <c r="C55" s="129"/>
      <c r="D55" s="21">
        <v>356.89446221580391</v>
      </c>
      <c r="E55" s="21">
        <v>196.20403696654191</v>
      </c>
      <c r="F55" s="23">
        <v>281.62486438371127</v>
      </c>
      <c r="G55" s="62">
        <f t="shared" si="4"/>
        <v>834.72336356605706</v>
      </c>
      <c r="H55" s="26">
        <v>10</v>
      </c>
      <c r="I55" s="61">
        <f t="shared" si="5"/>
        <v>834.72336356605706</v>
      </c>
    </row>
    <row r="56" spans="1:9" ht="16" customHeight="1">
      <c r="A56"/>
      <c r="B56" s="129" t="s">
        <v>60</v>
      </c>
      <c r="C56" s="129"/>
      <c r="D56" s="21">
        <v>356.89446221580391</v>
      </c>
      <c r="E56" s="21">
        <v>0</v>
      </c>
      <c r="F56" s="21">
        <v>9399.2298488063643</v>
      </c>
      <c r="G56" s="62">
        <f t="shared" si="4"/>
        <v>9756.1243110221676</v>
      </c>
      <c r="H56" s="26">
        <v>10</v>
      </c>
      <c r="I56" s="61">
        <f t="shared" si="5"/>
        <v>9756.1243110221676</v>
      </c>
    </row>
    <row r="57" spans="1:9" ht="16" customHeight="1">
      <c r="A57"/>
      <c r="B57" s="129" t="s">
        <v>61</v>
      </c>
      <c r="C57" s="129"/>
      <c r="D57" s="21">
        <v>118.9648207386013</v>
      </c>
      <c r="E57" s="21">
        <v>0</v>
      </c>
      <c r="F57" s="21">
        <v>159.53408510827282</v>
      </c>
      <c r="G57" s="62">
        <f t="shared" si="4"/>
        <v>278.4989058468741</v>
      </c>
      <c r="H57" s="26">
        <v>10</v>
      </c>
      <c r="I57" s="61">
        <f t="shared" si="5"/>
        <v>278.4989058468741</v>
      </c>
    </row>
    <row r="58" spans="1:9" ht="16" customHeight="1">
      <c r="A58"/>
      <c r="B58" s="129" t="s">
        <v>62</v>
      </c>
      <c r="C58" s="129"/>
      <c r="D58" s="21">
        <v>594.82410369300646</v>
      </c>
      <c r="E58" s="21">
        <v>0</v>
      </c>
      <c r="F58" s="21">
        <v>449.37300803650896</v>
      </c>
      <c r="G58" s="62">
        <f t="shared" si="4"/>
        <v>1044.1971117295154</v>
      </c>
      <c r="H58" s="26">
        <v>10</v>
      </c>
      <c r="I58" s="61">
        <f t="shared" si="5"/>
        <v>1044.1971117295154</v>
      </c>
    </row>
    <row r="59" spans="1:9" ht="16" customHeight="1">
      <c r="A59"/>
      <c r="B59" s="129" t="s">
        <v>63</v>
      </c>
      <c r="C59" s="129"/>
      <c r="D59" s="21">
        <v>118.9648207386013</v>
      </c>
      <c r="E59" s="21">
        <v>0</v>
      </c>
      <c r="F59" s="21">
        <v>874.74389694940623</v>
      </c>
      <c r="G59" s="62">
        <f t="shared" si="4"/>
        <v>993.70871768800748</v>
      </c>
      <c r="H59" s="26">
        <v>3</v>
      </c>
      <c r="I59" s="61">
        <f t="shared" si="5"/>
        <v>3312.3623922933584</v>
      </c>
    </row>
    <row r="60" spans="1:9" ht="16" customHeight="1">
      <c r="A60"/>
      <c r="B60" s="129" t="s">
        <v>64</v>
      </c>
      <c r="C60" s="129"/>
      <c r="D60" s="21">
        <v>29.741205184650326</v>
      </c>
      <c r="E60" s="21">
        <v>0</v>
      </c>
      <c r="F60" s="21">
        <v>0</v>
      </c>
      <c r="G60" s="62">
        <f t="shared" si="4"/>
        <v>29.741205184650326</v>
      </c>
      <c r="H60" s="26">
        <v>10</v>
      </c>
      <c r="I60" s="61">
        <f t="shared" si="5"/>
        <v>29.741205184650326</v>
      </c>
    </row>
    <row r="61" spans="1:9" ht="16" customHeight="1">
      <c r="A61"/>
      <c r="B61" s="129" t="s">
        <v>65</v>
      </c>
      <c r="C61" s="129"/>
      <c r="D61" s="21">
        <v>0</v>
      </c>
      <c r="E61" s="23">
        <v>0</v>
      </c>
      <c r="F61" s="21">
        <v>816.0720502027998</v>
      </c>
      <c r="G61" s="62">
        <f t="shared" si="4"/>
        <v>816.0720502027998</v>
      </c>
      <c r="H61" s="26">
        <v>10</v>
      </c>
      <c r="I61" s="61">
        <f t="shared" si="5"/>
        <v>816.0720502027998</v>
      </c>
    </row>
    <row r="62" spans="1:9" ht="16" customHeight="1">
      <c r="A62"/>
      <c r="B62" s="24" t="s">
        <v>66</v>
      </c>
      <c r="C62" s="24"/>
      <c r="D62" s="21">
        <v>178.44723110790196</v>
      </c>
      <c r="E62" s="21">
        <v>0</v>
      </c>
      <c r="F62" s="21">
        <v>295.09272011418238</v>
      </c>
      <c r="G62" s="62">
        <f t="shared" si="4"/>
        <v>473.53995122208437</v>
      </c>
      <c r="H62" s="26">
        <v>10</v>
      </c>
      <c r="I62" s="61">
        <f t="shared" si="5"/>
        <v>473.53995122208437</v>
      </c>
    </row>
    <row r="63" spans="1:9" ht="16" customHeight="1">
      <c r="A63"/>
      <c r="B63" s="24" t="s">
        <v>67</v>
      </c>
      <c r="C63" s="24"/>
      <c r="D63" s="21">
        <v>146.51880288769411</v>
      </c>
      <c r="E63" s="21">
        <v>0</v>
      </c>
      <c r="F63" s="21">
        <v>0</v>
      </c>
      <c r="G63" s="62">
        <f t="shared" si="4"/>
        <v>146.51880288769411</v>
      </c>
      <c r="H63" s="26">
        <v>10</v>
      </c>
      <c r="I63" s="61">
        <f t="shared" si="5"/>
        <v>146.51880288769411</v>
      </c>
    </row>
    <row r="64" spans="1:9" ht="16" customHeight="1">
      <c r="A64"/>
      <c r="B64" s="116" t="s">
        <v>68</v>
      </c>
      <c r="C64" s="116"/>
      <c r="D64" s="25">
        <v>0</v>
      </c>
      <c r="E64" s="25">
        <v>0</v>
      </c>
      <c r="F64" s="25">
        <v>133.34510624228753</v>
      </c>
      <c r="G64" s="70">
        <f t="shared" si="4"/>
        <v>133.34510624228753</v>
      </c>
      <c r="H64" s="27">
        <v>10</v>
      </c>
      <c r="I64" s="66">
        <f t="shared" si="5"/>
        <v>133.34510624228753</v>
      </c>
    </row>
    <row r="65" spans="1:9" ht="16" customHeight="1">
      <c r="A65"/>
      <c r="C65" s="60" t="s">
        <v>69</v>
      </c>
      <c r="D65" s="61">
        <f>SUM(D53:D64)</f>
        <v>2312.397558477559</v>
      </c>
      <c r="E65" s="61">
        <f t="shared" ref="E65:F65" si="6">SUM(E53:E64)</f>
        <v>282.26816646988874</v>
      </c>
      <c r="F65" s="61">
        <f t="shared" si="6"/>
        <v>12542.360686085822</v>
      </c>
      <c r="G65" s="62">
        <f t="shared" si="4"/>
        <v>15137.02641103327</v>
      </c>
      <c r="H65" s="63"/>
      <c r="I65" s="61">
        <f>SUM(I53:I64)</f>
        <v>17455.680085638614</v>
      </c>
    </row>
    <row r="66" spans="1:9" ht="16" customHeight="1">
      <c r="A66"/>
      <c r="B66" s="64"/>
      <c r="C66" s="65" t="s">
        <v>81</v>
      </c>
      <c r="D66" s="66">
        <f>D65/$D$48</f>
        <v>1.1561987792387796</v>
      </c>
      <c r="E66" s="66">
        <f t="shared" ref="E66:I66" si="7">E65/$D$48</f>
        <v>0.14113408323494436</v>
      </c>
      <c r="F66" s="66">
        <f t="shared" si="7"/>
        <v>6.2711803430429107</v>
      </c>
      <c r="G66" s="66">
        <f t="shared" si="7"/>
        <v>7.5685132055166351</v>
      </c>
      <c r="H66" s="66"/>
      <c r="I66" s="66">
        <f t="shared" si="7"/>
        <v>8.7278400428193077</v>
      </c>
    </row>
    <row r="67" spans="1:9" ht="16" customHeight="1">
      <c r="A67"/>
      <c r="D67" s="67"/>
      <c r="E67" s="67"/>
      <c r="F67" s="67"/>
      <c r="G67" s="67"/>
      <c r="H67" s="67"/>
    </row>
    <row r="68" spans="1:9" ht="16" hidden="1" customHeight="1">
      <c r="A68"/>
      <c r="C68"/>
      <c r="D68" s="68"/>
      <c r="E68"/>
      <c r="F68" s="69"/>
      <c r="G68" s="69"/>
      <c r="H68" s="69"/>
    </row>
    <row r="69" spans="1:9" ht="16" hidden="1" customHeight="1">
      <c r="A69"/>
    </row>
    <row r="70" spans="1:9" ht="16" hidden="1" customHeight="1">
      <c r="A70"/>
    </row>
    <row r="71" spans="1:9" ht="16" hidden="1" customHeight="1">
      <c r="A71"/>
    </row>
    <row r="72" spans="1:9" ht="16" hidden="1" customHeight="1"/>
    <row r="73" spans="1:9" ht="16" hidden="1" customHeight="1"/>
  </sheetData>
  <sheetProtection sheet="1" objects="1" scenarios="1"/>
  <mergeCells count="10">
    <mergeCell ref="B2:H2"/>
    <mergeCell ref="E3:G3"/>
    <mergeCell ref="B44:H44"/>
    <mergeCell ref="B60:C60"/>
    <mergeCell ref="B61:C61"/>
    <mergeCell ref="B55:C55"/>
    <mergeCell ref="B56:C56"/>
    <mergeCell ref="B57:C57"/>
    <mergeCell ref="B58:C58"/>
    <mergeCell ref="B59:C59"/>
  </mergeCells>
  <conditionalFormatting sqref="E4">
    <cfRule type="expression" dxfId="4" priority="3">
      <formula>$G$1="no"</formula>
    </cfRule>
  </conditionalFormatting>
  <conditionalFormatting sqref="E8">
    <cfRule type="expression" dxfId="3" priority="2">
      <formula>$G$1="no"</formula>
    </cfRule>
  </conditionalFormatting>
  <conditionalFormatting sqref="E35">
    <cfRule type="expression" dxfId="2" priority="1">
      <formula>$G$1="no"</formula>
    </cfRule>
  </conditionalFormatting>
  <hyperlinks>
    <hyperlink ref="B44" r:id="rId1" xr:uid="{0C065241-6512-4C6B-9CAC-6CAD305B8B3C}"/>
  </hyperlinks>
  <pageMargins left="0.7" right="0.7" top="0.75" bottom="0.75" header="0.3" footer="0.3"/>
  <pageSetup scale="8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codeName="Sheet3">
    <pageSetUpPr fitToPage="1"/>
  </sheetPr>
  <dimension ref="A1:L36"/>
  <sheetViews>
    <sheetView showGridLines="0" workbookViewId="0">
      <selection activeCell="G8" sqref="G8"/>
    </sheetView>
  </sheetViews>
  <sheetFormatPr defaultColWidth="0" defaultRowHeight="14.5" zeroHeight="1"/>
  <cols>
    <col min="1" max="1" width="3.08203125" customWidth="1"/>
    <col min="2" max="2" width="8.58203125" customWidth="1"/>
    <col min="3" max="3" width="10.08203125" customWidth="1"/>
    <col min="4" max="4" width="10.33203125" customWidth="1"/>
    <col min="5" max="5" width="11.83203125" customWidth="1"/>
    <col min="6" max="6" width="9.75" bestFit="1" customWidth="1"/>
    <col min="7" max="7" width="9.08203125" bestFit="1" customWidth="1"/>
    <col min="8" max="8" width="9.83203125" customWidth="1"/>
    <col min="9" max="9" width="11" customWidth="1"/>
    <col min="10" max="10" width="10" bestFit="1" customWidth="1"/>
    <col min="11" max="11" width="10.08203125" customWidth="1"/>
    <col min="12" max="12" width="3.08203125" customWidth="1"/>
    <col min="13" max="16384" width="8.58203125" hidden="1"/>
  </cols>
  <sheetData>
    <row r="1" spans="2:11" ht="16">
      <c r="B1" s="134" t="s">
        <v>104</v>
      </c>
      <c r="C1" s="134"/>
      <c r="D1" s="134"/>
      <c r="E1" s="134"/>
      <c r="F1" s="134"/>
      <c r="G1" s="134"/>
      <c r="H1" s="134"/>
      <c r="I1" s="134"/>
      <c r="J1" s="134"/>
      <c r="K1" s="134"/>
    </row>
    <row r="2" spans="2:11" ht="34" customHeight="1">
      <c r="B2" s="143" t="s">
        <v>97</v>
      </c>
      <c r="C2" s="143"/>
      <c r="D2" s="143"/>
      <c r="E2" s="143"/>
      <c r="F2" s="143"/>
      <c r="G2" s="143"/>
      <c r="H2" s="143"/>
      <c r="I2" s="143"/>
      <c r="J2" s="143"/>
      <c r="K2" s="143"/>
    </row>
    <row r="3" spans="2:11" ht="16.5" customHeight="1">
      <c r="B3" s="8"/>
      <c r="C3" s="9"/>
      <c r="D3" s="13"/>
      <c r="E3" s="144" t="str">
        <f>"Pounds per "&amp;FIXED(Budget!D49,0,FALSE)&amp;" square feet"</f>
        <v>Pounds per 2,000 square feet</v>
      </c>
      <c r="F3" s="139"/>
      <c r="G3" s="139"/>
      <c r="H3" s="139"/>
      <c r="I3" s="139"/>
      <c r="J3" s="139"/>
      <c r="K3" s="140"/>
    </row>
    <row r="4" spans="2:11" ht="16.5" customHeight="1">
      <c r="B4" s="10"/>
      <c r="C4" s="11"/>
      <c r="D4" s="14"/>
      <c r="E4" s="55" t="s">
        <v>25</v>
      </c>
      <c r="F4" s="55" t="s">
        <v>24</v>
      </c>
      <c r="G4" s="55" t="s">
        <v>20</v>
      </c>
      <c r="H4" s="55" t="s">
        <v>18</v>
      </c>
      <c r="I4" s="55" t="s">
        <v>16</v>
      </c>
      <c r="J4" s="55" t="s">
        <v>22</v>
      </c>
      <c r="K4" s="56" t="s">
        <v>23</v>
      </c>
    </row>
    <row r="5" spans="2:11" ht="16.5" customHeight="1">
      <c r="B5" s="15"/>
      <c r="C5" s="16"/>
      <c r="D5" s="2"/>
      <c r="E5" s="57">
        <f>H5*70%</f>
        <v>420</v>
      </c>
      <c r="F5" s="57">
        <f>H5*80%</f>
        <v>480</v>
      </c>
      <c r="G5" s="57">
        <f>H5*90%</f>
        <v>540</v>
      </c>
      <c r="H5" s="31">
        <f>Budget!E5</f>
        <v>600</v>
      </c>
      <c r="I5" s="57">
        <f>H5*110%</f>
        <v>660</v>
      </c>
      <c r="J5" s="57">
        <f>H5*120%</f>
        <v>720</v>
      </c>
      <c r="K5" s="58">
        <f>H5*130%</f>
        <v>780</v>
      </c>
    </row>
    <row r="6" spans="2:11" ht="16.5" customHeight="1">
      <c r="B6" s="136" t="s">
        <v>96</v>
      </c>
      <c r="C6" s="50" t="s">
        <v>21</v>
      </c>
      <c r="D6" s="51">
        <f>D9*85%</f>
        <v>3.1534999999999997</v>
      </c>
      <c r="E6" s="36">
        <f>(D6*$E$5)-Budget!$G$39</f>
        <v>-2724.9325723853785</v>
      </c>
      <c r="F6" s="37">
        <f>(D6*$F$5)-Budget!$G$39</f>
        <v>-2535.7225723853785</v>
      </c>
      <c r="G6" s="37">
        <f>(D6*$G$5)-Budget!$G$39</f>
        <v>-2346.5125723853785</v>
      </c>
      <c r="H6" s="37">
        <f>(D6*$H$5)-Budget!$G$39</f>
        <v>-2157.3025723853784</v>
      </c>
      <c r="I6" s="37">
        <f>(D6*$I$5)-Budget!$G$39</f>
        <v>-1968.0925723853784</v>
      </c>
      <c r="J6" s="37">
        <f>(D6*$J$5)-Budget!$G$39</f>
        <v>-1778.8825723853784</v>
      </c>
      <c r="K6" s="38">
        <f>(D6*$K$5)-Budget!$G$39</f>
        <v>-1589.6725723853783</v>
      </c>
    </row>
    <row r="7" spans="2:11" ht="16.5" customHeight="1">
      <c r="B7" s="136"/>
      <c r="C7" s="50" t="s">
        <v>20</v>
      </c>
      <c r="D7" s="51">
        <f>D9*90%</f>
        <v>3.339</v>
      </c>
      <c r="E7" s="39">
        <f>(D7*$E$5)-Budget!$G$39</f>
        <v>-2647.0225723853782</v>
      </c>
      <c r="F7" s="40">
        <f>(D7*$F$5)-Budget!$G$39</f>
        <v>-2446.6825723853781</v>
      </c>
      <c r="G7" s="40">
        <f>(D7*$G$5)-Budget!$G$39</f>
        <v>-2246.3425723853784</v>
      </c>
      <c r="H7" s="40">
        <f>(D7*$H$5)-Budget!$G$39</f>
        <v>-2046.0025723853782</v>
      </c>
      <c r="I7" s="40">
        <f>(D7*$I$5)-Budget!$G$39</f>
        <v>-1845.6625723853786</v>
      </c>
      <c r="J7" s="40">
        <f>(D7*$J$5)-Budget!$G$39</f>
        <v>-1645.3225723853784</v>
      </c>
      <c r="K7" s="41">
        <f>(D7*$K$5)-Budget!$G$39</f>
        <v>-1444.9825723853783</v>
      </c>
    </row>
    <row r="8" spans="2:11" ht="16.5" customHeight="1" thickBot="1">
      <c r="B8" s="136"/>
      <c r="C8" s="52" t="s">
        <v>19</v>
      </c>
      <c r="D8" s="51">
        <f>D9*0.95</f>
        <v>3.5244999999999997</v>
      </c>
      <c r="E8" s="39">
        <f>(D8*$E$5)-Budget!$G$39</f>
        <v>-2569.1125723853784</v>
      </c>
      <c r="F8" s="40">
        <f>(D8*$F$5)-Budget!$G$39</f>
        <v>-2357.6425723853786</v>
      </c>
      <c r="G8" s="40">
        <f>(D8*$G$5)-Budget!$G$39</f>
        <v>-2146.1725723853788</v>
      </c>
      <c r="H8" s="40">
        <f>(D8*$H$5)-Budget!$G$39</f>
        <v>-1934.7025723853785</v>
      </c>
      <c r="I8" s="40">
        <f>(D8*$I$5)-Budget!$G$39</f>
        <v>-1723.2325723853787</v>
      </c>
      <c r="J8" s="40">
        <f>(D8*$J$5)-Budget!$G$39</f>
        <v>-1511.7625723853785</v>
      </c>
      <c r="K8" s="41">
        <f>(D8*$K$5)-Budget!$G$39</f>
        <v>-1300.2925723853787</v>
      </c>
    </row>
    <row r="9" spans="2:11" ht="16.5" customHeight="1" thickBot="1">
      <c r="B9" s="136"/>
      <c r="C9" s="50" t="s">
        <v>18</v>
      </c>
      <c r="D9" s="32">
        <f>Budget!F5</f>
        <v>3.71</v>
      </c>
      <c r="E9" s="39">
        <f>(D9*$E$5)-Budget!$G$39</f>
        <v>-2491.2025723853785</v>
      </c>
      <c r="F9" s="40">
        <f>(D9*$F$5)-Budget!$G$39</f>
        <v>-2268.6025723853782</v>
      </c>
      <c r="G9" s="40">
        <f>(D9*$G$5)-Budget!$G$39</f>
        <v>-2046.0025723853782</v>
      </c>
      <c r="H9" s="42">
        <f>(D9*$H$5)-Budget!$G$39</f>
        <v>-1823.4025723853783</v>
      </c>
      <c r="I9" s="40">
        <f>(D9*$I$5)-Budget!$G$39</f>
        <v>-1600.8025723853784</v>
      </c>
      <c r="J9" s="40">
        <f>(D9*$J$5)-Budget!$G$39</f>
        <v>-1378.2025723853785</v>
      </c>
      <c r="K9" s="41">
        <f>(D9*$K$5)-Budget!$G$39</f>
        <v>-1155.6025723853782</v>
      </c>
    </row>
    <row r="10" spans="2:11" ht="16.5" customHeight="1">
      <c r="B10" s="136"/>
      <c r="C10" s="50" t="s">
        <v>17</v>
      </c>
      <c r="D10" s="51">
        <f>D9*105%</f>
        <v>3.8955000000000002</v>
      </c>
      <c r="E10" s="39">
        <f>(D10*$E$5)-Budget!$G$39</f>
        <v>-2413.2925723853782</v>
      </c>
      <c r="F10" s="40">
        <f>(D10*$F$5)-Budget!$G$39</f>
        <v>-2179.5625723853782</v>
      </c>
      <c r="G10" s="40">
        <f>(D10*$G$5)-Budget!$G$39</f>
        <v>-1945.8325723853782</v>
      </c>
      <c r="H10" s="40">
        <f>(D10*$H$5)-Budget!$G$39</f>
        <v>-1712.1025723853782</v>
      </c>
      <c r="I10" s="40">
        <f>(D10*$I$5)-Budget!$G$39</f>
        <v>-1478.3725723853781</v>
      </c>
      <c r="J10" s="40">
        <f>(D10*$J$5)-Budget!$G$39</f>
        <v>-1244.6425723853781</v>
      </c>
      <c r="K10" s="41">
        <f>(D10*$K$5)-Budget!$G$39</f>
        <v>-1010.9125723853781</v>
      </c>
    </row>
    <row r="11" spans="2:11" ht="16.5" customHeight="1">
      <c r="B11" s="136"/>
      <c r="C11" s="50" t="s">
        <v>16</v>
      </c>
      <c r="D11" s="51">
        <f>D9*110%</f>
        <v>4.0810000000000004</v>
      </c>
      <c r="E11" s="39">
        <f>(D11*$E$5)-Budget!$G$39</f>
        <v>-2335.3825723853779</v>
      </c>
      <c r="F11" s="40">
        <f>(D11*$F$5)-Budget!$G$39</f>
        <v>-2090.5225723853782</v>
      </c>
      <c r="G11" s="40">
        <f>(D11*$G$5)-Budget!$G$39</f>
        <v>-1845.6625723853781</v>
      </c>
      <c r="H11" s="40">
        <f>(D11*$H$5)-Budget!$G$39</f>
        <v>-1600.802572385378</v>
      </c>
      <c r="I11" s="40">
        <f>(D11*$I$5)-Budget!$G$39</f>
        <v>-1355.9425723853778</v>
      </c>
      <c r="J11" s="40">
        <f>(D11*$J$5)-Budget!$G$39</f>
        <v>-1111.0825723853782</v>
      </c>
      <c r="K11" s="41">
        <f>(D11*$K$5)-Budget!$G$39</f>
        <v>-866.22257238537804</v>
      </c>
    </row>
    <row r="12" spans="2:11" ht="16.5" customHeight="1">
      <c r="B12" s="137"/>
      <c r="C12" s="53" t="s">
        <v>15</v>
      </c>
      <c r="D12" s="54">
        <f>D9*115%</f>
        <v>4.2664999999999997</v>
      </c>
      <c r="E12" s="44">
        <f>(D12*$E$5)-Budget!$G$39</f>
        <v>-2257.4725723853785</v>
      </c>
      <c r="F12" s="45">
        <f>(D12*$F$5)-Budget!$G$39</f>
        <v>-2001.4825723853785</v>
      </c>
      <c r="G12" s="45">
        <f>(D12*$G$5)-Budget!$G$39</f>
        <v>-1745.4925723853785</v>
      </c>
      <c r="H12" s="45">
        <f>(D12*$H$5)-Budget!$G$39</f>
        <v>-1489.5025723853787</v>
      </c>
      <c r="I12" s="45">
        <f>(D12*$I$5)-Budget!$G$39</f>
        <v>-1233.5125723853785</v>
      </c>
      <c r="J12" s="45">
        <f>(D12*$J$5)-Budget!$G$39</f>
        <v>-977.52257238537868</v>
      </c>
      <c r="K12" s="46">
        <f>(D12*$K$5)-Budget!$G$39</f>
        <v>-721.53257238537844</v>
      </c>
    </row>
    <row r="13" spans="2:11" ht="16.5" customHeight="1">
      <c r="B13" s="33"/>
      <c r="C13" s="33"/>
      <c r="D13" s="33"/>
      <c r="E13" s="33"/>
      <c r="F13" s="33"/>
      <c r="G13" s="33"/>
      <c r="H13" s="33"/>
      <c r="I13" s="33"/>
      <c r="J13" s="33"/>
      <c r="K13" s="33"/>
    </row>
    <row r="14" spans="2:11" ht="16.5" customHeight="1">
      <c r="B14" s="134" t="s">
        <v>105</v>
      </c>
      <c r="C14" s="134"/>
      <c r="D14" s="134"/>
      <c r="E14" s="134"/>
      <c r="F14" s="134"/>
      <c r="G14" s="134"/>
      <c r="H14" s="134"/>
      <c r="I14" s="134"/>
      <c r="J14" s="134"/>
      <c r="K14" s="134"/>
    </row>
    <row r="15" spans="2:11" ht="16.5" customHeight="1">
      <c r="B15" s="143" t="s">
        <v>89</v>
      </c>
      <c r="C15" s="143"/>
      <c r="D15" s="143"/>
      <c r="E15" s="143"/>
      <c r="F15" s="143"/>
      <c r="G15" s="143"/>
      <c r="H15" s="143"/>
      <c r="I15" s="143"/>
      <c r="J15" s="143"/>
      <c r="K15" s="143"/>
    </row>
    <row r="16" spans="2:11" ht="16.5" customHeight="1">
      <c r="B16" s="8"/>
      <c r="C16" s="17"/>
      <c r="D16" s="17"/>
      <c r="E16" s="138" t="s">
        <v>2</v>
      </c>
      <c r="F16" s="139"/>
      <c r="G16" s="139"/>
      <c r="H16" s="139"/>
      <c r="I16" s="139"/>
      <c r="J16" s="139"/>
      <c r="K16" s="140"/>
    </row>
    <row r="17" spans="2:11" ht="16.5" customHeight="1">
      <c r="B17" s="12"/>
      <c r="C17" s="1"/>
      <c r="D17" s="3"/>
      <c r="E17" s="47" t="s">
        <v>21</v>
      </c>
      <c r="F17" s="48" t="s">
        <v>20</v>
      </c>
      <c r="G17" s="48" t="s">
        <v>19</v>
      </c>
      <c r="H17" s="48" t="s">
        <v>18</v>
      </c>
      <c r="I17" s="48" t="s">
        <v>17</v>
      </c>
      <c r="J17" s="48" t="s">
        <v>16</v>
      </c>
      <c r="K17" s="49" t="s">
        <v>15</v>
      </c>
    </row>
    <row r="18" spans="2:11" ht="16.5" customHeight="1">
      <c r="B18" s="141" t="s">
        <v>10</v>
      </c>
      <c r="C18" s="4"/>
      <c r="D18" s="35" t="s">
        <v>21</v>
      </c>
      <c r="E18" s="36">
        <f>(Budget!G6*0.85)-(Budget!G33*0.85)-Budget!G37</f>
        <v>-1680.809787169861</v>
      </c>
      <c r="F18" s="37">
        <f>(Budget!G6*0.9)-(Budget!G33*0.85)-Budget!G37</f>
        <v>-1569.5097871698608</v>
      </c>
      <c r="G18" s="37">
        <f>(Budget!G6*0.95)-(Budget!G33*0.85)-Budget!G37</f>
        <v>-1458.2097871698611</v>
      </c>
      <c r="H18" s="37">
        <f>Budget!G6-(Budget!G33*0.85)-Budget!G37</f>
        <v>-1346.9097871698609</v>
      </c>
      <c r="I18" s="37">
        <f>(Budget!G6*1.05)-(Budget!G33*0.85)-Budget!G37</f>
        <v>-1235.6097871698607</v>
      </c>
      <c r="J18" s="37">
        <f>(Budget!G6*1.1)-(Budget!G33*0.85)-Budget!G37</f>
        <v>-1124.3097871698606</v>
      </c>
      <c r="K18" s="38">
        <f>(Budget!G6*1.15)-(Budget!G33*0.85)-Budget!G37</f>
        <v>-1013.0097871698613</v>
      </c>
    </row>
    <row r="19" spans="2:11" ht="16.5" customHeight="1">
      <c r="B19" s="141"/>
      <c r="C19" s="4"/>
      <c r="D19" s="35" t="s">
        <v>20</v>
      </c>
      <c r="E19" s="39">
        <f>(Budget!G6*0.85)-(Budget!G33*0.9)-Budget!G37</f>
        <v>-1839.6407155750339</v>
      </c>
      <c r="F19" s="40">
        <f>(Budget!G6*0.9)-(Budget!G33*0.9)-Budget!G37</f>
        <v>-1728.3407155750338</v>
      </c>
      <c r="G19" s="40">
        <f>(Budget!G6*0.95)-(Budget!G33*0.9)-Budget!G37</f>
        <v>-1617.040715575034</v>
      </c>
      <c r="H19" s="40">
        <f>Budget!G6-(Budget!G33*0.9)-Budget!G37</f>
        <v>-1505.7407155750338</v>
      </c>
      <c r="I19" s="40">
        <f>(Budget!G6*1.05)-(Budget!G33*0.9)-Budget!G37</f>
        <v>-1394.4407155750337</v>
      </c>
      <c r="J19" s="40">
        <f>(Budget!G6*1.1)-(Budget!G33*0.9)-Budget!G37</f>
        <v>-1283.1407155750335</v>
      </c>
      <c r="K19" s="41">
        <f>(Budget!G6*1.15)-(Budget!G33*0.9)-Budget!G37</f>
        <v>-1171.8407155750342</v>
      </c>
    </row>
    <row r="20" spans="2:11" ht="16.5" customHeight="1" thickBot="1">
      <c r="B20" s="141"/>
      <c r="C20" s="4"/>
      <c r="D20" s="35" t="s">
        <v>19</v>
      </c>
      <c r="E20" s="39">
        <f>(Budget!G6*0.85)-(Budget!G33*0.95)-Budget!G37</f>
        <v>-1998.471643980206</v>
      </c>
      <c r="F20" s="40">
        <f>(Budget!G6*0.9)-(Budget!G33*0.95)-Budget!G37</f>
        <v>-1887.1716439802058</v>
      </c>
      <c r="G20" s="40">
        <f>(Budget!G6*0.95)-(Budget!G33*0.95)-Budget!G37</f>
        <v>-1775.871643980206</v>
      </c>
      <c r="H20" s="40">
        <f>Budget!G6-(Budget!G33*0.95)-Budget!G37</f>
        <v>-1664.5716439802059</v>
      </c>
      <c r="I20" s="40">
        <f>(Budget!G6*1.05)-(Budget!G33*0.95)-Budget!G37</f>
        <v>-1553.2716439802057</v>
      </c>
      <c r="J20" s="40">
        <f>(Budget!G6*1.1)-(Budget!G33*0.95)-Budget!G37</f>
        <v>-1441.9716439802055</v>
      </c>
      <c r="K20" s="41">
        <f>(Budget!G6*1.15)-(Budget!G33*0.95)-Budget!G37</f>
        <v>-1330.6716439802062</v>
      </c>
    </row>
    <row r="21" spans="2:11" ht="16.5" customHeight="1" thickBot="1">
      <c r="B21" s="141"/>
      <c r="C21" s="4"/>
      <c r="D21" s="35" t="s">
        <v>18</v>
      </c>
      <c r="E21" s="39">
        <f>(Budget!G6*0.85)-Budget!G33-Budget!GG43</f>
        <v>-1284.5185681034477</v>
      </c>
      <c r="F21" s="40">
        <f>(Budget!G6*0.9)-(Budget!G33)-Budget!G37</f>
        <v>-2046.0025723853782</v>
      </c>
      <c r="G21" s="40">
        <f>(Budget!G6*0.95)-(Budget!G33)-Budget!G37</f>
        <v>-1934.7025723853785</v>
      </c>
      <c r="H21" s="42">
        <f>Budget!G6-(Budget!G33)-Budget!G37</f>
        <v>-1823.4025723853783</v>
      </c>
      <c r="I21" s="40">
        <f>(Budget!G6*1.05)-(Budget!G33)-Budget!G37</f>
        <v>-1712.1025723853782</v>
      </c>
      <c r="J21" s="40">
        <f>(Budget!G6*1.1)-(Budget!G33)-Budget!G37</f>
        <v>-1600.802572385378</v>
      </c>
      <c r="K21" s="41">
        <f>(Budget!G6*1.15)-(Budget!G33)-Budget!G37</f>
        <v>-1489.5025723853787</v>
      </c>
    </row>
    <row r="22" spans="2:11" ht="16.5" customHeight="1">
      <c r="B22" s="141"/>
      <c r="C22" s="4"/>
      <c r="D22" s="35" t="s">
        <v>17</v>
      </c>
      <c r="E22" s="39">
        <f>(Budget!G6*0.85)-(Budget!G33*1.05)-Budget!G37</f>
        <v>-2316.1335007905509</v>
      </c>
      <c r="F22" s="40">
        <f>(Budget!G6*0.9)-(Budget!G33*1.05)-Budget!G37</f>
        <v>-2204.8335007905507</v>
      </c>
      <c r="G22" s="40">
        <f>(Budget!G6*0.95)-(Budget!G33*1.05)-Budget!G37</f>
        <v>-2093.533500790551</v>
      </c>
      <c r="H22" s="40">
        <f>Budget!G6-(Budget!G33*1.05)-Budget!G37</f>
        <v>-1982.2335007905508</v>
      </c>
      <c r="I22" s="40">
        <f>(Budget!G6*1.05)-(Budget!G33*1.05)-Budget!G37</f>
        <v>-1870.9335007905506</v>
      </c>
      <c r="J22" s="40">
        <f>(Budget!G6*1.1)-(Budget!G33*1.05)-Budget!G37</f>
        <v>-1759.6335007905504</v>
      </c>
      <c r="K22" s="41">
        <f>(Budget!G6*1.15)-(Budget!G33*1.05)-Budget!G37</f>
        <v>-1648.3335007905512</v>
      </c>
    </row>
    <row r="23" spans="2:11" ht="16.5" customHeight="1">
      <c r="B23" s="141"/>
      <c r="C23" s="4"/>
      <c r="D23" s="35" t="s">
        <v>16</v>
      </c>
      <c r="E23" s="39">
        <f>(Budget!G6*0.85)-(Budget!G33*1.1)-Budget!G37</f>
        <v>-2474.9644291957234</v>
      </c>
      <c r="F23" s="40">
        <f>(Budget!G6*0.9)-(Budget!G33*1.1)-Budget!G37</f>
        <v>-2363.6644291957232</v>
      </c>
      <c r="G23" s="40">
        <f>(Budget!G6*0.95)-(Budget!G33*1.1)-Budget!G37</f>
        <v>-2252.3644291957235</v>
      </c>
      <c r="H23" s="40">
        <f>Budget!G6-(Budget!G33*1.1)-Budget!G37</f>
        <v>-2141.0644291957233</v>
      </c>
      <c r="I23" s="40">
        <f>(Budget!G6*1.05)-(Budget!G33*1.1)-Budget!G37</f>
        <v>-2029.7644291957231</v>
      </c>
      <c r="J23" s="40">
        <f>(Budget!G6*1.1)-(Budget!G33*1.1)-Budget!G37</f>
        <v>-1918.4644291957229</v>
      </c>
      <c r="K23" s="41">
        <f>(Budget!G6*1.15)-(Budget!G33*1.1)-Budget!G37</f>
        <v>-1807.1644291957236</v>
      </c>
    </row>
    <row r="24" spans="2:11" ht="16.5" customHeight="1">
      <c r="B24" s="142"/>
      <c r="C24" s="18"/>
      <c r="D24" s="43" t="s">
        <v>15</v>
      </c>
      <c r="E24" s="44">
        <f>(Budget!G6*0.85)-(Budget!G33*1.15)-Budget!G37</f>
        <v>-2633.7953576008954</v>
      </c>
      <c r="F24" s="45">
        <f>(Budget!G6*0.9)-(Budget!G33*1.15)-Budget!G37</f>
        <v>-2522.4953576008952</v>
      </c>
      <c r="G24" s="45">
        <f>(Budget!G6*0.95)-(Budget!G33*1.15)-Budget!G37</f>
        <v>-2411.1953576008955</v>
      </c>
      <c r="H24" s="45">
        <f>Budget!G6-(Budget!G33*1.15)-Budget!G37</f>
        <v>-2299.8953576008953</v>
      </c>
      <c r="I24" s="45">
        <f>(Budget!G6*1.05)-(Budget!G33*1.15)-Budget!G37</f>
        <v>-2188.5953576008951</v>
      </c>
      <c r="J24" s="45">
        <f>(Budget!G6*1.1)-(Budget!G33*1.15)-Budget!G37</f>
        <v>-2077.2953576008949</v>
      </c>
      <c r="K24" s="46">
        <f>(Budget!G6*1.15)-(Budget!G33*1.15)-Budget!G37</f>
        <v>-1965.9953576008957</v>
      </c>
    </row>
    <row r="25" spans="2:11" ht="9" hidden="1" customHeight="1">
      <c r="B25" s="33"/>
      <c r="C25" s="33"/>
      <c r="D25" s="33"/>
      <c r="E25" s="33"/>
      <c r="F25" s="33"/>
      <c r="G25" s="33"/>
      <c r="H25" s="33"/>
      <c r="I25" s="33"/>
      <c r="J25" s="33"/>
      <c r="K25" s="33"/>
    </row>
    <row r="26" spans="2:11" ht="14.5" hidden="1" customHeight="1"/>
    <row r="28" spans="2:11" ht="32.15" hidden="1" customHeight="1"/>
    <row r="29" spans="2:11" ht="16" hidden="1">
      <c r="B29" s="135"/>
      <c r="C29" s="135"/>
      <c r="D29" s="135"/>
      <c r="E29" s="135"/>
      <c r="F29" s="135"/>
      <c r="G29" s="135"/>
      <c r="H29" s="135"/>
      <c r="I29" s="135"/>
      <c r="J29" s="135"/>
      <c r="K29" s="135"/>
    </row>
    <row r="30" spans="2:11" ht="16" hidden="1">
      <c r="B30" s="135"/>
      <c r="C30" s="135"/>
      <c r="D30" s="135"/>
      <c r="E30" s="135"/>
      <c r="F30" s="135"/>
      <c r="G30" s="135"/>
      <c r="H30" s="135"/>
      <c r="I30" s="135"/>
      <c r="J30" s="135"/>
      <c r="K30" s="135"/>
    </row>
    <row r="31" spans="2:11" ht="16" hidden="1">
      <c r="B31" s="34"/>
      <c r="C31" s="34"/>
      <c r="D31" s="34"/>
      <c r="E31" s="34"/>
      <c r="F31" s="34"/>
      <c r="G31" s="34"/>
      <c r="H31" s="34"/>
      <c r="I31" s="34"/>
      <c r="J31" s="34"/>
      <c r="K31" s="34"/>
    </row>
    <row r="32" spans="2:11" ht="16" hidden="1">
      <c r="G32" s="33"/>
      <c r="H32" s="33"/>
      <c r="I32" s="33"/>
      <c r="J32" s="33"/>
      <c r="K32" s="33"/>
    </row>
    <row r="33" spans="7:11" ht="16" hidden="1">
      <c r="G33" s="33"/>
      <c r="H33" s="33"/>
      <c r="I33" s="33"/>
      <c r="J33" s="33"/>
      <c r="K33" s="33"/>
    </row>
    <row r="34" spans="7:11" ht="16" hidden="1">
      <c r="G34" s="33"/>
      <c r="H34" s="33"/>
      <c r="I34" s="33"/>
      <c r="J34" s="33"/>
      <c r="K34" s="33"/>
    </row>
    <row r="35" spans="7:11" ht="16" hidden="1">
      <c r="G35" s="33"/>
      <c r="H35" s="33"/>
      <c r="I35" s="33"/>
      <c r="J35" s="33"/>
      <c r="K35" s="33"/>
    </row>
    <row r="36" spans="7:11" ht="16" hidden="1">
      <c r="G36" s="33"/>
      <c r="H36" s="33"/>
      <c r="I36" s="33"/>
      <c r="J36" s="33"/>
      <c r="K36" s="33"/>
    </row>
  </sheetData>
  <sheetProtection sheet="1" objects="1" scenarios="1"/>
  <mergeCells count="10">
    <mergeCell ref="B1:K1"/>
    <mergeCell ref="B14:K14"/>
    <mergeCell ref="B29:K29"/>
    <mergeCell ref="B30:K30"/>
    <mergeCell ref="B6:B12"/>
    <mergeCell ref="E16:K16"/>
    <mergeCell ref="B18:B24"/>
    <mergeCell ref="B2:K2"/>
    <mergeCell ref="B15:K15"/>
    <mergeCell ref="E3:K3"/>
  </mergeCells>
  <conditionalFormatting sqref="E6:K12">
    <cfRule type="cellIs" dxfId="1" priority="2" operator="lessThan">
      <formula>0</formula>
    </cfRule>
  </conditionalFormatting>
  <conditionalFormatting sqref="E18:K24">
    <cfRule type="cellIs" dxfId="0" priority="1" operator="lessThan">
      <formula>0</formula>
    </cfRule>
  </conditionalFormatting>
  <pageMargins left="0.7" right="0.7" top="0.75" bottom="0.75" header="0.3" footer="0.3"/>
  <pageSetup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customXml/itemProps2.xml><?xml version="1.0" encoding="utf-8"?>
<ds:datastoreItem xmlns:ds="http://schemas.openxmlformats.org/officeDocument/2006/customXml" ds:itemID="{803F0A06-9F9F-49EF-8C3D-05FBF50BAEB2}">
  <ds:schemaRefs>
    <ds:schemaRef ds:uri="http://schemas.microsoft.com/sharepoint/v3/contenttype/forms"/>
  </ds:schemaRefs>
</ds:datastoreItem>
</file>

<file path=customXml/itemProps3.xml><?xml version="1.0" encoding="utf-8"?>
<ds:datastoreItem xmlns:ds="http://schemas.openxmlformats.org/officeDocument/2006/customXml" ds:itemID="{3790B005-294E-47C1-B205-533A35C0E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Budget</vt:lpstr>
      <vt:lpstr>Financial Sensitivity</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Rahe, Mallory</cp:lastModifiedBy>
  <cp:revision/>
  <cp:lastPrinted>2025-08-08T18:50:14Z</cp:lastPrinted>
  <dcterms:created xsi:type="dcterms:W3CDTF">2020-07-30T17:48:44Z</dcterms:created>
  <dcterms:modified xsi:type="dcterms:W3CDTF">2025-10-07T14:22:03Z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