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mailmissouri.sharepoint.com/sites/MUEXTPlantSciences-Ogrp-ABPInternalMaterials/Shared Documents/ABP Internal Materials/Clare Staley 2025/High Tunnel Budgets Updated/Excel files ready for Final Checks/"/>
    </mc:Choice>
  </mc:AlternateContent>
  <xr:revisionPtr revIDLastSave="387" documentId="8_{4D38DB16-DD01-4038-9753-9E1A3B7833AD}" xr6:coauthVersionLast="47" xr6:coauthVersionMax="47" xr10:uidLastSave="{29DF95EE-A2E4-40C7-B125-7CE7644DEE53}"/>
  <workbookProtection lockStructure="1"/>
  <bookViews>
    <workbookView xWindow="28680" yWindow="-5280" windowWidth="29040" windowHeight="16440" xr2:uid="{50691399-9F51-4DAE-88E6-4D51F075FBD5}"/>
  </bookViews>
  <sheets>
    <sheet name="Introduction" sheetId="3" r:id="rId1"/>
    <sheet name="Budget" sheetId="1" r:id="rId2"/>
    <sheet name="Financial Sensitivity" sheetId="4" r:id="rId3"/>
  </sheets>
  <externalReferences>
    <externalReference r:id="rId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cres">#REF!</definedName>
    <definedName name="Boom_Sprayer">#REF!</definedName>
    <definedName name="Boom_Sprayer_SP">#REF!</definedName>
    <definedName name="byyield">#REF!</definedName>
    <definedName name="Chisel_Plow">#REF!</definedName>
    <definedName name="Chisel_Plow_FD">#REF!</definedName>
    <definedName name="Comb_Disk_VRipper">#REF!</definedName>
    <definedName name="Comb_Fld_Cult_Incorp">#REF!</definedName>
    <definedName name="Combine_Size">#REF!</definedName>
    <definedName name="Cornhead_Size">#REF!</definedName>
    <definedName name="crop">#REF!</definedName>
    <definedName name="cropnum">#REF!</definedName>
    <definedName name="Crops">#REF!</definedName>
    <definedName name="Cultivator">#REF!</definedName>
    <definedName name="Cultivator_HR">#REF!</definedName>
    <definedName name="customhire2">#REF!,#REF!</definedName>
    <definedName name="CustomImps">[1]!Table4[Activity]</definedName>
    <definedName name="Disc_Mower">#REF!</definedName>
    <definedName name="Disk">#REF!</definedName>
    <definedName name="Disk_Mower">#REF!</definedName>
    <definedName name="drying">#REF!,#REF!</definedName>
    <definedName name="Field_Cultivator">#REF!</definedName>
    <definedName name="Grain_Auger">#REF!</definedName>
    <definedName name="Graincart">#REF!</definedName>
    <definedName name="Grainhead_Size">#REF!</definedName>
    <definedName name="Harrow">#REF!</definedName>
    <definedName name="hauling">#REF!,#REF!</definedName>
    <definedName name="herbicide2">#REF!,#REF!</definedName>
    <definedName name="Implementlist">#REF!</definedName>
    <definedName name="Implements">#REF!</definedName>
    <definedName name="Implements7">#REF!</definedName>
    <definedName name="ImplSel">#REF!</definedName>
    <definedName name="import">#REF!</definedName>
    <definedName name="income">#REF!</definedName>
    <definedName name="insecticide2">#REF!,#REF!</definedName>
    <definedName name="Irrigation">#REF!</definedName>
    <definedName name="irrigation2">#REF!</definedName>
    <definedName name="lease_arrangement">#REF!</definedName>
    <definedName name="leasenum">#REF!</definedName>
    <definedName name="mdbvalues">#REF!,#REF!,#REF!,#REF!</definedName>
    <definedName name="Moldboard_Plow">#REF!</definedName>
    <definedName name="NoTill_Drill">#REF!</definedName>
    <definedName name="NoTill_Planter">#REF!</definedName>
    <definedName name="Passes">#REF!,#REF!,#REF!,#REF!</definedName>
    <definedName name="Planter">#REF!</definedName>
    <definedName name="postharvest">#REF!,#REF!,#REF!</definedName>
    <definedName name="Power">#REF!</definedName>
    <definedName name="Power_Size">#REF!</definedName>
    <definedName name="Powerlist">#REF!</definedName>
    <definedName name="PowerSel">#REF!</definedName>
    <definedName name="Presswheel_Drill">#REF!</definedName>
    <definedName name="Primary_Units">#REF!</definedName>
    <definedName name="primyield">#REF!</definedName>
    <definedName name="_xlnm.Print_Area" localSheetId="1">Budget!$B$2:$H$48,Budget!$B$50:$I$1048576</definedName>
    <definedName name="_xlnm.Print_Area" localSheetId="2">'Financial Sensitivity'!$B$1:$K$24</definedName>
    <definedName name="PUAlloc">#REF!</definedName>
    <definedName name="PUMiles">#REF!</definedName>
    <definedName name="rental">#REF!,#REF!,#REF!,#REF!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ller_Bar_Rake">#REF!</definedName>
    <definedName name="Round_Baler_Tie">#REF!</definedName>
    <definedName name="seed2">#REF!,#REF!,#REF!</definedName>
    <definedName name="SemiAlloc">#REF!</definedName>
    <definedName name="SemiMiles">#REF!</definedName>
    <definedName name="Silage_Wrapper">#REF!</definedName>
    <definedName name="Soybeanhead_Size">#REF!</definedName>
    <definedName name="SplitRow_Planter">#REF!</definedName>
    <definedName name="storage">#REF!,#REF!</definedName>
    <definedName name="Swather_Mower_Conditioner">#REF!</definedName>
    <definedName name="Tandem_Disk">#REF!</definedName>
    <definedName name="TenWheelAlloc">#REF!</definedName>
    <definedName name="TenWheelMiles">#REF!</definedName>
    <definedName name="VRipper">#REF!</definedName>
    <definedName name="Wheel_Rake">#REF!</definedName>
    <definedName name="wrn.all." hidden="1">{"detail",#N/A,FALSE,"Trac_Table";"tractable",#N/A,FALSE,"Trac_Table";"sensitivity",#N/A,FALSE,"Trac_Table"}</definedName>
    <definedName name="ww">[1]!Table4[Activity]</definedName>
    <definedName name="yiel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4" l="1"/>
  <c r="E33" i="1"/>
  <c r="F33" i="1"/>
  <c r="G4" i="1"/>
  <c r="G39" i="1" s="1"/>
  <c r="G8" i="1" l="1"/>
  <c r="G20" i="1" l="1"/>
  <c r="H20" i="1" s="1"/>
  <c r="G19" i="1"/>
  <c r="H19" i="1" s="1"/>
  <c r="G11" i="1" l="1"/>
  <c r="H11" i="1" s="1"/>
  <c r="G10" i="1"/>
  <c r="H10" i="1" s="1"/>
  <c r="G32" i="1"/>
  <c r="H32" i="1" s="1"/>
  <c r="E69" i="1" l="1"/>
  <c r="E70" i="1" s="1"/>
  <c r="F69" i="1"/>
  <c r="F70" i="1" s="1"/>
  <c r="D69" i="1"/>
  <c r="D70" i="1" s="1"/>
  <c r="G58" i="1"/>
  <c r="I58" i="1" s="1"/>
  <c r="G59" i="1"/>
  <c r="I59" i="1" s="1"/>
  <c r="G60" i="1"/>
  <c r="I60" i="1" s="1"/>
  <c r="G61" i="1"/>
  <c r="I61" i="1" s="1"/>
  <c r="G62" i="1"/>
  <c r="I62" i="1" s="1"/>
  <c r="G63" i="1"/>
  <c r="I63" i="1" s="1"/>
  <c r="G64" i="1"/>
  <c r="I64" i="1" s="1"/>
  <c r="G65" i="1"/>
  <c r="I65" i="1" s="1"/>
  <c r="G66" i="1"/>
  <c r="I66" i="1" s="1"/>
  <c r="G67" i="1"/>
  <c r="I67" i="1" s="1"/>
  <c r="G68" i="1"/>
  <c r="I68" i="1" s="1"/>
  <c r="G57" i="1"/>
  <c r="I57" i="1" s="1"/>
  <c r="G69" i="1" l="1"/>
  <c r="G70" i="1" s="1"/>
  <c r="I69" i="1"/>
  <c r="F40" i="1" l="1"/>
  <c r="I70" i="1"/>
  <c r="H35" i="1"/>
  <c r="G40" i="1" l="1"/>
  <c r="H40" i="1" s="1"/>
  <c r="G16" i="1"/>
  <c r="H16" i="1" s="1"/>
  <c r="G14" i="1"/>
  <c r="H14" i="1" s="1"/>
  <c r="G15" i="1"/>
  <c r="H15" i="1" s="1"/>
  <c r="G30" i="1"/>
  <c r="H30" i="1" s="1"/>
  <c r="G28" i="1"/>
  <c r="H28" i="1" s="1"/>
  <c r="G26" i="1"/>
  <c r="H26" i="1" s="1"/>
  <c r="G27" i="1"/>
  <c r="H27" i="1" s="1"/>
  <c r="G25" i="1"/>
  <c r="H25" i="1" s="1"/>
  <c r="G22" i="1"/>
  <c r="H22" i="1" s="1"/>
  <c r="G23" i="1"/>
  <c r="H23" i="1" s="1"/>
  <c r="G24" i="1"/>
  <c r="H24" i="1" s="1"/>
  <c r="G12" i="1"/>
  <c r="H12" i="1" s="1"/>
  <c r="H5" i="4" l="1"/>
  <c r="G18" i="1" l="1"/>
  <c r="H18" i="1" s="1"/>
  <c r="I5" i="4" l="1"/>
  <c r="D9" i="4"/>
  <c r="J5" i="4" l="1"/>
  <c r="K5" i="4"/>
  <c r="G5" i="4"/>
  <c r="F5" i="4"/>
  <c r="E5" i="4"/>
  <c r="D8" i="4"/>
  <c r="D10" i="4"/>
  <c r="D11" i="4"/>
  <c r="D7" i="4"/>
  <c r="D12" i="4"/>
  <c r="D6" i="4"/>
  <c r="G41" i="1" l="1"/>
  <c r="H41" i="1" s="1"/>
  <c r="G29" i="1" l="1"/>
  <c r="H29" i="1" s="1"/>
  <c r="G31" i="1"/>
  <c r="H31" i="1" s="1"/>
  <c r="G17" i="1"/>
  <c r="H17" i="1" s="1"/>
  <c r="G9" i="1"/>
  <c r="G5" i="1"/>
  <c r="H5" i="1" s="1"/>
  <c r="H9" i="1" l="1"/>
  <c r="G33" i="1"/>
  <c r="H33" i="1" s="1"/>
  <c r="G6" i="1"/>
  <c r="E34" i="1" l="1"/>
  <c r="G34" i="1" s="1"/>
  <c r="H34" i="1" s="1"/>
  <c r="G36" i="1" l="1"/>
  <c r="G37" i="1" l="1"/>
  <c r="H37" i="1" s="1"/>
  <c r="H36" i="1"/>
  <c r="J22" i="4" l="1"/>
  <c r="F23" i="4"/>
  <c r="F19" i="4"/>
  <c r="E20" i="4"/>
  <c r="I21" i="4"/>
  <c r="E21" i="4"/>
  <c r="F20" i="4"/>
  <c r="J21" i="4"/>
  <c r="I20" i="4"/>
  <c r="G43" i="1"/>
  <c r="I9" i="4" s="1"/>
  <c r="F24" i="4"/>
  <c r="H22" i="4"/>
  <c r="I22" i="4"/>
  <c r="K24" i="4"/>
  <c r="J23" i="4"/>
  <c r="G20" i="4"/>
  <c r="F22" i="4"/>
  <c r="I23" i="4"/>
  <c r="E22" i="4"/>
  <c r="G22" i="4"/>
  <c r="H23" i="4"/>
  <c r="G21" i="4"/>
  <c r="E23" i="4"/>
  <c r="F18" i="4"/>
  <c r="F21" i="4"/>
  <c r="I18" i="4"/>
  <c r="K19" i="4"/>
  <c r="H20" i="4"/>
  <c r="G23" i="4"/>
  <c r="J24" i="4"/>
  <c r="H21" i="4"/>
  <c r="K20" i="4"/>
  <c r="G45" i="1"/>
  <c r="H45" i="1" s="1"/>
  <c r="G18" i="4"/>
  <c r="G19" i="4"/>
  <c r="K22" i="4"/>
  <c r="H18" i="4"/>
  <c r="H24" i="4"/>
  <c r="I19" i="4"/>
  <c r="K18" i="4"/>
  <c r="G24" i="4"/>
  <c r="J19" i="4"/>
  <c r="E24" i="4"/>
  <c r="J18" i="4"/>
  <c r="E18" i="4"/>
  <c r="H19" i="4"/>
  <c r="E19" i="4"/>
  <c r="J20" i="4"/>
  <c r="K21" i="4"/>
  <c r="I24" i="4"/>
  <c r="K23" i="4"/>
  <c r="E10" i="4" l="1"/>
  <c r="G7" i="4"/>
  <c r="F12" i="4"/>
  <c r="K8" i="4"/>
  <c r="E9" i="4"/>
  <c r="J11" i="4"/>
  <c r="I7" i="4"/>
  <c r="J12" i="4"/>
  <c r="F10" i="4"/>
  <c r="H10" i="4"/>
  <c r="H6" i="4"/>
  <c r="K7" i="4"/>
  <c r="I6" i="4"/>
  <c r="J9" i="4"/>
  <c r="F9" i="4"/>
  <c r="J10" i="4"/>
  <c r="J8" i="4"/>
  <c r="I8" i="4"/>
  <c r="F7" i="4"/>
  <c r="K9" i="4"/>
  <c r="H8" i="4"/>
  <c r="E7" i="4"/>
  <c r="H12" i="4"/>
  <c r="E11" i="4"/>
  <c r="J7" i="4"/>
  <c r="E8" i="4"/>
  <c r="F8" i="4"/>
  <c r="F6" i="4"/>
  <c r="H7" i="4"/>
  <c r="K12" i="4"/>
  <c r="H9" i="4"/>
  <c r="G46" i="1"/>
  <c r="H46" i="1" s="1"/>
  <c r="G11" i="4"/>
  <c r="E12" i="4"/>
  <c r="I12" i="4"/>
  <c r="F11" i="4"/>
  <c r="G9" i="4"/>
  <c r="K11" i="4"/>
  <c r="I11" i="4"/>
  <c r="H11" i="4"/>
  <c r="G6" i="4"/>
  <c r="G8" i="4"/>
  <c r="K10" i="4"/>
  <c r="I10" i="4"/>
  <c r="H43" i="1"/>
  <c r="K6" i="4"/>
  <c r="J6" i="4"/>
  <c r="G10" i="4"/>
  <c r="G12" i="4"/>
  <c r="E6" i="4"/>
</calcChain>
</file>

<file path=xl/sharedStrings.xml><?xml version="1.0" encoding="utf-8"?>
<sst xmlns="http://schemas.openxmlformats.org/spreadsheetml/2006/main" count="156" uniqueCount="109">
  <si>
    <t>Updated: 1/2025</t>
  </si>
  <si>
    <t>This worksheet is for educational purposes only and the user assumes all risks associated with its use.</t>
  </si>
  <si>
    <t>Revenue</t>
  </si>
  <si>
    <t>Unit</t>
  </si>
  <si>
    <t xml:space="preserve"> Quantity</t>
  </si>
  <si>
    <t>each</t>
  </si>
  <si>
    <t>Total costs</t>
  </si>
  <si>
    <t>Return over total costs</t>
  </si>
  <si>
    <t>Income</t>
  </si>
  <si>
    <t>Total income</t>
  </si>
  <si>
    <t>Operating costs</t>
  </si>
  <si>
    <t>Total operating costs</t>
  </si>
  <si>
    <t>Ownership costs</t>
  </si>
  <si>
    <t>Total ownership costs</t>
  </si>
  <si>
    <t>Return over operating costs</t>
  </si>
  <si>
    <t>15% more</t>
  </si>
  <si>
    <t>10% more</t>
  </si>
  <si>
    <t>5% more</t>
  </si>
  <si>
    <t>Base</t>
  </si>
  <si>
    <t>5% less</t>
  </si>
  <si>
    <t>10% less</t>
  </si>
  <si>
    <t>15% less</t>
  </si>
  <si>
    <t>20% more</t>
  </si>
  <si>
    <t>30% more</t>
  </si>
  <si>
    <t>20% less</t>
  </si>
  <si>
    <t>30% less</t>
  </si>
  <si>
    <t>% of sales</t>
  </si>
  <si>
    <t xml:space="preserve">For budget questions, contact: </t>
  </si>
  <si>
    <t>Ryan Milhollin, MU Extension</t>
  </si>
  <si>
    <t xml:space="preserve">For horticulture expertise, contact: </t>
  </si>
  <si>
    <t>MU Commercial Horticulture Team</t>
  </si>
  <si>
    <t>Price per unit</t>
  </si>
  <si>
    <t>Drip tape</t>
  </si>
  <si>
    <t>Labor</t>
  </si>
  <si>
    <t>Insecticide</t>
  </si>
  <si>
    <t>hour</t>
  </si>
  <si>
    <t xml:space="preserve">Marketing </t>
  </si>
  <si>
    <t>Miscellaneous</t>
  </si>
  <si>
    <t>Developed by: Peter Zimmel, FAPRI</t>
  </si>
  <si>
    <t>Dollars per
 sq. ft.</t>
  </si>
  <si>
    <t>Soil test</t>
  </si>
  <si>
    <t>Lay beds</t>
  </si>
  <si>
    <t>Tilling</t>
  </si>
  <si>
    <t>Fertilizer spreading</t>
  </si>
  <si>
    <t>Planting</t>
  </si>
  <si>
    <t>Weeding</t>
  </si>
  <si>
    <t>Irrigation (setup and maint.)</t>
  </si>
  <si>
    <t>IPM scouting/application</t>
  </si>
  <si>
    <t xml:space="preserve">Fertilizer </t>
  </si>
  <si>
    <t>total</t>
  </si>
  <si>
    <t>Water soluble fertilizer</t>
  </si>
  <si>
    <t>Compost fertilizer</t>
  </si>
  <si>
    <t>Plastic mulch</t>
  </si>
  <si>
    <t>feet</t>
  </si>
  <si>
    <t>High tunnel building use</t>
  </si>
  <si>
    <t>month</t>
  </si>
  <si>
    <t>Component</t>
  </si>
  <si>
    <t>Machinery</t>
  </si>
  <si>
    <t>Materials</t>
  </si>
  <si>
    <t>Site evaluation and soil preparation</t>
  </si>
  <si>
    <t>Trenching and laying water pipes</t>
  </si>
  <si>
    <t>Inserting poles and setting posts</t>
  </si>
  <si>
    <t>Assembling the frame</t>
  </si>
  <si>
    <t>Treating and setting baseboards</t>
  </si>
  <si>
    <t>End and sidewall installation</t>
  </si>
  <si>
    <t>Pulling plastic</t>
  </si>
  <si>
    <t>Channel lock installation</t>
  </si>
  <si>
    <t>Shutter vents</t>
  </si>
  <si>
    <t>Trellis purlin installation</t>
  </si>
  <si>
    <t>Electrical</t>
  </si>
  <si>
    <t>Miscellaneous hardware and tools</t>
  </si>
  <si>
    <t>Total cost</t>
  </si>
  <si>
    <t>Useful life</t>
  </si>
  <si>
    <t>10-year cost</t>
  </si>
  <si>
    <t>Seeds</t>
  </si>
  <si>
    <t>cubic yard</t>
  </si>
  <si>
    <t>Growing media</t>
  </si>
  <si>
    <t>Pots</t>
  </si>
  <si>
    <t xml:space="preserve">Head Lettuce (High Tunnel) Enterprise Budget for Missouri </t>
  </si>
  <si>
    <t>Head Lettuce (High Tunnel) Enterprise Budget</t>
  </si>
  <si>
    <t>head</t>
  </si>
  <si>
    <t>Lettuce</t>
  </si>
  <si>
    <t>thousand</t>
  </si>
  <si>
    <t>End of season cleanup</t>
  </si>
  <si>
    <t>Transplants</t>
  </si>
  <si>
    <t>Harvesting and washing</t>
  </si>
  <si>
    <t>Venting</t>
  </si>
  <si>
    <t>Row cover</t>
  </si>
  <si>
    <t>Hoops</t>
  </si>
  <si>
    <t>sq. ft.</t>
  </si>
  <si>
    <t>Price per head</t>
  </si>
  <si>
    <t>Cost per square foot</t>
  </si>
  <si>
    <t>percent</t>
  </si>
  <si>
    <t>Operating interest</t>
  </si>
  <si>
    <t>High tunnel utilization</t>
  </si>
  <si>
    <t>Value</t>
  </si>
  <si>
    <t>High tunnel size (total area)</t>
  </si>
  <si>
    <t>square feet</t>
  </si>
  <si>
    <t>High tunnel area used for this crop</t>
  </si>
  <si>
    <t>muext.us/MissouriAgBudgets.</t>
  </si>
  <si>
    <t>Packaging</t>
  </si>
  <si>
    <t>Budget created by Peter Zimmel, Food and Agricultural Policy Institute (FAPRI). Prices were updated January 2025. Access online:</t>
  </si>
  <si>
    <t>This budget models 2,000 square feet of high tunnel head lettuce production under trickle irrigation. Lettuce heads are sold by the head into fresh markets at wholesale prices. Develop a customized budget by adjusting the assumptions in gray cells to match the management practices and expected yields and prices for your farm.</t>
  </si>
  <si>
    <t>This work is supported by the U.S. Department of Agriculture’s (USDA) Farm Service Agency through project award number FSA23CPT0012862. Its contents are solely the responsibility of the authors and do not necessarily represent the official views of the USDA.</t>
  </si>
  <si>
    <t xml:space="preserve">Table 2. Capital investments used in Missouri high tunnel lettuce budget. </t>
  </si>
  <si>
    <t xml:space="preserve">Table 3. Sensisitivity analysis for Missouri high tunnel lettuce budget, income over total costs. </t>
  </si>
  <si>
    <t xml:space="preserve">Explore annual profitability expectations (per square foot area returns over total costs) under varying yield and price scenarios in full production and holding costs constant. Table will update based on price and yield changes in the budget. </t>
  </si>
  <si>
    <t>Explore estimated annual returns over total costs under varying revenue and cost scenarios in full production. Table will update based on changes in costs and revenue on the budget tab.</t>
  </si>
  <si>
    <t>Table 4. Sensisitivity analysis for Missouri high tunnel lettuce budget, operating costs and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</si>
</sst>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7" formatCode="&quot;$&quot;#,##0.00_);\(&quot;$&quot;#,##0.00\)"/>
    <numFmt numFmtId="44" formatCode="_(&quot;$&quot;* #,##0.00_);_(&quot;$&quot;* \(#,##0.00\);_(&quot;$&quot;* &quot;-&quot;??_);_(@_)"/>
    <numFmt numFmtId="164" formatCode="&quot;$&quot;#,##0.00"/>
    <numFmt numFmtId="165" formatCode="#,##0.0"/>
    <numFmt numFmtId="166" formatCode="0.0%"/>
    <numFmt numFmtId="167" formatCode="&quot;$&quot;#,##0"/>
  </numFmts>
  <fonts count="29">
    <font>
      <sz val="11"/>
      <color theme="1"/>
      <name val="Aptos"/>
      <family val="2"/>
      <scheme val="minor"/>
    </font>
    <font>
      <sz val="11"/>
      <color theme="1"/>
      <name val="Aptos"/>
      <family val="2"/>
      <scheme val="minor"/>
    </font>
    <font>
      <sz val="11"/>
      <color theme="1"/>
      <name val="Palatino Linotype"/>
      <family val="1"/>
    </font>
    <font>
      <b/>
      <sz val="11"/>
      <color theme="1"/>
      <name val="Aptos"/>
      <family val="2"/>
      <scheme val="minor"/>
    </font>
    <font>
      <u/>
      <sz val="11"/>
      <color theme="1"/>
      <name val="Palatino Linotype"/>
      <family val="1"/>
    </font>
    <font>
      <b/>
      <sz val="12"/>
      <color theme="1"/>
      <name val="Aptos"/>
      <family val="2"/>
      <scheme val="minor"/>
    </font>
    <font>
      <b/>
      <sz val="12"/>
      <color rgb="FFFDB719"/>
      <name val="Aptos Black"/>
      <family val="2"/>
      <scheme val="major"/>
    </font>
    <font>
      <b/>
      <sz val="11"/>
      <name val="Aptos"/>
      <family val="2"/>
      <scheme val="minor"/>
    </font>
    <font>
      <u/>
      <sz val="11"/>
      <color theme="1"/>
      <name val="Aptos"/>
      <family val="2"/>
      <scheme val="minor"/>
    </font>
    <font>
      <sz val="10"/>
      <color theme="1"/>
      <name val="Aptos"/>
      <family val="2"/>
      <scheme val="minor"/>
    </font>
    <font>
      <b/>
      <sz val="11"/>
      <color rgb="FF3F3F3F"/>
      <name val="Aptos"/>
      <family val="2"/>
      <scheme val="minor"/>
    </font>
    <font>
      <sz val="11"/>
      <color theme="1"/>
      <name val="Segoe UI"/>
      <family val="2"/>
    </font>
    <font>
      <b/>
      <sz val="14"/>
      <color rgb="FFF1B82D"/>
      <name val="Aptos"/>
      <family val="2"/>
      <scheme val="minor"/>
    </font>
    <font>
      <sz val="12"/>
      <color theme="1"/>
      <name val="Aptos"/>
      <family val="2"/>
      <scheme val="minor"/>
    </font>
    <font>
      <b/>
      <sz val="12"/>
      <color rgb="FF3F3F3F"/>
      <name val="Aptos"/>
      <family val="2"/>
      <scheme val="minor"/>
    </font>
    <font>
      <sz val="12"/>
      <color theme="1"/>
      <name val="Palatino Linotype"/>
      <family val="1"/>
    </font>
    <font>
      <b/>
      <sz val="12"/>
      <name val="Aptos"/>
      <family val="2"/>
      <scheme val="minor"/>
    </font>
    <font>
      <i/>
      <sz val="12"/>
      <color theme="1"/>
      <name val="Aptos"/>
      <family val="2"/>
      <scheme val="minor"/>
    </font>
    <font>
      <sz val="12"/>
      <name val="Aptos"/>
      <family val="2"/>
      <scheme val="minor"/>
    </font>
    <font>
      <b/>
      <sz val="12"/>
      <color rgb="FFF1B82D"/>
      <name val="Aptos"/>
      <family val="2"/>
      <scheme val="minor"/>
    </font>
    <font>
      <sz val="16"/>
      <color rgb="FFFDB719"/>
      <name val="Aptos Black"/>
      <family val="2"/>
      <scheme val="major"/>
    </font>
    <font>
      <b/>
      <sz val="16"/>
      <color rgb="FFF1B82D"/>
      <name val="Aptos Black"/>
      <family val="2"/>
      <scheme val="major"/>
    </font>
    <font>
      <b/>
      <sz val="12"/>
      <color rgb="FFF1B82D"/>
      <name val="Aptos Black"/>
      <family val="2"/>
      <scheme val="major"/>
    </font>
    <font>
      <u/>
      <sz val="11"/>
      <color theme="10"/>
      <name val="Aptos"/>
      <family val="2"/>
      <scheme val="minor"/>
    </font>
    <font>
      <b/>
      <u/>
      <sz val="12"/>
      <color theme="10"/>
      <name val="Aptos"/>
      <family val="2"/>
      <scheme val="minor"/>
    </font>
    <font>
      <sz val="10"/>
      <name val="TimesNewRomanPS"/>
    </font>
    <font>
      <i/>
      <sz val="10"/>
      <color theme="1"/>
      <name val="Aptos"/>
      <family val="2"/>
      <scheme val="minor"/>
    </font>
    <font>
      <sz val="10"/>
      <name val="Aptos"/>
      <family val="2"/>
      <scheme val="minor"/>
    </font>
    <font>
      <u/>
      <sz val="10"/>
      <color theme="10"/>
      <name val="Aptos"/>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rgb="FFF2F2F2"/>
      </patternFill>
    </fill>
    <fill>
      <patternFill patternType="solid">
        <fgColor theme="0"/>
        <bgColor indexed="64"/>
      </patternFill>
    </fill>
  </fills>
  <borders count="29">
    <border>
      <left/>
      <right/>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7">
    <xf numFmtId="0" fontId="0" fillId="0" borderId="0"/>
    <xf numFmtId="9" fontId="1" fillId="0" borderId="0" applyFont="0" applyFill="0" applyBorder="0" applyAlignment="0" applyProtection="0"/>
    <xf numFmtId="0" fontId="10" fillId="4" borderId="4" applyNumberFormat="0" applyAlignment="0" applyProtection="0"/>
    <xf numFmtId="0" fontId="1" fillId="0" borderId="0"/>
    <xf numFmtId="44" fontId="1" fillId="0" borderId="0" applyFont="0" applyFill="0" applyBorder="0" applyAlignment="0" applyProtection="0"/>
    <xf numFmtId="0" fontId="23" fillId="0" borderId="0" applyNumberFormat="0" applyFill="0" applyBorder="0" applyAlignment="0" applyProtection="0"/>
    <xf numFmtId="0" fontId="25" fillId="0" borderId="0"/>
  </cellStyleXfs>
  <cellXfs count="153">
    <xf numFmtId="0" fontId="0" fillId="0" borderId="0" xfId="0"/>
    <xf numFmtId="0" fontId="2" fillId="0" borderId="0" xfId="0" applyFont="1"/>
    <xf numFmtId="164" fontId="2" fillId="0" borderId="0" xfId="0" applyNumberFormat="1" applyFont="1"/>
    <xf numFmtId="0" fontId="4" fillId="0" borderId="0" xfId="0" applyFont="1"/>
    <xf numFmtId="0" fontId="0" fillId="5" borderId="0" xfId="0" applyFill="1"/>
    <xf numFmtId="0" fontId="13" fillId="0" borderId="0" xfId="0" applyFont="1"/>
    <xf numFmtId="0" fontId="19" fillId="3" borderId="17" xfId="0" applyFont="1" applyFill="1" applyBorder="1" applyAlignment="1">
      <alignment horizontal="center" textRotation="90"/>
    </xf>
    <xf numFmtId="0" fontId="17" fillId="3" borderId="19" xfId="0" applyFont="1" applyFill="1" applyBorder="1"/>
    <xf numFmtId="0" fontId="17" fillId="3" borderId="20" xfId="0" applyFont="1" applyFill="1" applyBorder="1"/>
    <xf numFmtId="0" fontId="19" fillId="3" borderId="17" xfId="0" applyFont="1" applyFill="1" applyBorder="1" applyAlignment="1">
      <alignment horizontal="center" vertical="center" textRotation="90"/>
    </xf>
    <xf numFmtId="164" fontId="13" fillId="2" borderId="0" xfId="4" applyNumberFormat="1" applyFont="1" applyFill="1" applyProtection="1">
      <protection locked="0"/>
    </xf>
    <xf numFmtId="165" fontId="13" fillId="2" borderId="0" xfId="0" applyNumberFormat="1" applyFont="1" applyFill="1" applyProtection="1">
      <protection locked="0"/>
    </xf>
    <xf numFmtId="9" fontId="13" fillId="2" borderId="0" xfId="1" applyFont="1" applyFill="1" applyProtection="1">
      <protection locked="0"/>
    </xf>
    <xf numFmtId="0" fontId="13" fillId="3" borderId="16" xfId="0" applyFont="1" applyFill="1" applyBorder="1"/>
    <xf numFmtId="0" fontId="13" fillId="3" borderId="11" xfId="0" applyFont="1" applyFill="1" applyBorder="1"/>
    <xf numFmtId="0" fontId="13" fillId="3" borderId="12" xfId="0" applyFont="1" applyFill="1" applyBorder="1"/>
    <xf numFmtId="0" fontId="13" fillId="3" borderId="0" xfId="0" applyFont="1" applyFill="1"/>
    <xf numFmtId="0" fontId="19" fillId="3" borderId="12" xfId="0" applyFont="1" applyFill="1" applyBorder="1" applyAlignment="1">
      <alignment horizontal="center" textRotation="90"/>
    </xf>
    <xf numFmtId="0" fontId="13" fillId="3" borderId="18" xfId="0" applyFont="1" applyFill="1" applyBorder="1"/>
    <xf numFmtId="0" fontId="13" fillId="3" borderId="13" xfId="0" applyFont="1" applyFill="1" applyBorder="1"/>
    <xf numFmtId="0" fontId="19" fillId="3" borderId="15" xfId="0" applyFont="1" applyFill="1" applyBorder="1" applyAlignment="1">
      <alignment horizontal="center" textRotation="90"/>
    </xf>
    <xf numFmtId="0" fontId="19" fillId="3" borderId="2" xfId="0" applyFont="1" applyFill="1" applyBorder="1" applyAlignment="1">
      <alignment horizontal="center" textRotation="90"/>
    </xf>
    <xf numFmtId="0" fontId="13" fillId="3" borderId="27" xfId="0" applyFont="1" applyFill="1" applyBorder="1"/>
    <xf numFmtId="0" fontId="19" fillId="3" borderId="28" xfId="0" applyFont="1" applyFill="1" applyBorder="1" applyAlignment="1">
      <alignment horizontal="center" vertical="center" textRotation="90"/>
    </xf>
    <xf numFmtId="0" fontId="2" fillId="5" borderId="0" xfId="0" applyFont="1" applyFill="1"/>
    <xf numFmtId="0" fontId="0" fillId="5" borderId="0" xfId="0" applyFill="1" applyAlignment="1">
      <alignment horizontal="right"/>
    </xf>
    <xf numFmtId="0" fontId="26" fillId="5" borderId="0" xfId="0" applyFont="1" applyFill="1" applyAlignment="1">
      <alignment horizontal="right"/>
    </xf>
    <xf numFmtId="164" fontId="0" fillId="5" borderId="0" xfId="0" applyNumberFormat="1" applyFill="1"/>
    <xf numFmtId="166" fontId="0" fillId="5" borderId="0" xfId="0" applyNumberFormat="1" applyFill="1"/>
    <xf numFmtId="0" fontId="5" fillId="0" borderId="0" xfId="0" applyFont="1"/>
    <xf numFmtId="0" fontId="6" fillId="0" borderId="0" xfId="0" applyFont="1"/>
    <xf numFmtId="0" fontId="18" fillId="0" borderId="0" xfId="0" applyFont="1"/>
    <xf numFmtId="0" fontId="15" fillId="0" borderId="0" xfId="0" applyFont="1"/>
    <xf numFmtId="0" fontId="16" fillId="5" borderId="1" xfId="6" applyFont="1" applyFill="1" applyBorder="1" applyAlignment="1">
      <alignment horizontal="left"/>
    </xf>
    <xf numFmtId="2" fontId="16" fillId="5" borderId="1" xfId="6" applyNumberFormat="1" applyFont="1" applyFill="1" applyBorder="1" applyAlignment="1">
      <alignment horizontal="right"/>
    </xf>
    <xf numFmtId="2" fontId="16" fillId="5" borderId="1" xfId="6" applyNumberFormat="1" applyFont="1" applyFill="1" applyBorder="1" applyAlignment="1">
      <alignment horizontal="right" wrapText="1"/>
    </xf>
    <xf numFmtId="0" fontId="9" fillId="0" borderId="0" xfId="0" applyFont="1"/>
    <xf numFmtId="164" fontId="13" fillId="0" borderId="2" xfId="0" applyNumberFormat="1" applyFont="1" applyBorder="1"/>
    <xf numFmtId="164" fontId="13" fillId="0" borderId="1" xfId="0" applyNumberFormat="1" applyFont="1" applyBorder="1"/>
    <xf numFmtId="0" fontId="5" fillId="0" borderId="0" xfId="0" applyFont="1" applyAlignment="1">
      <alignment horizontal="right"/>
    </xf>
    <xf numFmtId="164" fontId="13" fillId="0" borderId="0" xfId="0" applyNumberFormat="1" applyFont="1"/>
    <xf numFmtId="0" fontId="16" fillId="0" borderId="1" xfId="0" applyFont="1" applyBorder="1"/>
    <xf numFmtId="165" fontId="13" fillId="0" borderId="0" xfId="0" applyNumberFormat="1" applyFont="1"/>
    <xf numFmtId="164" fontId="13" fillId="0" borderId="0" xfId="4" applyNumberFormat="1" applyFont="1" applyProtection="1"/>
    <xf numFmtId="9" fontId="9" fillId="0" borderId="0" xfId="0" applyNumberFormat="1" applyFont="1" applyAlignment="1">
      <alignment horizontal="left"/>
    </xf>
    <xf numFmtId="3" fontId="13" fillId="0" borderId="0" xfId="0" applyNumberFormat="1" applyFont="1"/>
    <xf numFmtId="0" fontId="7" fillId="0" borderId="1" xfId="0" applyFont="1" applyBorder="1" applyAlignment="1">
      <alignment horizontal="left" wrapText="1"/>
    </xf>
    <xf numFmtId="0" fontId="2" fillId="0" borderId="2" xfId="0" applyFont="1" applyBorder="1"/>
    <xf numFmtId="0" fontId="0" fillId="0" borderId="2" xfId="0" applyBorder="1"/>
    <xf numFmtId="0" fontId="5" fillId="0" borderId="0" xfId="0" applyFont="1" applyAlignment="1">
      <alignment horizontal="left"/>
    </xf>
    <xf numFmtId="0" fontId="5" fillId="0" borderId="11" xfId="0" applyFont="1" applyBorder="1" applyAlignment="1">
      <alignment horizontal="left" wrapText="1"/>
    </xf>
    <xf numFmtId="0" fontId="13" fillId="0" borderId="11" xfId="0" applyFont="1" applyBorder="1"/>
    <xf numFmtId="164" fontId="13" fillId="0" borderId="11" xfId="0" applyNumberFormat="1" applyFont="1" applyBorder="1"/>
    <xf numFmtId="0" fontId="5" fillId="0" borderId="3" xfId="0" applyFont="1" applyBorder="1" applyAlignment="1">
      <alignment horizontal="left"/>
    </xf>
    <xf numFmtId="0" fontId="2" fillId="0" borderId="3" xfId="0" applyFont="1" applyBorder="1"/>
    <xf numFmtId="0" fontId="13" fillId="0" borderId="3" xfId="0" applyFont="1" applyBorder="1"/>
    <xf numFmtId="164" fontId="13" fillId="0" borderId="3" xfId="0" applyNumberFormat="1" applyFont="1" applyBorder="1"/>
    <xf numFmtId="0" fontId="8" fillId="5" borderId="0" xfId="0" applyFont="1" applyFill="1"/>
    <xf numFmtId="164" fontId="0" fillId="5" borderId="0" xfId="0" applyNumberFormat="1" applyFill="1" applyAlignment="1">
      <alignment horizontal="right"/>
    </xf>
    <xf numFmtId="0" fontId="9" fillId="5" borderId="1" xfId="0" applyFont="1" applyFill="1" applyBorder="1"/>
    <xf numFmtId="0" fontId="9" fillId="5" borderId="1" xfId="0" applyFont="1" applyFill="1" applyBorder="1" applyAlignment="1">
      <alignment horizontal="right"/>
    </xf>
    <xf numFmtId="164" fontId="9" fillId="5" borderId="1" xfId="0" applyNumberFormat="1" applyFont="1" applyFill="1" applyBorder="1" applyAlignment="1">
      <alignment horizontal="right"/>
    </xf>
    <xf numFmtId="164" fontId="9" fillId="5" borderId="0" xfId="1" applyNumberFormat="1" applyFont="1" applyFill="1" applyBorder="1" applyProtection="1"/>
    <xf numFmtId="164" fontId="9" fillId="5" borderId="0" xfId="0" applyNumberFormat="1" applyFont="1" applyFill="1"/>
    <xf numFmtId="164" fontId="9" fillId="5" borderId="2" xfId="1" applyNumberFormat="1" applyFont="1" applyFill="1" applyBorder="1" applyProtection="1"/>
    <xf numFmtId="164" fontId="9" fillId="5" borderId="2" xfId="0" applyNumberFormat="1" applyFont="1" applyFill="1" applyBorder="1"/>
    <xf numFmtId="0" fontId="9" fillId="5" borderId="2" xfId="0" applyFont="1" applyFill="1" applyBorder="1" applyAlignment="1">
      <alignment horizontal="right"/>
    </xf>
    <xf numFmtId="0" fontId="9" fillId="2" borderId="0" xfId="0" applyFont="1" applyFill="1" applyProtection="1">
      <protection locked="0"/>
    </xf>
    <xf numFmtId="0" fontId="13" fillId="2" borderId="0" xfId="0" applyFont="1" applyFill="1" applyProtection="1">
      <protection locked="0"/>
    </xf>
    <xf numFmtId="164" fontId="9" fillId="2" borderId="0" xfId="0" applyNumberFormat="1" applyFont="1" applyFill="1" applyProtection="1">
      <protection locked="0"/>
    </xf>
    <xf numFmtId="164" fontId="9" fillId="2" borderId="0" xfId="1" applyNumberFormat="1" applyFont="1" applyFill="1" applyBorder="1" applyProtection="1">
      <protection locked="0"/>
    </xf>
    <xf numFmtId="164" fontId="9" fillId="2" borderId="0" xfId="0" applyNumberFormat="1" applyFont="1" applyFill="1" applyAlignment="1" applyProtection="1">
      <alignment horizontal="right"/>
      <protection locked="0"/>
    </xf>
    <xf numFmtId="0" fontId="27" fillId="2" borderId="0" xfId="6" applyFont="1" applyFill="1" applyAlignment="1" applyProtection="1">
      <alignment horizontal="left"/>
      <protection locked="0"/>
    </xf>
    <xf numFmtId="164" fontId="9" fillId="2" borderId="2" xfId="0" applyNumberFormat="1" applyFont="1" applyFill="1" applyBorder="1" applyProtection="1">
      <protection locked="0"/>
    </xf>
    <xf numFmtId="3" fontId="9" fillId="2" borderId="0" xfId="0" applyNumberFormat="1" applyFont="1" applyFill="1" applyProtection="1">
      <protection locked="0"/>
    </xf>
    <xf numFmtId="3" fontId="9" fillId="2" borderId="2" xfId="0" applyNumberFormat="1" applyFont="1" applyFill="1" applyBorder="1" applyProtection="1">
      <protection locked="0"/>
    </xf>
    <xf numFmtId="0" fontId="9" fillId="0" borderId="0" xfId="0" applyFont="1" applyAlignment="1">
      <alignment horizontal="left" wrapText="1"/>
    </xf>
    <xf numFmtId="0" fontId="0" fillId="5" borderId="2" xfId="0" applyFill="1" applyBorder="1"/>
    <xf numFmtId="164" fontId="9" fillId="0" borderId="2" xfId="0" applyNumberFormat="1" applyFont="1" applyBorder="1"/>
    <xf numFmtId="0" fontId="9" fillId="5" borderId="0" xfId="0" applyFont="1" applyFill="1" applyAlignment="1">
      <alignment horizontal="right"/>
    </xf>
    <xf numFmtId="0" fontId="9" fillId="5" borderId="0" xfId="0" applyFont="1" applyFill="1"/>
    <xf numFmtId="164" fontId="13" fillId="2" borderId="0" xfId="0" applyNumberFormat="1" applyFont="1" applyFill="1" applyProtection="1">
      <protection locked="0"/>
    </xf>
    <xf numFmtId="10" fontId="13" fillId="2" borderId="0" xfId="0" applyNumberFormat="1" applyFont="1" applyFill="1" applyProtection="1">
      <protection locked="0"/>
    </xf>
    <xf numFmtId="0" fontId="0" fillId="0" borderId="1" xfId="0" applyBorder="1"/>
    <xf numFmtId="3" fontId="0" fillId="2" borderId="0" xfId="0" applyNumberFormat="1" applyFill="1" applyProtection="1">
      <protection locked="0"/>
    </xf>
    <xf numFmtId="167" fontId="13" fillId="0" borderId="0" xfId="0" applyNumberFormat="1" applyFont="1"/>
    <xf numFmtId="0" fontId="11" fillId="0" borderId="0" xfId="0" applyFont="1"/>
    <xf numFmtId="0" fontId="11" fillId="0" borderId="0" xfId="0" applyFont="1" applyAlignment="1">
      <alignment horizontal="center"/>
    </xf>
    <xf numFmtId="0" fontId="5" fillId="0" borderId="0" xfId="0" applyFont="1" applyAlignment="1">
      <alignment horizontal="left" vertical="top" wrapText="1"/>
    </xf>
    <xf numFmtId="0" fontId="5" fillId="0" borderId="0" xfId="0" applyFont="1" applyAlignment="1">
      <alignment horizontal="right" vertical="top" wrapText="1"/>
    </xf>
    <xf numFmtId="0" fontId="24" fillId="0" borderId="0" xfId="5" applyFont="1" applyFill="1" applyAlignment="1">
      <alignment horizontal="left" vertical="top" wrapText="1"/>
    </xf>
    <xf numFmtId="0" fontId="3" fillId="0" borderId="0" xfId="0" applyFont="1" applyAlignment="1">
      <alignment horizontal="left" indent="4"/>
    </xf>
    <xf numFmtId="0" fontId="13" fillId="0" borderId="0" xfId="0" applyFont="1" applyAlignment="1">
      <alignment wrapText="1"/>
    </xf>
    <xf numFmtId="2" fontId="13" fillId="0" borderId="17" xfId="0" applyNumberFormat="1" applyFont="1" applyBorder="1" applyAlignment="1">
      <alignment horizontal="center"/>
    </xf>
    <xf numFmtId="6" fontId="18" fillId="0" borderId="16" xfId="4" applyNumberFormat="1" applyFont="1" applyFill="1" applyBorder="1"/>
    <xf numFmtId="6" fontId="18" fillId="0" borderId="11" xfId="4" applyNumberFormat="1" applyFont="1" applyFill="1" applyBorder="1"/>
    <xf numFmtId="6" fontId="18" fillId="0" borderId="18" xfId="4" applyNumberFormat="1" applyFont="1" applyFill="1" applyBorder="1"/>
    <xf numFmtId="6" fontId="18" fillId="0" borderId="12" xfId="4" applyNumberFormat="1" applyFont="1" applyFill="1" applyBorder="1"/>
    <xf numFmtId="6" fontId="18" fillId="0" borderId="0" xfId="4" applyNumberFormat="1" applyFont="1" applyFill="1" applyBorder="1"/>
    <xf numFmtId="6" fontId="18" fillId="0" borderId="13" xfId="4" applyNumberFormat="1" applyFont="1" applyFill="1" applyBorder="1"/>
    <xf numFmtId="6" fontId="18" fillId="0" borderId="21" xfId="4" applyNumberFormat="1" applyFont="1" applyFill="1" applyBorder="1"/>
    <xf numFmtId="2" fontId="13" fillId="0" borderId="28" xfId="0" applyNumberFormat="1" applyFont="1" applyBorder="1" applyAlignment="1">
      <alignment horizontal="center"/>
    </xf>
    <xf numFmtId="6" fontId="18" fillId="0" borderId="15" xfId="4" applyNumberFormat="1" applyFont="1" applyFill="1" applyBorder="1"/>
    <xf numFmtId="6" fontId="18" fillId="0" borderId="2" xfId="4" applyNumberFormat="1" applyFont="1" applyFill="1" applyBorder="1"/>
    <xf numFmtId="6" fontId="18" fillId="0" borderId="14" xfId="4" applyNumberFormat="1" applyFont="1" applyFill="1" applyBorder="1"/>
    <xf numFmtId="3" fontId="13" fillId="0" borderId="22" xfId="0" applyNumberFormat="1" applyFont="1" applyBorder="1" applyAlignment="1">
      <alignment horizontal="right"/>
    </xf>
    <xf numFmtId="3" fontId="13" fillId="0" borderId="1" xfId="0" applyNumberFormat="1" applyFont="1" applyBorder="1" applyAlignment="1">
      <alignment horizontal="right"/>
    </xf>
    <xf numFmtId="3" fontId="13" fillId="0" borderId="23" xfId="0" applyNumberFormat="1" applyFont="1" applyBorder="1" applyAlignment="1">
      <alignment horizontal="right"/>
    </xf>
    <xf numFmtId="0" fontId="18" fillId="0" borderId="0" xfId="0" applyFont="1" applyAlignment="1">
      <alignment horizontal="center" vertical="center"/>
    </xf>
    <xf numFmtId="7" fontId="13" fillId="0" borderId="12" xfId="4" applyNumberFormat="1" applyFont="1" applyFill="1" applyBorder="1" applyAlignment="1">
      <alignment horizontal="center"/>
    </xf>
    <xf numFmtId="9" fontId="18" fillId="0" borderId="0" xfId="0" applyNumberFormat="1" applyFont="1" applyAlignment="1">
      <alignment horizontal="center" vertical="center"/>
    </xf>
    <xf numFmtId="7" fontId="13" fillId="0" borderId="12" xfId="4" applyNumberFormat="1" applyFont="1" applyFill="1" applyBorder="1" applyAlignment="1" applyProtection="1">
      <alignment horizontal="center"/>
      <protection locked="0"/>
    </xf>
    <xf numFmtId="0" fontId="18" fillId="0" borderId="2" xfId="0" applyFont="1" applyBorder="1" applyAlignment="1">
      <alignment horizontal="center" vertical="center"/>
    </xf>
    <xf numFmtId="7" fontId="13" fillId="0" borderId="15" xfId="4" applyNumberFormat="1" applyFont="1" applyFill="1" applyBorder="1" applyAlignment="1">
      <alignment horizontal="center"/>
    </xf>
    <xf numFmtId="3" fontId="13" fillId="0" borderId="11" xfId="0" applyNumberFormat="1" applyFont="1" applyBorder="1"/>
    <xf numFmtId="3" fontId="13" fillId="0" borderId="11" xfId="0" applyNumberFormat="1" applyFont="1" applyBorder="1" applyProtection="1">
      <protection locked="0"/>
    </xf>
    <xf numFmtId="3" fontId="13" fillId="0" borderId="18" xfId="0" applyNumberFormat="1" applyFont="1" applyBorder="1"/>
    <xf numFmtId="0" fontId="18" fillId="0" borderId="0" xfId="0" applyFont="1" applyAlignment="1">
      <alignment horizontal="right"/>
    </xf>
    <xf numFmtId="0" fontId="18" fillId="0" borderId="13" xfId="0" applyFont="1" applyBorder="1" applyAlignment="1">
      <alignment horizontal="right"/>
    </xf>
    <xf numFmtId="0" fontId="13" fillId="0" borderId="0" xfId="0" applyFont="1" applyAlignment="1">
      <alignment horizontal="left" vertical="top" wrapText="1"/>
    </xf>
    <xf numFmtId="0" fontId="3" fillId="5" borderId="0" xfId="0" applyFont="1" applyFill="1"/>
    <xf numFmtId="0" fontId="12" fillId="3" borderId="5" xfId="0" applyFont="1" applyFill="1" applyBorder="1"/>
    <xf numFmtId="0" fontId="12" fillId="3" borderId="6" xfId="0" applyFont="1" applyFill="1" applyBorder="1"/>
    <xf numFmtId="0" fontId="21" fillId="3" borderId="5" xfId="3" applyFont="1" applyFill="1" applyBorder="1" applyAlignment="1">
      <alignment horizontal="center"/>
    </xf>
    <xf numFmtId="0" fontId="21" fillId="3" borderId="6" xfId="3" applyFont="1" applyFill="1" applyBorder="1" applyAlignment="1">
      <alignment horizontal="center"/>
    </xf>
    <xf numFmtId="0" fontId="21" fillId="3" borderId="7" xfId="3" applyFont="1" applyFill="1" applyBorder="1" applyAlignment="1">
      <alignment horizontal="center"/>
    </xf>
    <xf numFmtId="0" fontId="13" fillId="0" borderId="0" xfId="0" applyFont="1" applyAlignment="1">
      <alignment horizontal="right"/>
    </xf>
    <xf numFmtId="0" fontId="0" fillId="0" borderId="0" xfId="0"/>
    <xf numFmtId="0" fontId="14" fillId="4" borderId="8" xfId="2" applyFont="1" applyBorder="1" applyAlignment="1">
      <alignment horizontal="center" wrapText="1"/>
    </xf>
    <xf numFmtId="0" fontId="14" fillId="4" borderId="9" xfId="2" applyFont="1" applyBorder="1" applyAlignment="1">
      <alignment horizontal="center" wrapText="1"/>
    </xf>
    <xf numFmtId="0" fontId="14" fillId="4" borderId="10" xfId="2" applyFont="1" applyBorder="1" applyAlignment="1">
      <alignment horizontal="center" wrapText="1"/>
    </xf>
    <xf numFmtId="0" fontId="13" fillId="0" borderId="0" xfId="0" applyFont="1" applyAlignment="1">
      <alignment horizontal="left" vertical="top" wrapText="1"/>
    </xf>
    <xf numFmtId="0" fontId="11" fillId="0" borderId="0" xfId="0" applyFont="1" applyAlignment="1">
      <alignment horizontal="center"/>
    </xf>
    <xf numFmtId="0" fontId="13" fillId="0" borderId="0" xfId="0" applyFont="1" applyAlignment="1">
      <alignment horizontal="left" wrapText="1"/>
    </xf>
    <xf numFmtId="0" fontId="20" fillId="3" borderId="12" xfId="0" applyFont="1" applyFill="1" applyBorder="1" applyAlignment="1">
      <alignment horizontal="center" wrapText="1"/>
    </xf>
    <xf numFmtId="0" fontId="20" fillId="3" borderId="0" xfId="0" applyFont="1" applyFill="1" applyAlignment="1">
      <alignment horizontal="center" wrapText="1"/>
    </xf>
    <xf numFmtId="0" fontId="9" fillId="0" borderId="0" xfId="0" applyFont="1" applyAlignment="1">
      <alignment horizontal="left" wrapText="1"/>
    </xf>
    <xf numFmtId="0" fontId="18" fillId="0" borderId="2" xfId="0" applyFont="1" applyBorder="1" applyAlignment="1">
      <alignment horizontal="center" wrapText="1"/>
    </xf>
    <xf numFmtId="0" fontId="9" fillId="2" borderId="11" xfId="0" applyFont="1" applyFill="1" applyBorder="1" applyAlignment="1" applyProtection="1">
      <alignment horizontal="left"/>
      <protection locked="0"/>
    </xf>
    <xf numFmtId="0" fontId="9" fillId="2" borderId="0" xfId="0" applyFont="1" applyFill="1" applyAlignment="1" applyProtection="1">
      <alignment horizontal="left"/>
      <protection locked="0"/>
    </xf>
    <xf numFmtId="0" fontId="28" fillId="0" borderId="0" xfId="5" applyFont="1" applyAlignment="1">
      <alignment horizontal="left"/>
    </xf>
    <xf numFmtId="0" fontId="27" fillId="2" borderId="0" xfId="6" applyFont="1" applyFill="1" applyAlignment="1" applyProtection="1">
      <alignment horizontal="left"/>
      <protection locked="0"/>
    </xf>
    <xf numFmtId="0" fontId="9" fillId="2" borderId="2" xfId="0" applyFont="1" applyFill="1" applyBorder="1" applyAlignment="1" applyProtection="1">
      <alignment horizontal="left"/>
      <protection locked="0"/>
    </xf>
    <xf numFmtId="0" fontId="5" fillId="0" borderId="0" xfId="0" applyFont="1" applyAlignment="1">
      <alignment horizontal="center"/>
    </xf>
    <xf numFmtId="0" fontId="13" fillId="0" borderId="0" xfId="0" applyFont="1" applyAlignment="1">
      <alignment horizontal="left"/>
    </xf>
    <xf numFmtId="0" fontId="22" fillId="3" borderId="25" xfId="0" applyFont="1" applyFill="1" applyBorder="1" applyAlignment="1">
      <alignment horizontal="center" vertical="center" textRotation="90"/>
    </xf>
    <xf numFmtId="0" fontId="22" fillId="3" borderId="26" xfId="0" applyFont="1" applyFill="1" applyBorder="1" applyAlignment="1">
      <alignment horizontal="center" vertical="center" textRotation="90"/>
    </xf>
    <xf numFmtId="0" fontId="22" fillId="3" borderId="24" xfId="0" applyFont="1" applyFill="1" applyBorder="1" applyAlignment="1">
      <alignment horizontal="center"/>
    </xf>
    <xf numFmtId="0" fontId="22" fillId="3" borderId="1" xfId="0" applyFont="1" applyFill="1" applyBorder="1" applyAlignment="1">
      <alignment horizontal="center"/>
    </xf>
    <xf numFmtId="0" fontId="22" fillId="3" borderId="23" xfId="0" applyFont="1" applyFill="1" applyBorder="1" applyAlignment="1">
      <alignment horizontal="center"/>
    </xf>
    <xf numFmtId="0" fontId="22" fillId="3" borderId="12" xfId="0" applyFont="1" applyFill="1" applyBorder="1" applyAlignment="1">
      <alignment horizontal="center" vertical="center" textRotation="90"/>
    </xf>
    <xf numFmtId="0" fontId="22" fillId="3" borderId="15" xfId="0" applyFont="1" applyFill="1" applyBorder="1" applyAlignment="1">
      <alignment horizontal="center" vertical="center" textRotation="90"/>
    </xf>
    <xf numFmtId="0" fontId="22" fillId="3" borderId="1" xfId="0" applyFont="1" applyFill="1" applyBorder="1" applyAlignment="1">
      <alignment horizontal="center" wrapText="1"/>
    </xf>
  </cellXfs>
  <cellStyles count="7">
    <cellStyle name="Currency" xfId="4" builtinId="4"/>
    <cellStyle name="Hyperlink" xfId="5" builtinId="8"/>
    <cellStyle name="Normal" xfId="0" builtinId="0"/>
    <cellStyle name="Normal 2" xfId="6" xr:uid="{138806ED-816B-4D53-BED9-1168E54DE5D2}"/>
    <cellStyle name="Normal 2 2" xfId="3" xr:uid="{B82EEC54-C959-4263-882E-61D78481713D}"/>
    <cellStyle name="Output" xfId="2" builtinId="21"/>
    <cellStyle name="Percent" xfId="1" builtinId="5"/>
  </cellStyles>
  <dxfs count="5">
    <dxf>
      <font>
        <color rgb="FFFF0000"/>
      </font>
    </dxf>
    <dxf>
      <font>
        <color rgb="FFFF0000"/>
      </font>
    </dxf>
    <dxf>
      <font>
        <strike val="0"/>
        <color theme="0"/>
      </font>
    </dxf>
    <dxf>
      <font>
        <strike val="0"/>
        <color theme="0"/>
      </font>
    </dxf>
    <dxf>
      <font>
        <strike val="0"/>
        <color theme="0"/>
      </font>
    </dxf>
  </dxfs>
  <tableStyles count="0" defaultTableStyle="TableStyleMedium2" defaultPivotStyle="PivotStyleLight16"/>
  <colors>
    <mruColors>
      <color rgb="FFFDB7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2559050</xdr:colOff>
      <xdr:row>4</xdr:row>
      <xdr:rowOff>0</xdr:rowOff>
    </xdr:from>
    <xdr:to>
      <xdr:col>4</xdr:col>
      <xdr:colOff>19050</xdr:colOff>
      <xdr:row>9</xdr:row>
      <xdr:rowOff>12381</xdr:rowOff>
    </xdr:to>
    <xdr:pic>
      <xdr:nvPicPr>
        <xdr:cNvPr id="3" name="Picture 2" descr="University of Missouri - Extension and Food &amp; Agricultural Policy Research Institute">
          <a:extLst>
            <a:ext uri="{FF2B5EF4-FFF2-40B4-BE49-F238E27FC236}">
              <a16:creationId xmlns:a16="http://schemas.microsoft.com/office/drawing/2014/main" id="{88592480-FE63-4673-94EE-E8C1726467A1}"/>
            </a:ext>
          </a:extLst>
        </xdr:cNvPr>
        <xdr:cNvPicPr>
          <a:picLocks noChangeAspect="1"/>
        </xdr:cNvPicPr>
      </xdr:nvPicPr>
      <xdr:blipFill>
        <a:blip xmlns:r="http://schemas.openxmlformats.org/officeDocument/2006/relationships" r:embed="rId1"/>
        <a:stretch>
          <a:fillRect/>
        </a:stretch>
      </xdr:blipFill>
      <xdr:spPr>
        <a:xfrm>
          <a:off x="5502275" y="885825"/>
          <a:ext cx="2965450" cy="9553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ailmissouri-my.sharepoint.com/personal/milhollinr_umsystem_edu/Documents/Crops/Crop%20Budgets/2025/Forage/ForageBudgets%202025.xlsx" TargetMode="External"/><Relationship Id="rId1" Type="http://schemas.openxmlformats.org/officeDocument/2006/relationships/externalLinkPath" Target="/personal/milhollinr_umsystem_edu/Documents/Crops/Crop%20Budgets/2025/Forage/ForageBudgets%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Inputs"/>
      <sheetName val="Alfalfa Establishment"/>
      <sheetName val="Alfalfa Small Squares"/>
      <sheetName val="Alfalfa Baleage"/>
      <sheetName val="Corn Silage"/>
      <sheetName val="Pasture Establishment"/>
      <sheetName val="Mixed Hay"/>
      <sheetName val="Fescue Seed+Forage"/>
      <sheetName val="Equipment"/>
      <sheetName val="Machinery Input Tables"/>
      <sheetName val="Custom Hire"/>
      <sheetName val="ForageBudgets 20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Aptos Black"/>
        <a:ea typeface=""/>
        <a:cs typeface=""/>
      </a:majorFont>
      <a:minorFont>
        <a:latin typeface="Aptos"/>
        <a:ea typeface=""/>
        <a:cs typeface=""/>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xtension.missouri.edu/people/ryan-milhollin" TargetMode="External"/><Relationship Id="rId1" Type="http://schemas.openxmlformats.org/officeDocument/2006/relationships/hyperlink" Target="https://extension.missouri.edu/programs/commercial-horticulture/find-a-horticulturist-near-yo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uext.us/MissouriAgBudge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9F4B3-BEC6-433D-A8AA-F26AB248039B}">
  <sheetPr codeName="Sheet1">
    <pageSetUpPr fitToPage="1"/>
  </sheetPr>
  <dimension ref="A1:M29"/>
  <sheetViews>
    <sheetView showGridLines="0" tabSelected="1" workbookViewId="0">
      <selection activeCell="B6" sqref="B6:C6"/>
    </sheetView>
  </sheetViews>
  <sheetFormatPr defaultColWidth="0" defaultRowHeight="16.5" customHeight="1" zeroHeight="1"/>
  <cols>
    <col min="1" max="1" width="2.83203125" style="86" customWidth="1"/>
    <col min="2" max="2" width="35.75" style="86" customWidth="1"/>
    <col min="3" max="3" width="34.58203125" style="86" customWidth="1"/>
    <col min="4" max="4" width="37.58203125" style="86" customWidth="1"/>
    <col min="5" max="5" width="3" style="86" customWidth="1"/>
    <col min="6" max="8" width="9" style="86" hidden="1" customWidth="1"/>
    <col min="9" max="13" width="0" style="86" hidden="1" customWidth="1"/>
    <col min="14" max="16384" width="9" style="86" hidden="1"/>
  </cols>
  <sheetData>
    <row r="1" spans="2:4" ht="17" thickBot="1">
      <c r="B1"/>
      <c r="C1"/>
      <c r="D1"/>
    </row>
    <row r="2" spans="2:4" ht="19.5" customHeight="1" thickBot="1">
      <c r="B2" s="123" t="s">
        <v>78</v>
      </c>
      <c r="C2" s="124"/>
      <c r="D2" s="125"/>
    </row>
    <row r="3" spans="2:4" ht="16.5" customHeight="1">
      <c r="B3" s="126" t="s">
        <v>0</v>
      </c>
      <c r="C3" s="126"/>
      <c r="D3" s="126"/>
    </row>
    <row r="4" spans="2:4">
      <c r="B4" s="127"/>
      <c r="C4" s="127"/>
      <c r="D4" s="127"/>
    </row>
    <row r="5" spans="2:4">
      <c r="B5" s="29" t="s">
        <v>38</v>
      </c>
      <c r="C5" s="5"/>
      <c r="D5" s="132"/>
    </row>
    <row r="6" spans="2:4" ht="16.5" customHeight="1">
      <c r="B6" s="88"/>
      <c r="C6" s="88"/>
      <c r="D6" s="132"/>
    </row>
    <row r="7" spans="2:4" ht="16.5" customHeight="1">
      <c r="B7" s="89" t="s">
        <v>27</v>
      </c>
      <c r="C7" s="90" t="s">
        <v>28</v>
      </c>
      <c r="D7" s="87"/>
    </row>
    <row r="8" spans="2:4" ht="8.15" customHeight="1">
      <c r="B8" s="89"/>
      <c r="C8" s="88"/>
      <c r="D8" s="87"/>
    </row>
    <row r="9" spans="2:4" ht="16.5" customHeight="1">
      <c r="B9" s="89" t="s">
        <v>29</v>
      </c>
      <c r="C9" s="90" t="s">
        <v>30</v>
      </c>
      <c r="D9" s="87"/>
    </row>
    <row r="10" spans="2:4" ht="16.5" customHeight="1">
      <c r="B10" s="91"/>
      <c r="C10"/>
      <c r="D10"/>
    </row>
    <row r="11" spans="2:4" ht="48.65" customHeight="1">
      <c r="B11" s="131" t="s">
        <v>102</v>
      </c>
      <c r="C11" s="131"/>
      <c r="D11" s="131"/>
    </row>
    <row r="12" spans="2:4">
      <c r="B12" s="119"/>
      <c r="C12" s="119"/>
      <c r="D12" s="119"/>
    </row>
    <row r="13" spans="2:4" ht="48.65" customHeight="1">
      <c r="B13" s="133" t="s">
        <v>103</v>
      </c>
      <c r="C13" s="133"/>
      <c r="D13" s="133"/>
    </row>
    <row r="14" spans="2:4" ht="16.5" customHeight="1">
      <c r="B14" s="5"/>
      <c r="C14" s="5"/>
      <c r="D14" s="5"/>
    </row>
    <row r="15" spans="2:4" ht="16.5" customHeight="1">
      <c r="B15" s="128" t="s">
        <v>1</v>
      </c>
      <c r="C15" s="129"/>
      <c r="D15" s="130"/>
    </row>
    <row r="16" spans="2:4" ht="17" thickBot="1">
      <c r="B16"/>
      <c r="C16"/>
      <c r="D16"/>
    </row>
    <row r="17" spans="2:4" ht="19" thickBot="1">
      <c r="B17" s="121"/>
      <c r="C17" s="122"/>
      <c r="D17" s="122"/>
    </row>
    <row r="18" spans="2:4"/>
    <row r="19" spans="2:4" hidden="1"/>
    <row r="20" spans="2:4" hidden="1"/>
    <row r="21" spans="2:4" hidden="1"/>
    <row r="22" spans="2:4" hidden="1"/>
    <row r="23" spans="2:4" hidden="1"/>
    <row r="24" spans="2:4" hidden="1"/>
    <row r="25" spans="2:4" hidden="1"/>
    <row r="26" spans="2:4" hidden="1"/>
    <row r="27" spans="2:4" hidden="1"/>
    <row r="28" spans="2:4" hidden="1"/>
    <row r="29" spans="2:4" hidden="1"/>
  </sheetData>
  <sheetProtection sheet="1" objects="1" scenarios="1"/>
  <mergeCells count="8">
    <mergeCell ref="B17:D17"/>
    <mergeCell ref="B2:D2"/>
    <mergeCell ref="B3:D3"/>
    <mergeCell ref="B4:D4"/>
    <mergeCell ref="B15:D15"/>
    <mergeCell ref="B11:D11"/>
    <mergeCell ref="D5:D6"/>
    <mergeCell ref="B13:D13"/>
  </mergeCells>
  <hyperlinks>
    <hyperlink ref="C9" r:id="rId1" xr:uid="{60F8126B-D46E-4ABD-986C-B44783A3E7CD}"/>
    <hyperlink ref="C7" r:id="rId2" xr:uid="{300DED1D-4F06-434C-AD94-7F2F434D14E3}"/>
  </hyperlinks>
  <pageMargins left="0.7" right="0.7" top="0.75" bottom="0.75" header="0.3" footer="0.3"/>
  <pageSetup scale="76"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4766-5483-41F9-BAE9-B4AA5C1DA5B3}">
  <sheetPr codeName="Sheet2">
    <pageSetUpPr fitToPage="1"/>
  </sheetPr>
  <dimension ref="A1:L76"/>
  <sheetViews>
    <sheetView showGridLines="0" zoomScaleNormal="100" workbookViewId="0">
      <selection activeCell="E30" sqref="E30"/>
    </sheetView>
  </sheetViews>
  <sheetFormatPr defaultColWidth="0" defaultRowHeight="15.5" zeroHeight="1"/>
  <cols>
    <col min="1" max="1" width="3.08203125" style="1" customWidth="1"/>
    <col min="2" max="2" width="1.58203125" style="1" customWidth="1"/>
    <col min="3" max="3" width="30.83203125" style="1" customWidth="1"/>
    <col min="4" max="4" width="12.58203125" style="1" customWidth="1"/>
    <col min="5" max="5" width="11.58203125" style="1" customWidth="1"/>
    <col min="6" max="6" width="13" style="1" customWidth="1"/>
    <col min="7" max="7" width="12.33203125" style="1" customWidth="1"/>
    <col min="8" max="8" width="11.33203125" style="1" customWidth="1"/>
    <col min="9" max="9" width="10.58203125" style="1" customWidth="1"/>
    <col min="10" max="10" width="3.08203125" style="1" customWidth="1"/>
    <col min="11" max="11" width="10" style="1" hidden="1" customWidth="1"/>
    <col min="12" max="16384" width="9" style="1" hidden="1"/>
  </cols>
  <sheetData>
    <row r="1" spans="1:12" ht="16.5" customHeight="1">
      <c r="C1" s="29"/>
      <c r="D1"/>
      <c r="E1"/>
      <c r="F1"/>
      <c r="G1"/>
      <c r="H1"/>
    </row>
    <row r="2" spans="1:12" ht="21.75" customHeight="1">
      <c r="B2" s="134" t="s">
        <v>79</v>
      </c>
      <c r="C2" s="135"/>
      <c r="D2" s="135"/>
      <c r="E2" s="135"/>
      <c r="F2" s="135"/>
      <c r="G2" s="135"/>
      <c r="H2" s="135"/>
    </row>
    <row r="3" spans="1:12" ht="16" customHeight="1">
      <c r="C3" s="30"/>
      <c r="D3" s="30"/>
      <c r="E3" s="137"/>
      <c r="F3" s="137"/>
      <c r="G3" s="137"/>
      <c r="H3" s="31"/>
      <c r="L3" s="3"/>
    </row>
    <row r="4" spans="1:12" ht="33" customHeight="1">
      <c r="A4" s="32"/>
      <c r="B4" s="33" t="s">
        <v>8</v>
      </c>
      <c r="C4" s="33"/>
      <c r="D4" s="33" t="s">
        <v>3</v>
      </c>
      <c r="E4" s="34" t="s">
        <v>4</v>
      </c>
      <c r="F4" s="35" t="s">
        <v>31</v>
      </c>
      <c r="G4" s="35" t="str">
        <f>"Dollars per 
"&amp;FIXED(D53,0,FALSE)&amp;" sq. ft."</f>
        <v>Dollars per 
2,000 sq. ft.</v>
      </c>
      <c r="H4" s="35" t="s">
        <v>39</v>
      </c>
    </row>
    <row r="5" spans="1:12" ht="16" customHeight="1">
      <c r="A5" s="32"/>
      <c r="B5" s="5" t="s">
        <v>81</v>
      </c>
      <c r="C5" s="5"/>
      <c r="D5" s="36" t="s">
        <v>80</v>
      </c>
      <c r="E5" s="11">
        <v>1300</v>
      </c>
      <c r="F5" s="10">
        <v>1.87</v>
      </c>
      <c r="G5" s="37">
        <f>E5*F5</f>
        <v>2431</v>
      </c>
      <c r="H5" s="38">
        <f>G5/2000</f>
        <v>1.2155</v>
      </c>
    </row>
    <row r="6" spans="1:12" ht="16" customHeight="1">
      <c r="A6" s="32"/>
      <c r="B6" s="32"/>
      <c r="C6" s="39" t="s">
        <v>9</v>
      </c>
      <c r="D6"/>
      <c r="E6" s="5"/>
      <c r="F6" s="5"/>
      <c r="G6" s="40">
        <f>G5</f>
        <v>2431</v>
      </c>
      <c r="H6" s="40"/>
    </row>
    <row r="7" spans="1:12" ht="8.15" customHeight="1">
      <c r="A7" s="32"/>
      <c r="B7" s="32"/>
      <c r="C7" s="39"/>
      <c r="D7"/>
      <c r="E7" s="5"/>
      <c r="F7" s="5"/>
      <c r="G7" s="40"/>
      <c r="H7" s="40"/>
    </row>
    <row r="8" spans="1:12" ht="33" customHeight="1">
      <c r="A8" s="32"/>
      <c r="B8" s="41" t="s">
        <v>10</v>
      </c>
      <c r="C8" s="41"/>
      <c r="D8" s="33" t="s">
        <v>3</v>
      </c>
      <c r="E8" s="34" t="s">
        <v>4</v>
      </c>
      <c r="F8" s="34" t="s">
        <v>31</v>
      </c>
      <c r="G8" s="35" t="str">
        <f>G4</f>
        <v>Dollars per 
2,000 sq. ft.</v>
      </c>
      <c r="H8" s="35" t="s">
        <v>39</v>
      </c>
    </row>
    <row r="9" spans="1:12" ht="16" customHeight="1">
      <c r="A9" s="32"/>
      <c r="B9" s="5" t="s">
        <v>74</v>
      </c>
      <c r="C9" s="5"/>
      <c r="D9" s="36" t="s">
        <v>82</v>
      </c>
      <c r="E9" s="11">
        <v>3</v>
      </c>
      <c r="F9" s="10">
        <v>7.09</v>
      </c>
      <c r="G9" s="40">
        <f>E9*F9</f>
        <v>21.27</v>
      </c>
      <c r="H9" s="40">
        <f>G9/2000</f>
        <v>1.0635E-2</v>
      </c>
    </row>
    <row r="10" spans="1:12" ht="16" customHeight="1">
      <c r="A10" s="32"/>
      <c r="B10" s="5" t="s">
        <v>76</v>
      </c>
      <c r="C10" s="5"/>
      <c r="D10" s="36" t="s">
        <v>5</v>
      </c>
      <c r="E10" s="11">
        <v>2</v>
      </c>
      <c r="F10" s="10">
        <v>18.86</v>
      </c>
      <c r="G10" s="40">
        <f>E10*F10</f>
        <v>37.72</v>
      </c>
      <c r="H10" s="40">
        <f>G10/2000</f>
        <v>1.8859999999999998E-2</v>
      </c>
    </row>
    <row r="11" spans="1:12" ht="16" customHeight="1">
      <c r="A11" s="32"/>
      <c r="B11" s="5" t="s">
        <v>77</v>
      </c>
      <c r="C11" s="5"/>
      <c r="D11" s="36" t="s">
        <v>5</v>
      </c>
      <c r="E11" s="11">
        <v>1</v>
      </c>
      <c r="F11" s="10">
        <v>24.35</v>
      </c>
      <c r="G11" s="40">
        <f>E11*F11</f>
        <v>24.35</v>
      </c>
      <c r="H11" s="40">
        <f>G11/2000</f>
        <v>1.2175E-2</v>
      </c>
    </row>
    <row r="12" spans="1:12" ht="16" customHeight="1">
      <c r="A12" s="32"/>
      <c r="B12" s="5" t="s">
        <v>40</v>
      </c>
      <c r="C12" s="5"/>
      <c r="D12" s="36" t="s">
        <v>5</v>
      </c>
      <c r="E12" s="11">
        <v>0</v>
      </c>
      <c r="F12" s="10">
        <v>0</v>
      </c>
      <c r="G12" s="40">
        <f>E12*F12</f>
        <v>0</v>
      </c>
      <c r="H12" s="40">
        <f>G12/2000</f>
        <v>0</v>
      </c>
    </row>
    <row r="13" spans="1:12" ht="16" customHeight="1">
      <c r="A13" s="32"/>
      <c r="B13" s="5" t="s">
        <v>48</v>
      </c>
      <c r="C13" s="5"/>
      <c r="D13" s="36"/>
      <c r="E13" s="42"/>
      <c r="F13" s="43"/>
      <c r="G13" s="40"/>
      <c r="H13" s="40"/>
    </row>
    <row r="14" spans="1:12" ht="16" customHeight="1">
      <c r="A14" s="32"/>
      <c r="B14" s="5"/>
      <c r="C14" s="5" t="s">
        <v>51</v>
      </c>
      <c r="D14" s="67" t="s">
        <v>75</v>
      </c>
      <c r="E14" s="11">
        <v>6</v>
      </c>
      <c r="F14" s="10">
        <v>5.78</v>
      </c>
      <c r="G14" s="40">
        <f t="shared" ref="G14:G16" si="0">E14*F14</f>
        <v>34.68</v>
      </c>
      <c r="H14" s="40">
        <f t="shared" ref="H14:H46" si="1">G14/2000</f>
        <v>1.7340000000000001E-2</v>
      </c>
    </row>
    <row r="15" spans="1:12" ht="16" customHeight="1">
      <c r="A15" s="32"/>
      <c r="B15" s="5"/>
      <c r="C15" s="5" t="s">
        <v>50</v>
      </c>
      <c r="D15" s="67" t="s">
        <v>49</v>
      </c>
      <c r="E15" s="11">
        <v>0</v>
      </c>
      <c r="F15" s="10">
        <v>0</v>
      </c>
      <c r="G15" s="40">
        <f t="shared" si="0"/>
        <v>0</v>
      </c>
      <c r="H15" s="40">
        <f t="shared" si="1"/>
        <v>0</v>
      </c>
    </row>
    <row r="16" spans="1:12" ht="16" customHeight="1">
      <c r="A16" s="32"/>
      <c r="B16" s="5" t="s">
        <v>34</v>
      </c>
      <c r="C16" s="5"/>
      <c r="D16" s="67" t="s">
        <v>49</v>
      </c>
      <c r="E16" s="11">
        <v>1</v>
      </c>
      <c r="F16" s="10">
        <v>27.13</v>
      </c>
      <c r="G16" s="40">
        <f t="shared" si="0"/>
        <v>27.13</v>
      </c>
      <c r="H16" s="40">
        <f t="shared" si="1"/>
        <v>1.3564999999999999E-2</v>
      </c>
    </row>
    <row r="17" spans="1:11" ht="16" customHeight="1">
      <c r="A17" s="32"/>
      <c r="B17" s="5" t="s">
        <v>32</v>
      </c>
      <c r="C17" s="5"/>
      <c r="D17" s="36" t="s">
        <v>53</v>
      </c>
      <c r="E17" s="11">
        <v>400</v>
      </c>
      <c r="F17" s="10">
        <v>0.06</v>
      </c>
      <c r="G17" s="40">
        <f>E17*F17</f>
        <v>24</v>
      </c>
      <c r="H17" s="40">
        <f t="shared" si="1"/>
        <v>1.2E-2</v>
      </c>
    </row>
    <row r="18" spans="1:11" ht="16" customHeight="1">
      <c r="A18" s="32"/>
      <c r="B18" s="5" t="s">
        <v>52</v>
      </c>
      <c r="C18" s="5"/>
      <c r="D18" s="36" t="s">
        <v>53</v>
      </c>
      <c r="E18" s="11">
        <v>400</v>
      </c>
      <c r="F18" s="10">
        <v>0.06</v>
      </c>
      <c r="G18" s="40">
        <f>E18*F18</f>
        <v>24</v>
      </c>
      <c r="H18" s="40">
        <f t="shared" si="1"/>
        <v>1.2E-2</v>
      </c>
    </row>
    <row r="19" spans="1:11" ht="16" customHeight="1">
      <c r="A19" s="32"/>
      <c r="B19" s="5" t="s">
        <v>87</v>
      </c>
      <c r="C19" s="5"/>
      <c r="D19" s="36" t="s">
        <v>89</v>
      </c>
      <c r="E19" s="11">
        <v>2000</v>
      </c>
      <c r="F19" s="10">
        <v>0.06</v>
      </c>
      <c r="G19" s="40">
        <f>E19*F19</f>
        <v>120</v>
      </c>
      <c r="H19" s="40">
        <f t="shared" si="1"/>
        <v>0.06</v>
      </c>
    </row>
    <row r="20" spans="1:11" ht="16" customHeight="1">
      <c r="A20" s="32"/>
      <c r="B20" s="5" t="s">
        <v>88</v>
      </c>
      <c r="C20" s="5"/>
      <c r="D20" s="36" t="s">
        <v>5</v>
      </c>
      <c r="E20" s="11">
        <v>75</v>
      </c>
      <c r="F20" s="10">
        <v>0.49</v>
      </c>
      <c r="G20" s="40">
        <f>E20*F20</f>
        <v>36.75</v>
      </c>
      <c r="H20" s="40">
        <f t="shared" si="1"/>
        <v>1.8374999999999999E-2</v>
      </c>
    </row>
    <row r="21" spans="1:11" ht="16" customHeight="1">
      <c r="A21" s="32"/>
      <c r="B21" s="5" t="s">
        <v>33</v>
      </c>
      <c r="C21" s="5"/>
      <c r="D21" s="36"/>
      <c r="E21" s="42"/>
      <c r="F21" s="5"/>
      <c r="G21" s="40"/>
      <c r="H21" s="40"/>
    </row>
    <row r="22" spans="1:11" ht="16" customHeight="1">
      <c r="A22" s="32"/>
      <c r="B22" s="32"/>
      <c r="C22" s="5" t="s">
        <v>43</v>
      </c>
      <c r="D22" s="36" t="s">
        <v>35</v>
      </c>
      <c r="E22" s="11">
        <v>3</v>
      </c>
      <c r="F22" s="10">
        <v>18</v>
      </c>
      <c r="G22" s="40">
        <f t="shared" ref="G22:G28" si="2">E22*F22</f>
        <v>54</v>
      </c>
      <c r="H22" s="40">
        <f t="shared" si="1"/>
        <v>2.7E-2</v>
      </c>
    </row>
    <row r="23" spans="1:11" ht="16" customHeight="1">
      <c r="A23" s="32"/>
      <c r="B23" s="32"/>
      <c r="C23" s="5" t="s">
        <v>42</v>
      </c>
      <c r="D23" s="36" t="s">
        <v>35</v>
      </c>
      <c r="E23" s="11">
        <v>1</v>
      </c>
      <c r="F23" s="10">
        <v>18</v>
      </c>
      <c r="G23" s="40">
        <f t="shared" si="2"/>
        <v>18</v>
      </c>
      <c r="H23" s="40">
        <f t="shared" si="1"/>
        <v>8.9999999999999993E-3</v>
      </c>
    </row>
    <row r="24" spans="1:11" ht="16" customHeight="1">
      <c r="A24" s="32"/>
      <c r="B24" s="32"/>
      <c r="C24" s="5" t="s">
        <v>41</v>
      </c>
      <c r="D24" s="36" t="s">
        <v>35</v>
      </c>
      <c r="E24" s="11">
        <v>1</v>
      </c>
      <c r="F24" s="10">
        <v>18</v>
      </c>
      <c r="G24" s="40">
        <f t="shared" si="2"/>
        <v>18</v>
      </c>
      <c r="H24" s="40">
        <f t="shared" si="1"/>
        <v>8.9999999999999993E-3</v>
      </c>
    </row>
    <row r="25" spans="1:11" ht="16" customHeight="1">
      <c r="A25" s="32"/>
      <c r="B25" s="32"/>
      <c r="C25" s="5" t="s">
        <v>84</v>
      </c>
      <c r="D25" s="36" t="s">
        <v>35</v>
      </c>
      <c r="E25" s="11">
        <v>2</v>
      </c>
      <c r="F25" s="10">
        <v>18</v>
      </c>
      <c r="G25" s="40">
        <f t="shared" si="2"/>
        <v>36</v>
      </c>
      <c r="H25" s="40">
        <f t="shared" si="1"/>
        <v>1.7999999999999999E-2</v>
      </c>
    </row>
    <row r="26" spans="1:11" ht="16" customHeight="1">
      <c r="A26" s="32"/>
      <c r="B26" s="32"/>
      <c r="C26" s="5" t="s">
        <v>44</v>
      </c>
      <c r="D26" s="36" t="s">
        <v>35</v>
      </c>
      <c r="E26" s="11">
        <v>5</v>
      </c>
      <c r="F26" s="10">
        <v>18</v>
      </c>
      <c r="G26" s="40">
        <f t="shared" si="2"/>
        <v>90</v>
      </c>
      <c r="H26" s="40">
        <f t="shared" si="1"/>
        <v>4.4999999999999998E-2</v>
      </c>
    </row>
    <row r="27" spans="1:11" ht="16" customHeight="1">
      <c r="A27" s="32"/>
      <c r="B27" s="32"/>
      <c r="C27" s="5" t="s">
        <v>45</v>
      </c>
      <c r="D27" s="36" t="s">
        <v>35</v>
      </c>
      <c r="E27" s="11">
        <v>3</v>
      </c>
      <c r="F27" s="10">
        <v>18</v>
      </c>
      <c r="G27" s="40">
        <f t="shared" si="2"/>
        <v>54</v>
      </c>
      <c r="H27" s="40">
        <f t="shared" si="1"/>
        <v>2.7E-2</v>
      </c>
    </row>
    <row r="28" spans="1:11" ht="16" customHeight="1">
      <c r="A28" s="32"/>
      <c r="B28" s="32"/>
      <c r="C28" s="5" t="s">
        <v>86</v>
      </c>
      <c r="D28" s="36" t="s">
        <v>35</v>
      </c>
      <c r="E28" s="11">
        <v>2</v>
      </c>
      <c r="F28" s="10">
        <v>18</v>
      </c>
      <c r="G28" s="40">
        <f t="shared" si="2"/>
        <v>36</v>
      </c>
      <c r="H28" s="40">
        <f t="shared" si="1"/>
        <v>1.7999999999999999E-2</v>
      </c>
    </row>
    <row r="29" spans="1:11" ht="16" customHeight="1">
      <c r="A29" s="32"/>
      <c r="B29" s="32"/>
      <c r="C29" s="5" t="s">
        <v>46</v>
      </c>
      <c r="D29" s="36" t="s">
        <v>35</v>
      </c>
      <c r="E29" s="11">
        <v>3</v>
      </c>
      <c r="F29" s="10">
        <v>18</v>
      </c>
      <c r="G29" s="40">
        <f t="shared" ref="G29:G34" si="3">E29*F29</f>
        <v>54</v>
      </c>
      <c r="H29" s="40">
        <f t="shared" si="1"/>
        <v>2.7E-2</v>
      </c>
    </row>
    <row r="30" spans="1:11" ht="16" customHeight="1">
      <c r="A30" s="32"/>
      <c r="B30" s="32"/>
      <c r="C30" s="5" t="s">
        <v>47</v>
      </c>
      <c r="D30" s="36" t="s">
        <v>35</v>
      </c>
      <c r="E30" s="11">
        <v>2</v>
      </c>
      <c r="F30" s="10">
        <v>18</v>
      </c>
      <c r="G30" s="40">
        <f t="shared" si="3"/>
        <v>36</v>
      </c>
      <c r="H30" s="40">
        <f t="shared" si="1"/>
        <v>1.7999999999999999E-2</v>
      </c>
      <c r="J30" s="2"/>
      <c r="K30" s="2"/>
    </row>
    <row r="31" spans="1:11" ht="16" customHeight="1">
      <c r="A31" s="32"/>
      <c r="C31" s="5" t="s">
        <v>85</v>
      </c>
      <c r="D31" s="36" t="s">
        <v>35</v>
      </c>
      <c r="E31" s="11">
        <v>28</v>
      </c>
      <c r="F31" s="10">
        <v>18</v>
      </c>
      <c r="G31" s="40">
        <f t="shared" si="3"/>
        <v>504</v>
      </c>
      <c r="H31" s="40">
        <f t="shared" si="1"/>
        <v>0.252</v>
      </c>
      <c r="J31" s="2"/>
      <c r="K31" s="2"/>
    </row>
    <row r="32" spans="1:11" ht="16" customHeight="1">
      <c r="A32" s="32"/>
      <c r="C32" s="5" t="s">
        <v>83</v>
      </c>
      <c r="D32" s="36" t="s">
        <v>35</v>
      </c>
      <c r="E32" s="11">
        <v>2</v>
      </c>
      <c r="F32" s="10">
        <v>18</v>
      </c>
      <c r="G32" s="40">
        <f t="shared" si="3"/>
        <v>36</v>
      </c>
      <c r="H32" s="40">
        <f t="shared" si="1"/>
        <v>1.7999999999999999E-2</v>
      </c>
      <c r="J32" s="2"/>
      <c r="K32" s="2"/>
    </row>
    <row r="33" spans="1:11" ht="16" customHeight="1">
      <c r="A33" s="32"/>
      <c r="B33" s="5" t="s">
        <v>100</v>
      </c>
      <c r="C33" s="5"/>
      <c r="D33" s="36" t="s">
        <v>5</v>
      </c>
      <c r="E33" s="11">
        <f>ROUNDUP(1300/24,0)</f>
        <v>55</v>
      </c>
      <c r="F33" s="10">
        <f>1133/280</f>
        <v>4.0464285714285717</v>
      </c>
      <c r="G33" s="40">
        <f t="shared" si="3"/>
        <v>222.55357142857144</v>
      </c>
      <c r="H33" s="40">
        <f>G33/2000</f>
        <v>0.11127678571428572</v>
      </c>
      <c r="J33" s="2"/>
      <c r="K33" s="2"/>
    </row>
    <row r="34" spans="1:11" ht="16" customHeight="1">
      <c r="A34" s="32"/>
      <c r="B34" s="5" t="s">
        <v>36</v>
      </c>
      <c r="C34" s="5"/>
      <c r="D34" s="44" t="s">
        <v>26</v>
      </c>
      <c r="E34" s="85">
        <f>G6</f>
        <v>2431</v>
      </c>
      <c r="F34" s="12">
        <v>0.1</v>
      </c>
      <c r="G34" s="40">
        <f t="shared" si="3"/>
        <v>243.10000000000002</v>
      </c>
      <c r="H34" s="40">
        <f t="shared" si="1"/>
        <v>0.12155000000000001</v>
      </c>
      <c r="J34" s="2"/>
      <c r="K34" s="2"/>
    </row>
    <row r="35" spans="1:11" ht="16" customHeight="1">
      <c r="A35" s="32"/>
      <c r="B35" s="5" t="s">
        <v>37</v>
      </c>
      <c r="D35" s="36" t="s">
        <v>49</v>
      </c>
      <c r="G35" s="81">
        <v>0</v>
      </c>
      <c r="H35" s="40">
        <f t="shared" si="1"/>
        <v>0</v>
      </c>
      <c r="J35" s="2"/>
      <c r="K35" s="2"/>
    </row>
    <row r="36" spans="1:11" ht="16" customHeight="1">
      <c r="A36" s="32"/>
      <c r="B36" s="5" t="s">
        <v>93</v>
      </c>
      <c r="D36" s="36" t="s">
        <v>92</v>
      </c>
      <c r="E36" s="82">
        <v>7.7499999999999999E-2</v>
      </c>
      <c r="G36" s="37">
        <f>SUM(G9:G35)*$E$36*E40/12</f>
        <v>22.624233630952386</v>
      </c>
      <c r="H36" s="37">
        <f t="shared" si="1"/>
        <v>1.1312116815476192E-2</v>
      </c>
      <c r="J36" s="2"/>
      <c r="K36" s="2"/>
    </row>
    <row r="37" spans="1:11" ht="16" customHeight="1">
      <c r="A37" s="32"/>
      <c r="C37" s="39" t="s">
        <v>11</v>
      </c>
      <c r="D37" s="36"/>
      <c r="E37" s="45"/>
      <c r="F37" s="5"/>
      <c r="G37" s="40">
        <f>SUM(G9:G36)</f>
        <v>1774.177805059524</v>
      </c>
      <c r="H37" s="40">
        <f t="shared" si="1"/>
        <v>0.88708890252976202</v>
      </c>
      <c r="J37" s="2"/>
      <c r="K37" s="2"/>
    </row>
    <row r="38" spans="1:11" ht="8.15" customHeight="1">
      <c r="A38" s="32"/>
      <c r="C38" s="39"/>
      <c r="D38" s="36"/>
      <c r="E38" s="45"/>
      <c r="F38" s="5"/>
      <c r="G38" s="40"/>
      <c r="H38" s="40"/>
    </row>
    <row r="39" spans="1:11" ht="33" customHeight="1">
      <c r="A39" s="32"/>
      <c r="B39" s="41" t="s">
        <v>12</v>
      </c>
      <c r="C39" s="41"/>
      <c r="D39" s="46" t="s">
        <v>3</v>
      </c>
      <c r="E39" s="34" t="s">
        <v>4</v>
      </c>
      <c r="F39" s="34" t="s">
        <v>31</v>
      </c>
      <c r="G39" s="35" t="str">
        <f>G4</f>
        <v>Dollars per 
2,000 sq. ft.</v>
      </c>
      <c r="H39" s="35" t="s">
        <v>39</v>
      </c>
    </row>
    <row r="40" spans="1:11" ht="16" customHeight="1">
      <c r="B40" s="5" t="s">
        <v>54</v>
      </c>
      <c r="C40" s="5"/>
      <c r="D40" s="36" t="s">
        <v>55</v>
      </c>
      <c r="E40" s="68">
        <v>2</v>
      </c>
      <c r="F40" s="40">
        <f>I69/(10*12)*(D53/D52)</f>
        <v>145.46400071365511</v>
      </c>
      <c r="G40" s="38">
        <f>E40*F40</f>
        <v>290.92800142731022</v>
      </c>
      <c r="H40" s="38">
        <f t="shared" si="1"/>
        <v>0.14546400071365512</v>
      </c>
    </row>
    <row r="41" spans="1:11" ht="16" customHeight="1">
      <c r="C41" s="39" t="s">
        <v>13</v>
      </c>
      <c r="D41"/>
      <c r="E41" s="5"/>
      <c r="F41" s="5"/>
      <c r="G41" s="40">
        <f>SUM(G40:G40)</f>
        <v>290.92800142731022</v>
      </c>
      <c r="H41" s="40">
        <f t="shared" si="1"/>
        <v>0.14546400071365512</v>
      </c>
    </row>
    <row r="42" spans="1:11" ht="8.15" customHeight="1">
      <c r="C42" s="39"/>
      <c r="D42"/>
      <c r="E42" s="5"/>
      <c r="F42" s="5"/>
      <c r="G42" s="40"/>
      <c r="H42" s="40"/>
    </row>
    <row r="43" spans="1:11" ht="16" customHeight="1">
      <c r="C43" s="39" t="s">
        <v>6</v>
      </c>
      <c r="D43"/>
      <c r="E43" s="5"/>
      <c r="F43" s="5"/>
      <c r="G43" s="40">
        <f>G37+G41</f>
        <v>2065.1058064868344</v>
      </c>
      <c r="H43" s="40">
        <f t="shared" si="1"/>
        <v>1.0325529032434171</v>
      </c>
    </row>
    <row r="44" spans="1:11" ht="16" customHeight="1">
      <c r="B44" s="47"/>
      <c r="C44" s="39"/>
      <c r="D44" s="48"/>
      <c r="E44" s="5"/>
      <c r="F44" s="5"/>
      <c r="G44" s="40"/>
      <c r="H44" s="37"/>
    </row>
    <row r="45" spans="1:11" ht="16" customHeight="1">
      <c r="B45" s="49" t="s">
        <v>14</v>
      </c>
      <c r="C45" s="50"/>
      <c r="E45" s="51"/>
      <c r="F45" s="51"/>
      <c r="G45" s="52">
        <f>G6-G37</f>
        <v>656.82219494047604</v>
      </c>
      <c r="H45" s="40">
        <f t="shared" si="1"/>
        <v>0.328411097470238</v>
      </c>
    </row>
    <row r="46" spans="1:11" ht="16" customHeight="1" thickBot="1">
      <c r="B46" s="53" t="s">
        <v>7</v>
      </c>
      <c r="C46" s="53"/>
      <c r="D46" s="54"/>
      <c r="E46" s="55"/>
      <c r="F46" s="55"/>
      <c r="G46" s="56">
        <f>G6-G43</f>
        <v>365.89419351316565</v>
      </c>
      <c r="H46" s="56">
        <f t="shared" si="1"/>
        <v>0.18294709675658283</v>
      </c>
    </row>
    <row r="47" spans="1:11" ht="16" thickTop="1">
      <c r="B47" s="136" t="s">
        <v>101</v>
      </c>
      <c r="C47" s="136"/>
      <c r="D47" s="136"/>
      <c r="E47" s="136"/>
      <c r="F47" s="136"/>
      <c r="G47" s="136"/>
      <c r="H47" s="136"/>
    </row>
    <row r="48" spans="1:11" ht="12.75" customHeight="1">
      <c r="B48" s="140" t="s">
        <v>99</v>
      </c>
      <c r="C48" s="140"/>
      <c r="D48" s="140"/>
      <c r="E48" s="140"/>
      <c r="F48" s="140"/>
      <c r="G48" s="140"/>
      <c r="H48" s="140"/>
    </row>
    <row r="49" spans="1:9" ht="16" customHeight="1">
      <c r="B49" s="76"/>
      <c r="C49" s="76"/>
      <c r="D49" s="76"/>
      <c r="E49" s="76"/>
      <c r="F49" s="76"/>
      <c r="G49" s="76"/>
      <c r="H49" s="76"/>
    </row>
    <row r="50" spans="1:9" ht="16" customHeight="1">
      <c r="B50" s="4" t="s">
        <v>94</v>
      </c>
      <c r="C50"/>
      <c r="D50"/>
      <c r="E50"/>
      <c r="F50" s="76"/>
      <c r="G50" s="76"/>
      <c r="H50" s="76"/>
    </row>
    <row r="51" spans="1:9" ht="16" customHeight="1">
      <c r="B51" s="83"/>
      <c r="C51" s="83"/>
      <c r="D51" s="83" t="s">
        <v>95</v>
      </c>
      <c r="E51" s="83" t="s">
        <v>3</v>
      </c>
      <c r="F51" s="76"/>
      <c r="G51" s="76"/>
      <c r="H51" s="76"/>
    </row>
    <row r="52" spans="1:9" ht="16" customHeight="1">
      <c r="B52" t="s">
        <v>96</v>
      </c>
      <c r="C52"/>
      <c r="D52" s="84">
        <v>2000</v>
      </c>
      <c r="E52" s="36" t="s">
        <v>97</v>
      </c>
      <c r="F52" s="76"/>
      <c r="G52" s="76"/>
      <c r="H52" s="76"/>
    </row>
    <row r="53" spans="1:9" s="24" customFormat="1" ht="16" customHeight="1">
      <c r="B53" t="s">
        <v>98</v>
      </c>
      <c r="C53"/>
      <c r="D53" s="84">
        <v>2000</v>
      </c>
      <c r="E53" s="36" t="s">
        <v>97</v>
      </c>
      <c r="F53"/>
      <c r="G53"/>
      <c r="H53"/>
      <c r="I53" s="1"/>
    </row>
    <row r="54" spans="1:9" s="24" customFormat="1" ht="16" customHeight="1">
      <c r="C54" s="57"/>
      <c r="D54" s="4"/>
      <c r="E54" s="4"/>
      <c r="F54" s="4"/>
      <c r="G54" s="4"/>
      <c r="H54" s="4"/>
      <c r="I54" s="1"/>
    </row>
    <row r="55" spans="1:9" s="24" customFormat="1" ht="16" customHeight="1">
      <c r="B55" s="120" t="s">
        <v>104</v>
      </c>
      <c r="C55" s="4"/>
      <c r="D55" s="4"/>
      <c r="E55" s="25"/>
      <c r="F55" s="58"/>
      <c r="G55" s="58"/>
      <c r="H55" s="25"/>
    </row>
    <row r="56" spans="1:9" s="24" customFormat="1" ht="16" customHeight="1">
      <c r="B56" s="59" t="s">
        <v>56</v>
      </c>
      <c r="C56" s="59"/>
      <c r="D56" s="60" t="s">
        <v>33</v>
      </c>
      <c r="E56" s="60" t="s">
        <v>57</v>
      </c>
      <c r="F56" s="61" t="s">
        <v>58</v>
      </c>
      <c r="G56" s="61" t="s">
        <v>71</v>
      </c>
      <c r="H56" s="60" t="s">
        <v>72</v>
      </c>
      <c r="I56" s="60" t="s">
        <v>73</v>
      </c>
    </row>
    <row r="57" spans="1:9" s="24" customFormat="1" ht="16" customHeight="1">
      <c r="A57" s="4"/>
      <c r="B57" s="138" t="s">
        <v>59</v>
      </c>
      <c r="C57" s="138"/>
      <c r="D57" s="69">
        <v>393.2978984857732</v>
      </c>
      <c r="E57" s="69">
        <v>86.064129503346848</v>
      </c>
      <c r="F57" s="70">
        <v>0</v>
      </c>
      <c r="G57" s="62">
        <f>SUM(D57:F57)</f>
        <v>479.36202798912007</v>
      </c>
      <c r="H57" s="74">
        <v>10</v>
      </c>
      <c r="I57" s="63">
        <f>G57/(H57/10)</f>
        <v>479.36202798912007</v>
      </c>
    </row>
    <row r="58" spans="1:9" s="24" customFormat="1" ht="16" customHeight="1">
      <c r="A58" s="4"/>
      <c r="B58" s="139" t="s">
        <v>60</v>
      </c>
      <c r="C58" s="139"/>
      <c r="D58" s="69">
        <v>17.849751209722509</v>
      </c>
      <c r="E58" s="69">
        <v>0</v>
      </c>
      <c r="F58" s="69">
        <v>133.34510624228753</v>
      </c>
      <c r="G58" s="62">
        <f t="shared" ref="G58:G69" si="4">SUM(D58:F58)</f>
        <v>151.19485745201004</v>
      </c>
      <c r="H58" s="74">
        <v>10</v>
      </c>
      <c r="I58" s="63">
        <f t="shared" ref="I58:I68" si="5">G58/(H58/10)</f>
        <v>151.19485745201004</v>
      </c>
    </row>
    <row r="59" spans="1:9" s="24" customFormat="1" ht="16" customHeight="1">
      <c r="A59" s="4"/>
      <c r="B59" s="139" t="s">
        <v>61</v>
      </c>
      <c r="C59" s="139"/>
      <c r="D59" s="69">
        <v>356.89446221580391</v>
      </c>
      <c r="E59" s="69">
        <v>196.20403696654191</v>
      </c>
      <c r="F59" s="71">
        <v>281.62486438371127</v>
      </c>
      <c r="G59" s="62">
        <f t="shared" si="4"/>
        <v>834.72336356605706</v>
      </c>
      <c r="H59" s="74">
        <v>10</v>
      </c>
      <c r="I59" s="63">
        <f t="shared" si="5"/>
        <v>834.72336356605706</v>
      </c>
    </row>
    <row r="60" spans="1:9" s="24" customFormat="1" ht="16" customHeight="1">
      <c r="A60" s="4"/>
      <c r="B60" s="139" t="s">
        <v>62</v>
      </c>
      <c r="C60" s="139"/>
      <c r="D60" s="69">
        <v>356.89446221580391</v>
      </c>
      <c r="E60" s="69">
        <v>0</v>
      </c>
      <c r="F60" s="69">
        <v>9399.2298488063643</v>
      </c>
      <c r="G60" s="62">
        <f t="shared" si="4"/>
        <v>9756.1243110221676</v>
      </c>
      <c r="H60" s="74">
        <v>10</v>
      </c>
      <c r="I60" s="63">
        <f t="shared" si="5"/>
        <v>9756.1243110221676</v>
      </c>
    </row>
    <row r="61" spans="1:9" s="24" customFormat="1" ht="16" customHeight="1">
      <c r="A61" s="4"/>
      <c r="B61" s="139" t="s">
        <v>63</v>
      </c>
      <c r="C61" s="139"/>
      <c r="D61" s="69">
        <v>118.9648207386013</v>
      </c>
      <c r="E61" s="69">
        <v>0</v>
      </c>
      <c r="F61" s="69">
        <v>159.53408510827282</v>
      </c>
      <c r="G61" s="62">
        <f t="shared" si="4"/>
        <v>278.4989058468741</v>
      </c>
      <c r="H61" s="74">
        <v>10</v>
      </c>
      <c r="I61" s="63">
        <f t="shared" si="5"/>
        <v>278.4989058468741</v>
      </c>
    </row>
    <row r="62" spans="1:9" s="24" customFormat="1" ht="16" customHeight="1">
      <c r="A62" s="4"/>
      <c r="B62" s="139" t="s">
        <v>64</v>
      </c>
      <c r="C62" s="139"/>
      <c r="D62" s="69">
        <v>594.82410369300646</v>
      </c>
      <c r="E62" s="69">
        <v>0</v>
      </c>
      <c r="F62" s="69">
        <v>449.37300803650896</v>
      </c>
      <c r="G62" s="62">
        <f t="shared" si="4"/>
        <v>1044.1971117295154</v>
      </c>
      <c r="H62" s="74">
        <v>10</v>
      </c>
      <c r="I62" s="63">
        <f t="shared" si="5"/>
        <v>1044.1971117295154</v>
      </c>
    </row>
    <row r="63" spans="1:9" s="24" customFormat="1" ht="16" customHeight="1">
      <c r="A63" s="4"/>
      <c r="B63" s="139" t="s">
        <v>65</v>
      </c>
      <c r="C63" s="139"/>
      <c r="D63" s="69">
        <v>118.9648207386013</v>
      </c>
      <c r="E63" s="69">
        <v>0</v>
      </c>
      <c r="F63" s="69">
        <v>874.74389694940623</v>
      </c>
      <c r="G63" s="62">
        <f t="shared" si="4"/>
        <v>993.70871768800748</v>
      </c>
      <c r="H63" s="74">
        <v>3</v>
      </c>
      <c r="I63" s="63">
        <f t="shared" si="5"/>
        <v>3312.3623922933584</v>
      </c>
    </row>
    <row r="64" spans="1:9" s="24" customFormat="1" ht="16" customHeight="1">
      <c r="A64" s="4"/>
      <c r="B64" s="139" t="s">
        <v>66</v>
      </c>
      <c r="C64" s="139"/>
      <c r="D64" s="69">
        <v>29.741205184650326</v>
      </c>
      <c r="E64" s="69">
        <v>0</v>
      </c>
      <c r="F64" s="69">
        <v>0</v>
      </c>
      <c r="G64" s="62">
        <f t="shared" si="4"/>
        <v>29.741205184650326</v>
      </c>
      <c r="H64" s="74">
        <v>10</v>
      </c>
      <c r="I64" s="63">
        <f t="shared" si="5"/>
        <v>29.741205184650326</v>
      </c>
    </row>
    <row r="65" spans="1:9" s="24" customFormat="1" ht="16" customHeight="1">
      <c r="A65" s="4"/>
      <c r="B65" s="139" t="s">
        <v>67</v>
      </c>
      <c r="C65" s="139"/>
      <c r="D65" s="69">
        <v>0</v>
      </c>
      <c r="E65" s="71">
        <v>0</v>
      </c>
      <c r="F65" s="69">
        <v>816.0720502027998</v>
      </c>
      <c r="G65" s="62">
        <f t="shared" si="4"/>
        <v>816.0720502027998</v>
      </c>
      <c r="H65" s="74">
        <v>10</v>
      </c>
      <c r="I65" s="63">
        <f t="shared" si="5"/>
        <v>816.0720502027998</v>
      </c>
    </row>
    <row r="66" spans="1:9" s="24" customFormat="1" ht="16" customHeight="1">
      <c r="A66" s="4"/>
      <c r="B66" s="72" t="s">
        <v>68</v>
      </c>
      <c r="C66" s="72"/>
      <c r="D66" s="69">
        <v>178.44723110790196</v>
      </c>
      <c r="E66" s="69">
        <v>0</v>
      </c>
      <c r="F66" s="69">
        <v>295.09272011418238</v>
      </c>
      <c r="G66" s="62">
        <f t="shared" si="4"/>
        <v>473.53995122208437</v>
      </c>
      <c r="H66" s="74">
        <v>10</v>
      </c>
      <c r="I66" s="63">
        <f t="shared" si="5"/>
        <v>473.53995122208437</v>
      </c>
    </row>
    <row r="67" spans="1:9" s="24" customFormat="1" ht="16" customHeight="1">
      <c r="A67" s="4"/>
      <c r="B67" s="141" t="s">
        <v>69</v>
      </c>
      <c r="C67" s="141"/>
      <c r="D67" s="69">
        <v>146.51880288769411</v>
      </c>
      <c r="E67" s="69">
        <v>0</v>
      </c>
      <c r="F67" s="69">
        <v>0</v>
      </c>
      <c r="G67" s="62">
        <f t="shared" si="4"/>
        <v>146.51880288769411</v>
      </c>
      <c r="H67" s="74">
        <v>10</v>
      </c>
      <c r="I67" s="63">
        <f t="shared" si="5"/>
        <v>146.51880288769411</v>
      </c>
    </row>
    <row r="68" spans="1:9" s="24" customFormat="1" ht="16" customHeight="1">
      <c r="A68" s="4"/>
      <c r="B68" s="142" t="s">
        <v>70</v>
      </c>
      <c r="C68" s="142"/>
      <c r="D68" s="73">
        <v>0</v>
      </c>
      <c r="E68" s="73">
        <v>0</v>
      </c>
      <c r="F68" s="73">
        <v>133.34510624228753</v>
      </c>
      <c r="G68" s="64">
        <f t="shared" si="4"/>
        <v>133.34510624228753</v>
      </c>
      <c r="H68" s="75">
        <v>10</v>
      </c>
      <c r="I68" s="65">
        <f t="shared" si="5"/>
        <v>133.34510624228753</v>
      </c>
    </row>
    <row r="69" spans="1:9" s="24" customFormat="1" ht="16" customHeight="1">
      <c r="A69" s="4"/>
      <c r="C69" s="79" t="s">
        <v>71</v>
      </c>
      <c r="D69" s="63">
        <f>SUM(D57:D68)</f>
        <v>2312.397558477559</v>
      </c>
      <c r="E69" s="63">
        <f t="shared" ref="E69:F69" si="6">SUM(E57:E68)</f>
        <v>282.26816646988874</v>
      </c>
      <c r="F69" s="63">
        <f t="shared" si="6"/>
        <v>12542.360686085822</v>
      </c>
      <c r="G69" s="62">
        <f t="shared" si="4"/>
        <v>15137.02641103327</v>
      </c>
      <c r="H69" s="80"/>
      <c r="I69" s="63">
        <f>SUM(I57:I68)</f>
        <v>17455.680085638614</v>
      </c>
    </row>
    <row r="70" spans="1:9" s="24" customFormat="1" ht="16" customHeight="1">
      <c r="A70" s="4"/>
      <c r="B70" s="77"/>
      <c r="C70" s="66" t="s">
        <v>91</v>
      </c>
      <c r="D70" s="78">
        <f>D69/$D$52</f>
        <v>1.1561987792387796</v>
      </c>
      <c r="E70" s="78">
        <f t="shared" ref="E70:I70" si="7">E69/$D$52</f>
        <v>0.14113408323494436</v>
      </c>
      <c r="F70" s="78">
        <f t="shared" si="7"/>
        <v>6.2711803430429107</v>
      </c>
      <c r="G70" s="78">
        <f t="shared" si="7"/>
        <v>7.5685132055166351</v>
      </c>
      <c r="H70" s="78"/>
      <c r="I70" s="78">
        <f t="shared" si="7"/>
        <v>8.7278400428193077</v>
      </c>
    </row>
    <row r="71" spans="1:9" s="24" customFormat="1" ht="16" hidden="1" customHeight="1">
      <c r="A71" s="4"/>
      <c r="D71" s="26"/>
      <c r="E71" s="26"/>
      <c r="F71" s="26"/>
      <c r="G71" s="26"/>
      <c r="H71" s="26"/>
    </row>
    <row r="72" spans="1:9" s="24" customFormat="1" ht="16" hidden="1" customHeight="1">
      <c r="A72" s="4"/>
      <c r="C72" s="4"/>
      <c r="D72" s="27"/>
      <c r="E72" s="4"/>
      <c r="F72" s="28"/>
      <c r="G72" s="28"/>
      <c r="H72" s="28"/>
    </row>
    <row r="73" spans="1:9" s="24" customFormat="1" ht="16" hidden="1" customHeight="1">
      <c r="A73" s="4"/>
    </row>
    <row r="74" spans="1:9" ht="16" hidden="1" customHeight="1">
      <c r="A74"/>
      <c r="B74" s="24"/>
      <c r="C74" s="24"/>
      <c r="D74" s="24"/>
      <c r="E74" s="24"/>
      <c r="F74" s="24"/>
      <c r="G74" s="24"/>
      <c r="H74" s="24"/>
      <c r="I74" s="24"/>
    </row>
    <row r="75" spans="1:9" ht="16" hidden="1" customHeight="1">
      <c r="A75"/>
    </row>
    <row r="76" spans="1:9" ht="16" hidden="1" customHeight="1"/>
  </sheetData>
  <sheetProtection sheet="1" objects="1" scenarios="1"/>
  <mergeCells count="15">
    <mergeCell ref="B64:C64"/>
    <mergeCell ref="B65:C65"/>
    <mergeCell ref="B67:C67"/>
    <mergeCell ref="B68:C68"/>
    <mergeCell ref="B59:C59"/>
    <mergeCell ref="B60:C60"/>
    <mergeCell ref="B61:C61"/>
    <mergeCell ref="B62:C62"/>
    <mergeCell ref="B63:C63"/>
    <mergeCell ref="B2:H2"/>
    <mergeCell ref="B47:H47"/>
    <mergeCell ref="E3:G3"/>
    <mergeCell ref="B57:C57"/>
    <mergeCell ref="B58:C58"/>
    <mergeCell ref="B48:H48"/>
  </mergeCells>
  <conditionalFormatting sqref="E4">
    <cfRule type="expression" dxfId="4" priority="3">
      <formula>$G$1="no"</formula>
    </cfRule>
  </conditionalFormatting>
  <conditionalFormatting sqref="E8">
    <cfRule type="expression" dxfId="3" priority="2">
      <formula>$G$1="no"</formula>
    </cfRule>
  </conditionalFormatting>
  <conditionalFormatting sqref="E39">
    <cfRule type="expression" dxfId="2" priority="1">
      <formula>$G$1="no"</formula>
    </cfRule>
  </conditionalFormatting>
  <hyperlinks>
    <hyperlink ref="B48" r:id="rId1" display="muext.us/MissouriAgBudgets" xr:uid="{AF751463-38BE-405D-B212-D851A708368B}"/>
  </hyperlinks>
  <pageMargins left="0.7" right="0.7" top="0.75" bottom="0.75" header="0.3" footer="0.3"/>
  <pageSetup scale="83"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95F7E-0FF1-4027-B3F0-598DF36CC945}">
  <sheetPr codeName="Sheet3">
    <pageSetUpPr fitToPage="1"/>
  </sheetPr>
  <dimension ref="A1:L36"/>
  <sheetViews>
    <sheetView showGridLines="0" workbookViewId="0">
      <selection activeCell="E3" sqref="E3:K3"/>
    </sheetView>
  </sheetViews>
  <sheetFormatPr defaultColWidth="0" defaultRowHeight="14.5" zeroHeight="1"/>
  <cols>
    <col min="1" max="1" width="3.08203125" customWidth="1"/>
    <col min="2" max="2" width="8.58203125" customWidth="1"/>
    <col min="3" max="3" width="10.08203125" customWidth="1"/>
    <col min="4" max="4" width="10.33203125" customWidth="1"/>
    <col min="5" max="5" width="11.83203125" customWidth="1"/>
    <col min="6" max="6" width="9.75" bestFit="1" customWidth="1"/>
    <col min="7" max="7" width="9.08203125" bestFit="1" customWidth="1"/>
    <col min="8" max="8" width="9.83203125" customWidth="1"/>
    <col min="9" max="9" width="11" customWidth="1"/>
    <col min="10" max="10" width="10" bestFit="1" customWidth="1"/>
    <col min="11" max="11" width="10.08203125" customWidth="1"/>
    <col min="12" max="12" width="3.08203125" customWidth="1"/>
    <col min="13" max="16384" width="8.58203125" hidden="1"/>
  </cols>
  <sheetData>
    <row r="1" spans="2:11" ht="16">
      <c r="B1" s="143" t="s">
        <v>105</v>
      </c>
      <c r="C1" s="143"/>
      <c r="D1" s="143"/>
      <c r="E1" s="143"/>
      <c r="F1" s="143"/>
      <c r="G1" s="143"/>
      <c r="H1" s="143"/>
      <c r="I1" s="143"/>
      <c r="J1" s="143"/>
      <c r="K1" s="143"/>
    </row>
    <row r="2" spans="2:11" ht="53.5" customHeight="1">
      <c r="B2" s="133" t="s">
        <v>106</v>
      </c>
      <c r="C2" s="133"/>
      <c r="D2" s="133"/>
      <c r="E2" s="133"/>
      <c r="F2" s="133"/>
      <c r="G2" s="133"/>
      <c r="H2" s="133"/>
      <c r="I2" s="133"/>
      <c r="J2" s="133"/>
      <c r="K2" s="133"/>
    </row>
    <row r="3" spans="2:11" ht="16.5" customHeight="1">
      <c r="B3" s="13"/>
      <c r="C3" s="14"/>
      <c r="D3" s="18"/>
      <c r="E3" s="152" t="str">
        <f>"Yield heads per "&amp;FIXED(Budget!D53,0,FALSE)&amp;" square feet"</f>
        <v>Yield heads per 2,000 square feet</v>
      </c>
      <c r="F3" s="148"/>
      <c r="G3" s="148"/>
      <c r="H3" s="148"/>
      <c r="I3" s="148"/>
      <c r="J3" s="148"/>
      <c r="K3" s="149"/>
    </row>
    <row r="4" spans="2:11" ht="16.5" customHeight="1">
      <c r="B4" s="15"/>
      <c r="C4" s="16"/>
      <c r="D4" s="19"/>
      <c r="E4" s="117" t="s">
        <v>25</v>
      </c>
      <c r="F4" s="117" t="s">
        <v>24</v>
      </c>
      <c r="G4" s="117" t="s">
        <v>20</v>
      </c>
      <c r="H4" s="117" t="s">
        <v>18</v>
      </c>
      <c r="I4" s="117" t="s">
        <v>16</v>
      </c>
      <c r="J4" s="117" t="s">
        <v>22</v>
      </c>
      <c r="K4" s="118" t="s">
        <v>23</v>
      </c>
    </row>
    <row r="5" spans="2:11" ht="16.5" customHeight="1">
      <c r="B5" s="20"/>
      <c r="C5" s="21"/>
      <c r="D5" s="7"/>
      <c r="E5" s="114">
        <f>H5*70%</f>
        <v>909.99999999999989</v>
      </c>
      <c r="F5" s="114">
        <f>H5*80%</f>
        <v>1040</v>
      </c>
      <c r="G5" s="114">
        <f>H5*90%</f>
        <v>1170</v>
      </c>
      <c r="H5" s="115">
        <f>Budget!E5</f>
        <v>1300</v>
      </c>
      <c r="I5" s="114">
        <f>H5*110%</f>
        <v>1430.0000000000002</v>
      </c>
      <c r="J5" s="114">
        <f>H5*120%</f>
        <v>1560</v>
      </c>
      <c r="K5" s="116">
        <f>H5*130%</f>
        <v>1690</v>
      </c>
    </row>
    <row r="6" spans="2:11" ht="16.5" customHeight="1">
      <c r="B6" s="145" t="s">
        <v>90</v>
      </c>
      <c r="C6" s="108" t="s">
        <v>21</v>
      </c>
      <c r="D6" s="109">
        <f>D9*85%</f>
        <v>1.5895000000000001</v>
      </c>
      <c r="E6" s="94">
        <f>(D6*$E$5)-Budget!$G$43</f>
        <v>-618.66080648683442</v>
      </c>
      <c r="F6" s="95">
        <f>(D6*$F$5)-Budget!$G$43</f>
        <v>-412.0258064868342</v>
      </c>
      <c r="G6" s="95">
        <f>(D6*$G$5)-Budget!$G$43</f>
        <v>-205.39080648683421</v>
      </c>
      <c r="H6" s="95">
        <f>(D6*$H$5)-Budget!$G$43</f>
        <v>1.2441935131660102</v>
      </c>
      <c r="I6" s="95">
        <f>(D6*$I$5)-Budget!$G$43</f>
        <v>207.87919351316623</v>
      </c>
      <c r="J6" s="95">
        <f>(D6*$J$5)-Budget!$G$43</f>
        <v>414.51419351316599</v>
      </c>
      <c r="K6" s="96">
        <f>(D6*$K$5)-Budget!$G$43</f>
        <v>621.14919351316576</v>
      </c>
    </row>
    <row r="7" spans="2:11" ht="16.5" customHeight="1">
      <c r="B7" s="145"/>
      <c r="C7" s="108" t="s">
        <v>20</v>
      </c>
      <c r="D7" s="109">
        <f>D9*90%</f>
        <v>1.6830000000000001</v>
      </c>
      <c r="E7" s="97">
        <f>(D7*$E$5)-Budget!$G$43</f>
        <v>-533.57580648683461</v>
      </c>
      <c r="F7" s="98">
        <f>(D7*$F$5)-Budget!$G$43</f>
        <v>-314.78580648683419</v>
      </c>
      <c r="G7" s="98">
        <f>(D7*$G$5)-Budget!$G$43</f>
        <v>-95.995806486834226</v>
      </c>
      <c r="H7" s="98">
        <f>(D7*$H$5)-Budget!$G$43</f>
        <v>122.79419351316574</v>
      </c>
      <c r="I7" s="98">
        <f>(D7*$I$5)-Budget!$G$43</f>
        <v>341.58419351316616</v>
      </c>
      <c r="J7" s="98">
        <f>(D7*$J$5)-Budget!$G$43</f>
        <v>560.37419351316566</v>
      </c>
      <c r="K7" s="99">
        <f>(D7*$K$5)-Budget!$G$43</f>
        <v>779.16419351316563</v>
      </c>
    </row>
    <row r="8" spans="2:11" ht="16.5" customHeight="1" thickBot="1">
      <c r="B8" s="145"/>
      <c r="C8" s="110" t="s">
        <v>19</v>
      </c>
      <c r="D8" s="109">
        <f>D9*0.95</f>
        <v>1.7765</v>
      </c>
      <c r="E8" s="97">
        <f>(D8*$E$5)-Budget!$G$43</f>
        <v>-448.49080648683457</v>
      </c>
      <c r="F8" s="98">
        <f>(D8*$F$5)-Budget!$G$43</f>
        <v>-217.54580648683441</v>
      </c>
      <c r="G8" s="98">
        <f>(D8*$G$5)-Budget!$G$43</f>
        <v>13.399193513165756</v>
      </c>
      <c r="H8" s="98">
        <f>(D8*$H$5)-Budget!$G$43</f>
        <v>244.34419351316546</v>
      </c>
      <c r="I8" s="98">
        <f>(D8*$I$5)-Budget!$G$43</f>
        <v>475.28919351316608</v>
      </c>
      <c r="J8" s="98">
        <f>(D8*$J$5)-Budget!$G$43</f>
        <v>706.23419351316579</v>
      </c>
      <c r="K8" s="99">
        <f>(D8*$K$5)-Budget!$G$43</f>
        <v>937.1791935131655</v>
      </c>
    </row>
    <row r="9" spans="2:11" ht="16.5" customHeight="1" thickBot="1">
      <c r="B9" s="145"/>
      <c r="C9" s="108" t="s">
        <v>18</v>
      </c>
      <c r="D9" s="111">
        <f>Budget!F5</f>
        <v>1.87</v>
      </c>
      <c r="E9" s="97">
        <f>(D9*$E$5)-Budget!$G$43</f>
        <v>-363.40580648683454</v>
      </c>
      <c r="F9" s="98">
        <f>(D9*$F$5)-Budget!$G$43</f>
        <v>-120.30580648683417</v>
      </c>
      <c r="G9" s="98">
        <f>(D9*$G$5)-Budget!$G$43</f>
        <v>122.79419351316574</v>
      </c>
      <c r="H9" s="100">
        <f>(D9*$H$5)-Budget!$G$43</f>
        <v>365.89419351316565</v>
      </c>
      <c r="I9" s="98">
        <f>(D9*$I$5)-Budget!$G$43</f>
        <v>608.99419351316601</v>
      </c>
      <c r="J9" s="98">
        <f>(D9*$J$5)-Budget!$G$43</f>
        <v>852.09419351316592</v>
      </c>
      <c r="K9" s="99">
        <f>(D9*$K$5)-Budget!$G$43</f>
        <v>1095.1941935131658</v>
      </c>
    </row>
    <row r="10" spans="2:11" ht="16.5" customHeight="1">
      <c r="B10" s="145"/>
      <c r="C10" s="108" t="s">
        <v>17</v>
      </c>
      <c r="D10" s="109">
        <f>D9*105%</f>
        <v>1.9635000000000002</v>
      </c>
      <c r="E10" s="97">
        <f>(D10*$E$5)-Budget!$G$43</f>
        <v>-278.32080648683427</v>
      </c>
      <c r="F10" s="98">
        <f>(D10*$F$5)-Budget!$G$43</f>
        <v>-23.065806486834163</v>
      </c>
      <c r="G10" s="98">
        <f>(D10*$G$5)-Budget!$G$43</f>
        <v>232.18919351316572</v>
      </c>
      <c r="H10" s="98">
        <f>(D10*$H$5)-Budget!$G$43</f>
        <v>487.44419351316583</v>
      </c>
      <c r="I10" s="98">
        <f>(D10*$I$5)-Budget!$G$43</f>
        <v>742.69919351316639</v>
      </c>
      <c r="J10" s="98">
        <f>(D10*$J$5)-Budget!$G$43</f>
        <v>997.95419351316605</v>
      </c>
      <c r="K10" s="99">
        <f>(D10*$K$5)-Budget!$G$43</f>
        <v>1253.2091935131662</v>
      </c>
    </row>
    <row r="11" spans="2:11" ht="16.5" customHeight="1">
      <c r="B11" s="145"/>
      <c r="C11" s="108" t="s">
        <v>16</v>
      </c>
      <c r="D11" s="109">
        <f>D9*110%</f>
        <v>2.0570000000000004</v>
      </c>
      <c r="E11" s="97">
        <f>(D11*$E$5)-Budget!$G$43</f>
        <v>-193.23580648683424</v>
      </c>
      <c r="F11" s="98">
        <f>(D11*$F$5)-Budget!$G$43</f>
        <v>74.174193513165847</v>
      </c>
      <c r="G11" s="98">
        <f>(D11*$G$5)-Budget!$G$43</f>
        <v>341.58419351316616</v>
      </c>
      <c r="H11" s="98">
        <f>(D11*$H$5)-Budget!$G$43</f>
        <v>608.99419351316601</v>
      </c>
      <c r="I11" s="98">
        <f>(D11*$I$5)-Budget!$G$43</f>
        <v>876.40419351316677</v>
      </c>
      <c r="J11" s="98">
        <f>(D11*$J$5)-Budget!$G$43</f>
        <v>1143.8141935131662</v>
      </c>
      <c r="K11" s="99">
        <f>(D11*$K$5)-Budget!$G$43</f>
        <v>1411.2241935131665</v>
      </c>
    </row>
    <row r="12" spans="2:11" ht="16.5" customHeight="1">
      <c r="B12" s="146"/>
      <c r="C12" s="112" t="s">
        <v>15</v>
      </c>
      <c r="D12" s="113">
        <f>D9*115%</f>
        <v>2.1505000000000001</v>
      </c>
      <c r="E12" s="102">
        <f>(D12*$E$5)-Budget!$G$43</f>
        <v>-108.15080648683443</v>
      </c>
      <c r="F12" s="103">
        <f>(D12*$F$5)-Budget!$G$43</f>
        <v>171.41419351316563</v>
      </c>
      <c r="G12" s="103">
        <f>(D12*$G$5)-Budget!$G$43</f>
        <v>450.97919351316568</v>
      </c>
      <c r="H12" s="103">
        <f>(D12*$H$5)-Budget!$G$43</f>
        <v>730.54419351316574</v>
      </c>
      <c r="I12" s="103">
        <f>(D12*$I$5)-Budget!$G$43</f>
        <v>1010.1091935131662</v>
      </c>
      <c r="J12" s="103">
        <f>(D12*$J$5)-Budget!$G$43</f>
        <v>1289.6741935131658</v>
      </c>
      <c r="K12" s="104">
        <f>(D12*$K$5)-Budget!$G$43</f>
        <v>1569.2391935131659</v>
      </c>
    </row>
    <row r="13" spans="2:11" ht="16.5" customHeight="1">
      <c r="B13" s="5"/>
      <c r="C13" s="5"/>
      <c r="D13" s="5"/>
      <c r="E13" s="5"/>
      <c r="F13" s="5"/>
      <c r="G13" s="5"/>
      <c r="H13" s="5"/>
      <c r="I13" s="5"/>
      <c r="J13" s="5"/>
      <c r="K13" s="5"/>
    </row>
    <row r="14" spans="2:11" ht="16.5" customHeight="1">
      <c r="B14" s="143" t="s">
        <v>108</v>
      </c>
      <c r="C14" s="143"/>
      <c r="D14" s="143"/>
      <c r="E14" s="143"/>
      <c r="F14" s="143"/>
      <c r="G14" s="143"/>
      <c r="H14" s="143"/>
      <c r="I14" s="143"/>
      <c r="J14" s="143"/>
      <c r="K14" s="143"/>
    </row>
    <row r="15" spans="2:11" ht="33.65" customHeight="1">
      <c r="B15" s="133" t="s">
        <v>107</v>
      </c>
      <c r="C15" s="133"/>
      <c r="D15" s="133"/>
      <c r="E15" s="133"/>
      <c r="F15" s="133"/>
      <c r="G15" s="133"/>
      <c r="H15" s="133"/>
      <c r="I15" s="133"/>
      <c r="J15" s="133"/>
      <c r="K15" s="133"/>
    </row>
    <row r="16" spans="2:11" ht="16.5" customHeight="1">
      <c r="B16" s="13"/>
      <c r="C16" s="22"/>
      <c r="D16" s="22"/>
      <c r="E16" s="147" t="s">
        <v>2</v>
      </c>
      <c r="F16" s="148"/>
      <c r="G16" s="148"/>
      <c r="H16" s="148"/>
      <c r="I16" s="148"/>
      <c r="J16" s="148"/>
      <c r="K16" s="149"/>
    </row>
    <row r="17" spans="2:11" ht="16.5" customHeight="1">
      <c r="B17" s="17"/>
      <c r="C17" s="6"/>
      <c r="D17" s="8"/>
      <c r="E17" s="105" t="s">
        <v>21</v>
      </c>
      <c r="F17" s="106" t="s">
        <v>20</v>
      </c>
      <c r="G17" s="106" t="s">
        <v>19</v>
      </c>
      <c r="H17" s="106" t="s">
        <v>18</v>
      </c>
      <c r="I17" s="106" t="s">
        <v>17</v>
      </c>
      <c r="J17" s="106" t="s">
        <v>16</v>
      </c>
      <c r="K17" s="107" t="s">
        <v>15</v>
      </c>
    </row>
    <row r="18" spans="2:11" ht="16.5" customHeight="1">
      <c r="B18" s="150" t="s">
        <v>10</v>
      </c>
      <c r="C18" s="9"/>
      <c r="D18" s="93" t="s">
        <v>21</v>
      </c>
      <c r="E18" s="94">
        <f>(Budget!G6*0.85)-(Budget!G37*0.85)-Budget!G41</f>
        <v>267.37086427209437</v>
      </c>
      <c r="F18" s="95">
        <f>(Budget!G6*0.9)-(Budget!G37*0.85)-Budget!G41</f>
        <v>388.92086427209455</v>
      </c>
      <c r="G18" s="95">
        <f>(Budget!G6*0.95)-(Budget!G37*0.85)-Budget!G41</f>
        <v>510.47086427209427</v>
      </c>
      <c r="H18" s="95">
        <f>Budget!G6-(Budget!G37*0.85)-Budget!G41</f>
        <v>632.02086427209451</v>
      </c>
      <c r="I18" s="95">
        <f>(Budget!G6*1.05)-(Budget!G37*0.85)-Budget!G41</f>
        <v>753.5708642720947</v>
      </c>
      <c r="J18" s="95">
        <f>(Budget!G6*1.1)-(Budget!G37*0.85)-Budget!G41</f>
        <v>875.12086427209488</v>
      </c>
      <c r="K18" s="96">
        <f>(Budget!G6*1.15)-(Budget!G37*0.85)-Budget!G41</f>
        <v>996.67086427209415</v>
      </c>
    </row>
    <row r="19" spans="2:11" ht="16.5" customHeight="1">
      <c r="B19" s="150"/>
      <c r="C19" s="9"/>
      <c r="D19" s="93" t="s">
        <v>20</v>
      </c>
      <c r="E19" s="97">
        <f>(Budget!G6*0.85)-(Budget!G37*0.9)-Budget!G41</f>
        <v>178.66197401911808</v>
      </c>
      <c r="F19" s="98">
        <f>(Budget!G6*0.9)-(Budget!G37*0.9)-Budget!G41</f>
        <v>300.21197401911826</v>
      </c>
      <c r="G19" s="98">
        <f>(Budget!G6*0.95)-(Budget!G37*0.9)-Budget!G41</f>
        <v>421.76197401911799</v>
      </c>
      <c r="H19" s="98">
        <f>Budget!G6-(Budget!G37*0.9)-Budget!G41</f>
        <v>543.31197401911822</v>
      </c>
      <c r="I19" s="98">
        <f>(Budget!G6*1.05)-(Budget!G37*0.9)-Budget!G41</f>
        <v>664.86197401911841</v>
      </c>
      <c r="J19" s="98">
        <f>(Budget!G6*1.1)-(Budget!G37*0.9)-Budget!G41</f>
        <v>786.41197401911859</v>
      </c>
      <c r="K19" s="99">
        <f>(Budget!G6*1.15)-(Budget!G37*0.9)-Budget!G41</f>
        <v>907.96197401911786</v>
      </c>
    </row>
    <row r="20" spans="2:11" ht="16.5" customHeight="1" thickBot="1">
      <c r="B20" s="150"/>
      <c r="C20" s="9"/>
      <c r="D20" s="93" t="s">
        <v>19</v>
      </c>
      <c r="E20" s="97">
        <f>(Budget!G6*0.85)-(Budget!G37*0.95)-Budget!G41</f>
        <v>89.953083766142015</v>
      </c>
      <c r="F20" s="98">
        <f>(Budget!G6*0.9)-(Budget!G37*0.95)-Budget!G41</f>
        <v>211.5030837661422</v>
      </c>
      <c r="G20" s="98">
        <f>(Budget!G6*0.95)-(Budget!G37*0.95)-Budget!G41</f>
        <v>333.05308376614192</v>
      </c>
      <c r="H20" s="98">
        <f>Budget!G6-(Budget!G37*0.95)-Budget!G41</f>
        <v>454.60308376614211</v>
      </c>
      <c r="I20" s="98">
        <f>(Budget!G6*1.05)-(Budget!G37*0.95)-Budget!G41</f>
        <v>576.15308376614234</v>
      </c>
      <c r="J20" s="98">
        <f>(Budget!G6*1.1)-(Budget!G37*0.95)-Budget!G41</f>
        <v>697.70308376614253</v>
      </c>
      <c r="K20" s="99">
        <f>(Budget!G6*1.15)-(Budget!G37*0.95)-Budget!G41</f>
        <v>819.2530837661418</v>
      </c>
    </row>
    <row r="21" spans="2:11" ht="16.5" customHeight="1" thickBot="1">
      <c r="B21" s="150"/>
      <c r="C21" s="9"/>
      <c r="D21" s="93" t="s">
        <v>18</v>
      </c>
      <c r="E21" s="97">
        <f>(Budget!G6*0.85)-Budget!G37-Budget!GG46</f>
        <v>292.17219494047595</v>
      </c>
      <c r="F21" s="98">
        <f>(Budget!G6*0.9)-(Budget!G37)-Budget!G41</f>
        <v>122.79419351316591</v>
      </c>
      <c r="G21" s="98">
        <f>(Budget!G6*0.95)-(Budget!G37)-Budget!G41</f>
        <v>244.34419351316564</v>
      </c>
      <c r="H21" s="100">
        <f>Budget!G6-(Budget!G37)-Budget!G41</f>
        <v>365.89419351316582</v>
      </c>
      <c r="I21" s="98">
        <f>(Budget!G6*1.05)-(Budget!G37)-Budget!G41</f>
        <v>487.444193513166</v>
      </c>
      <c r="J21" s="98">
        <f>(Budget!G6*1.1)-(Budget!G37)-Budget!G41</f>
        <v>608.99419351316624</v>
      </c>
      <c r="K21" s="99">
        <f>(Budget!G6*1.15)-(Budget!G37)-Budget!G41</f>
        <v>730.54419351316551</v>
      </c>
    </row>
    <row r="22" spans="2:11" ht="16.5" customHeight="1">
      <c r="B22" s="150"/>
      <c r="C22" s="9"/>
      <c r="D22" s="93" t="s">
        <v>17</v>
      </c>
      <c r="E22" s="97">
        <f>(Budget!G6*0.85)-(Budget!G37*1.05)-Budget!G41</f>
        <v>-87.464696739810563</v>
      </c>
      <c r="F22" s="98">
        <f>(Budget!G6*0.9)-(Budget!G37*1.05)-Budget!G41</f>
        <v>34.085303260189619</v>
      </c>
      <c r="G22" s="98">
        <f>(Budget!G6*0.95)-(Budget!G37*1.05)-Budget!G41</f>
        <v>155.63530326018935</v>
      </c>
      <c r="H22" s="98">
        <f>Budget!G6-(Budget!G37*1.05)-Budget!G41</f>
        <v>277.18530326018953</v>
      </c>
      <c r="I22" s="98">
        <f>(Budget!G6*1.05)-(Budget!G37*1.05)-Budget!G41</f>
        <v>398.73530326018971</v>
      </c>
      <c r="J22" s="98">
        <f>(Budget!G6*1.1)-(Budget!G37*1.05)-Budget!G41</f>
        <v>520.28530326018995</v>
      </c>
      <c r="K22" s="99">
        <f>(Budget!G6*1.15)-(Budget!G37*1.05)-Budget!G41</f>
        <v>641.83530326018922</v>
      </c>
    </row>
    <row r="23" spans="2:11" ht="16.5" customHeight="1">
      <c r="B23" s="150"/>
      <c r="C23" s="9"/>
      <c r="D23" s="93" t="s">
        <v>16</v>
      </c>
      <c r="E23" s="97">
        <f>(Budget!G6*0.85)-(Budget!G37*1.1)-Budget!G41</f>
        <v>-176.17358699278685</v>
      </c>
      <c r="F23" s="98">
        <f>(Budget!G6*0.9)-(Budget!G37*1.1)-Budget!G41</f>
        <v>-54.62358699278667</v>
      </c>
      <c r="G23" s="98">
        <f>(Budget!G6*0.95)-(Budget!G37*1.1)-Budget!G41</f>
        <v>66.926413007213057</v>
      </c>
      <c r="H23" s="98">
        <f>Budget!G6-(Budget!G37*1.1)-Budget!G41</f>
        <v>188.47641300721324</v>
      </c>
      <c r="I23" s="98">
        <f>(Budget!G6*1.05)-(Budget!G37*1.1)-Budget!G41</f>
        <v>310.02641300721342</v>
      </c>
      <c r="J23" s="98">
        <f>(Budget!G6*1.1)-(Budget!G37*1.1)-Budget!G41</f>
        <v>431.5764130072136</v>
      </c>
      <c r="K23" s="99">
        <f>(Budget!G6*1.15)-(Budget!G37*1.1)-Budget!G41</f>
        <v>553.12641300721293</v>
      </c>
    </row>
    <row r="24" spans="2:11" ht="16.5" customHeight="1">
      <c r="B24" s="151"/>
      <c r="C24" s="23"/>
      <c r="D24" s="101" t="s">
        <v>15</v>
      </c>
      <c r="E24" s="102">
        <f>(Budget!G6*0.85)-(Budget!G37*1.15)-Budget!G41</f>
        <v>-264.88247724576269</v>
      </c>
      <c r="F24" s="103">
        <f>(Budget!G6*0.9)-(Budget!G37*1.15)-Budget!G41</f>
        <v>-143.3324772457625</v>
      </c>
      <c r="G24" s="103">
        <f>(Budget!G6*0.95)-(Budget!G37*1.15)-Budget!G41</f>
        <v>-21.782477245762777</v>
      </c>
      <c r="H24" s="103">
        <f>Budget!G6-(Budget!G37*1.15)-Budget!G41</f>
        <v>99.767522754237405</v>
      </c>
      <c r="I24" s="103">
        <f>(Budget!G6*1.05)-(Budget!G37*1.15)-Budget!G41</f>
        <v>221.31752275423759</v>
      </c>
      <c r="J24" s="103">
        <f>(Budget!G6*1.1)-(Budget!G37*1.15)-Budget!G41</f>
        <v>342.86752275423777</v>
      </c>
      <c r="K24" s="104">
        <f>(Budget!G6*1.15)-(Budget!G37*1.15)-Budget!G41</f>
        <v>464.41752275423704</v>
      </c>
    </row>
    <row r="25" spans="2:11" ht="9" hidden="1" customHeight="1">
      <c r="B25" s="5"/>
      <c r="C25" s="5"/>
      <c r="D25" s="5"/>
      <c r="E25" s="5"/>
      <c r="F25" s="5"/>
      <c r="G25" s="5"/>
      <c r="H25" s="5"/>
      <c r="I25" s="5"/>
      <c r="J25" s="5"/>
      <c r="K25" s="5"/>
    </row>
    <row r="26" spans="2:11" ht="14.5" hidden="1" customHeight="1"/>
    <row r="28" spans="2:11" ht="32.15" hidden="1" customHeight="1"/>
    <row r="29" spans="2:11" ht="16" hidden="1">
      <c r="B29" s="144"/>
      <c r="C29" s="144"/>
      <c r="D29" s="144"/>
      <c r="E29" s="144"/>
      <c r="F29" s="144"/>
      <c r="G29" s="144"/>
      <c r="H29" s="144"/>
      <c r="I29" s="144"/>
      <c r="J29" s="144"/>
      <c r="K29" s="144"/>
    </row>
    <row r="30" spans="2:11" ht="16" hidden="1">
      <c r="B30" s="144"/>
      <c r="C30" s="144"/>
      <c r="D30" s="144"/>
      <c r="E30" s="144"/>
      <c r="F30" s="144"/>
      <c r="G30" s="144"/>
      <c r="H30" s="144"/>
      <c r="I30" s="144"/>
      <c r="J30" s="144"/>
      <c r="K30" s="144"/>
    </row>
    <row r="31" spans="2:11" ht="16" hidden="1">
      <c r="B31" s="92"/>
      <c r="C31" s="92"/>
      <c r="D31" s="92"/>
      <c r="E31" s="92"/>
      <c r="F31" s="92"/>
      <c r="G31" s="92"/>
      <c r="H31" s="92"/>
      <c r="I31" s="92"/>
      <c r="J31" s="92"/>
      <c r="K31" s="92"/>
    </row>
    <row r="32" spans="2:11" ht="16" hidden="1">
      <c r="G32" s="5"/>
      <c r="H32" s="5"/>
      <c r="I32" s="5"/>
      <c r="J32" s="5"/>
      <c r="K32" s="5"/>
    </row>
    <row r="33" spans="7:11" ht="16" hidden="1">
      <c r="G33" s="5"/>
      <c r="H33" s="5"/>
      <c r="I33" s="5"/>
      <c r="J33" s="5"/>
      <c r="K33" s="5"/>
    </row>
    <row r="34" spans="7:11" ht="16" hidden="1">
      <c r="G34" s="5"/>
      <c r="H34" s="5"/>
      <c r="I34" s="5"/>
      <c r="J34" s="5"/>
      <c r="K34" s="5"/>
    </row>
    <row r="35" spans="7:11" ht="16" hidden="1">
      <c r="G35" s="5"/>
      <c r="H35" s="5"/>
      <c r="I35" s="5"/>
      <c r="J35" s="5"/>
      <c r="K35" s="5"/>
    </row>
    <row r="36" spans="7:11" ht="16" hidden="1">
      <c r="G36" s="5"/>
      <c r="H36" s="5"/>
      <c r="I36" s="5"/>
      <c r="J36" s="5"/>
      <c r="K36" s="5"/>
    </row>
  </sheetData>
  <sheetProtection sheet="1" objects="1" scenarios="1"/>
  <mergeCells count="10">
    <mergeCell ref="B1:K1"/>
    <mergeCell ref="B14:K14"/>
    <mergeCell ref="B29:K29"/>
    <mergeCell ref="B30:K30"/>
    <mergeCell ref="B6:B12"/>
    <mergeCell ref="E16:K16"/>
    <mergeCell ref="B18:B24"/>
    <mergeCell ref="B2:K2"/>
    <mergeCell ref="B15:K15"/>
    <mergeCell ref="E3:K3"/>
  </mergeCells>
  <conditionalFormatting sqref="E6:K12">
    <cfRule type="cellIs" dxfId="1" priority="2" operator="lessThan">
      <formula>0</formula>
    </cfRule>
  </conditionalFormatting>
  <conditionalFormatting sqref="E18:K24">
    <cfRule type="cellIs" dxfId="0" priority="1" operator="lessThan">
      <formula>0</formula>
    </cfRule>
  </conditionalFormatting>
  <pageMargins left="0.7" right="0.7" top="0.75" bottom="0.75" header="0.3" footer="0.3"/>
  <pageSetup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fba6830-88fc-4660-8252-66421c0ed606">
      <Terms xmlns="http://schemas.microsoft.com/office/infopath/2007/PartnerControls"/>
    </lcf76f155ced4ddcb4097134ff3c332f>
    <TaxCatchAll xmlns="68029b82-de8b-4bb8-a3ab-fd0183ed5d7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8E1293EDA749C499D09F25756402A22" ma:contentTypeVersion="18" ma:contentTypeDescription="Create a new document." ma:contentTypeScope="" ma:versionID="5d5302aff14df483c43236a570fa4496">
  <xsd:schema xmlns:xsd="http://www.w3.org/2001/XMLSchema" xmlns:xs="http://www.w3.org/2001/XMLSchema" xmlns:p="http://schemas.microsoft.com/office/2006/metadata/properties" xmlns:ns2="efba6830-88fc-4660-8252-66421c0ed606" xmlns:ns3="68029b82-de8b-4bb8-a3ab-fd0183ed5d77" targetNamespace="http://schemas.microsoft.com/office/2006/metadata/properties" ma:root="true" ma:fieldsID="e4ef6fd8f4a36105861edc94ec9f0e2c" ns2:_="" ns3:_="">
    <xsd:import namespace="efba6830-88fc-4660-8252-66421c0ed606"/>
    <xsd:import namespace="68029b82-de8b-4bb8-a3ab-fd0183ed5d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ba6830-88fc-4660-8252-66421c0ed6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029b82-de8b-4bb8-a3ab-fd0183ed5d7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298e622-2bdb-4ed5-999f-2e6ceaea9292}" ma:internalName="TaxCatchAll" ma:showField="CatchAllData" ma:web="68029b82-de8b-4bb8-a3ab-fd0183ed5d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3F0A06-9F9F-49EF-8C3D-05FBF50BAEB2}">
  <ds:schemaRefs>
    <ds:schemaRef ds:uri="http://schemas.microsoft.com/sharepoint/v3/contenttype/forms"/>
  </ds:schemaRefs>
</ds:datastoreItem>
</file>

<file path=customXml/itemProps2.xml><?xml version="1.0" encoding="utf-8"?>
<ds:datastoreItem xmlns:ds="http://schemas.openxmlformats.org/officeDocument/2006/customXml" ds:itemID="{29E28324-32A9-4154-8247-D3B1E0DB2445}">
  <ds:schemaRefs>
    <ds:schemaRef ds:uri="http://schemas.microsoft.com/office/2006/metadata/properties"/>
    <ds:schemaRef ds:uri="http://schemas.microsoft.com/office/infopath/2007/PartnerControls"/>
    <ds:schemaRef ds:uri="afeaba0f-363c-487a-9eab-504fb0ae0068"/>
    <ds:schemaRef ds:uri="3cf54786-5cbe-4eed-9d82-be7bae57988e"/>
    <ds:schemaRef ds:uri="efba6830-88fc-4660-8252-66421c0ed606"/>
    <ds:schemaRef ds:uri="68029b82-de8b-4bb8-a3ab-fd0183ed5d77"/>
  </ds:schemaRefs>
</ds:datastoreItem>
</file>

<file path=customXml/itemProps3.xml><?xml version="1.0" encoding="utf-8"?>
<ds:datastoreItem xmlns:ds="http://schemas.openxmlformats.org/officeDocument/2006/customXml" ds:itemID="{97B79B46-CB98-4F52-9A3A-F28CC7BEA7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ba6830-88fc-4660-8252-66421c0ed606"/>
    <ds:schemaRef ds:uri="68029b82-de8b-4bb8-a3ab-fd0183ed5d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Budget</vt:lpstr>
      <vt:lpstr>Financial Sensitivity</vt:lpstr>
      <vt:lpstr>Budget!Print_Area</vt:lpstr>
      <vt:lpstr>'Financial Sensitivity'!Print_Area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Kruse</dc:creator>
  <cp:keywords/>
  <dc:description/>
  <cp:lastModifiedBy>Rahe, Mallory</cp:lastModifiedBy>
  <cp:revision/>
  <cp:lastPrinted>2025-08-25T13:51:40Z</cp:lastPrinted>
  <dcterms:created xsi:type="dcterms:W3CDTF">2020-07-30T17:48:44Z</dcterms:created>
  <dcterms:modified xsi:type="dcterms:W3CDTF">2025-10-07T14:26:26Z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0x010100C8E1293EDA749C499D09F25756402A22</vt:lpwstr>
  </property>
  <property fmtid="{D5CDD505-2E9C-101B-9397-08002B2CF9AE}" pid="3" name="MediaServiceImageTags">
    <vt:lpwstr/>
  </property>
</Properties>
</file>