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Excel files ready for Final Checks/"/>
    </mc:Choice>
  </mc:AlternateContent>
  <xr:revisionPtr revIDLastSave="297" documentId="8_{4D38DB16-DD01-4038-9753-9E1A3B7833AD}" xr6:coauthVersionLast="47" xr6:coauthVersionMax="47" xr10:uidLastSave="{FFA0F86D-FB6C-458B-8C9C-4F4E4BF63D8F}"/>
  <bookViews>
    <workbookView xWindow="38280" yWindow="-120" windowWidth="38640" windowHeight="211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Budget!$B$2:$H$47,Budget!$B$49:$I$69</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32" i="1" l="1"/>
  <c r="F32" i="1"/>
  <c r="G4" i="1"/>
  <c r="G38" i="1" s="1"/>
  <c r="G8" i="1" l="1"/>
  <c r="G11" i="1"/>
  <c r="H11" i="1" s="1"/>
  <c r="G10" i="1"/>
  <c r="H10" i="1" s="1"/>
  <c r="G31" i="1"/>
  <c r="H31" i="1" s="1"/>
  <c r="E68" i="1" l="1"/>
  <c r="E69" i="1" s="1"/>
  <c r="F68" i="1"/>
  <c r="F69" i="1" s="1"/>
  <c r="D68" i="1"/>
  <c r="D69" i="1" s="1"/>
  <c r="G57" i="1"/>
  <c r="I57" i="1" s="1"/>
  <c r="G58" i="1"/>
  <c r="I58" i="1" s="1"/>
  <c r="G59" i="1"/>
  <c r="I59" i="1" s="1"/>
  <c r="G60" i="1"/>
  <c r="I60" i="1" s="1"/>
  <c r="G61" i="1"/>
  <c r="I61" i="1" s="1"/>
  <c r="G62" i="1"/>
  <c r="I62" i="1" s="1"/>
  <c r="G63" i="1"/>
  <c r="I63" i="1" s="1"/>
  <c r="G64" i="1"/>
  <c r="I64" i="1" s="1"/>
  <c r="G65" i="1"/>
  <c r="I65" i="1" s="1"/>
  <c r="G66" i="1"/>
  <c r="I66" i="1" s="1"/>
  <c r="G67" i="1"/>
  <c r="I67" i="1" s="1"/>
  <c r="G56" i="1"/>
  <c r="I56" i="1" s="1"/>
  <c r="G68" i="1" l="1"/>
  <c r="G69" i="1" s="1"/>
  <c r="I68" i="1"/>
  <c r="F39" i="1" l="1"/>
  <c r="I69" i="1"/>
  <c r="H34" i="1"/>
  <c r="G39" i="1" l="1"/>
  <c r="H39" i="1" s="1"/>
  <c r="G19" i="1"/>
  <c r="H19" i="1" s="1"/>
  <c r="G16" i="1"/>
  <c r="H16" i="1" s="1"/>
  <c r="G14" i="1"/>
  <c r="H14" i="1" s="1"/>
  <c r="G15" i="1"/>
  <c r="H15" i="1" s="1"/>
  <c r="G29" i="1"/>
  <c r="H29" i="1" s="1"/>
  <c r="G27" i="1"/>
  <c r="H27" i="1" s="1"/>
  <c r="G25" i="1"/>
  <c r="H25" i="1" s="1"/>
  <c r="G26" i="1"/>
  <c r="H26" i="1" s="1"/>
  <c r="G24" i="1"/>
  <c r="H24" i="1" s="1"/>
  <c r="G21" i="1"/>
  <c r="H21" i="1" s="1"/>
  <c r="G22" i="1"/>
  <c r="H22" i="1" s="1"/>
  <c r="G23" i="1"/>
  <c r="H23" i="1" s="1"/>
  <c r="G12" i="1"/>
  <c r="H12" i="1" s="1"/>
  <c r="H5" i="4" l="1"/>
  <c r="G18" i="1" l="1"/>
  <c r="H18" i="1" s="1"/>
  <c r="I5" i="4" l="1"/>
  <c r="D9" i="4"/>
  <c r="J5" i="4" l="1"/>
  <c r="K5" i="4"/>
  <c r="G5" i="4"/>
  <c r="F5" i="4"/>
  <c r="E5" i="4"/>
  <c r="D8" i="4"/>
  <c r="D10" i="4"/>
  <c r="D11" i="4"/>
  <c r="D7" i="4"/>
  <c r="D12" i="4"/>
  <c r="D6" i="4"/>
  <c r="G40" i="1" l="1"/>
  <c r="H40" i="1" s="1"/>
  <c r="G28" i="1" l="1"/>
  <c r="H28" i="1" s="1"/>
  <c r="G30" i="1"/>
  <c r="H30" i="1" s="1"/>
  <c r="G17" i="1"/>
  <c r="H17" i="1" s="1"/>
  <c r="G9" i="1"/>
  <c r="G5" i="1"/>
  <c r="H5" i="1" s="1"/>
  <c r="H9" i="1" l="1"/>
  <c r="G32" i="1"/>
  <c r="H32" i="1" s="1"/>
  <c r="G6" i="1"/>
  <c r="E33" i="1" s="1"/>
  <c r="G33" i="1" l="1"/>
  <c r="H33" i="1" s="1"/>
  <c r="G35" i="1" l="1"/>
  <c r="H35" i="1" s="1"/>
  <c r="G36" i="1" l="1"/>
  <c r="H36" i="1" s="1"/>
  <c r="I24" i="4"/>
  <c r="K21" i="4"/>
  <c r="J20" i="4"/>
  <c r="E19" i="4"/>
  <c r="H19" i="4"/>
  <c r="E18" i="4"/>
  <c r="J18" i="4"/>
  <c r="G23" i="4"/>
  <c r="F21" i="4"/>
  <c r="H23" i="4"/>
  <c r="H22" i="4"/>
  <c r="K23" i="4"/>
  <c r="J21" i="4"/>
  <c r="I23" i="4"/>
  <c r="F22" i="4"/>
  <c r="G20" i="4"/>
  <c r="K20" i="4"/>
  <c r="K24" i="4"/>
  <c r="J24" i="4"/>
  <c r="E24" i="4"/>
  <c r="H20" i="4"/>
  <c r="F18" i="4"/>
  <c r="G22" i="4"/>
  <c r="H24" i="4"/>
  <c r="F20" i="4"/>
  <c r="G19" i="4"/>
  <c r="G18" i="4"/>
  <c r="E20" i="4"/>
  <c r="J23" i="4"/>
  <c r="F23" i="4"/>
  <c r="I22" i="4"/>
  <c r="J19" i="4"/>
  <c r="K19" i="4"/>
  <c r="E23" i="4"/>
  <c r="K18" i="4"/>
  <c r="E22" i="4"/>
  <c r="H18" i="4"/>
  <c r="E21" i="4"/>
  <c r="I21" i="4"/>
  <c r="I20" i="4"/>
  <c r="F19" i="4"/>
  <c r="H21" i="4"/>
  <c r="J22" i="4"/>
  <c r="G24" i="4"/>
  <c r="I18" i="4"/>
  <c r="G21" i="4"/>
  <c r="I19" i="4"/>
  <c r="F24" i="4"/>
  <c r="K22" i="4"/>
  <c r="G42" i="1"/>
  <c r="G44" i="1"/>
  <c r="H44" i="1" s="1"/>
  <c r="H42" i="1" l="1"/>
  <c r="H11" i="4"/>
  <c r="H12" i="4"/>
  <c r="H9" i="4"/>
  <c r="H7" i="4"/>
  <c r="H8" i="4"/>
  <c r="H6" i="4"/>
  <c r="H10" i="4"/>
  <c r="I6" i="4"/>
  <c r="I7" i="4"/>
  <c r="I8" i="4"/>
  <c r="I9" i="4"/>
  <c r="I10" i="4"/>
  <c r="I11" i="4"/>
  <c r="I12" i="4"/>
  <c r="E7" i="4"/>
  <c r="K6" i="4"/>
  <c r="E8" i="4"/>
  <c r="K7" i="4"/>
  <c r="E9" i="4"/>
  <c r="K8" i="4"/>
  <c r="E10" i="4"/>
  <c r="K9" i="4"/>
  <c r="E6" i="4"/>
  <c r="K10" i="4"/>
  <c r="K11" i="4"/>
  <c r="E12" i="4"/>
  <c r="J6" i="4"/>
  <c r="F6" i="4"/>
  <c r="J7" i="4"/>
  <c r="J8" i="4"/>
  <c r="J9" i="4"/>
  <c r="J10" i="4"/>
  <c r="F10" i="4"/>
  <c r="J12" i="4"/>
  <c r="G12" i="4"/>
  <c r="G8" i="4"/>
  <c r="G9" i="4"/>
  <c r="G11" i="4"/>
  <c r="K12" i="4"/>
  <c r="F8" i="4"/>
  <c r="E11" i="4"/>
  <c r="F7" i="4"/>
  <c r="F9" i="4"/>
  <c r="J11" i="4"/>
  <c r="F12" i="4"/>
  <c r="G7" i="4"/>
  <c r="G10" i="4"/>
  <c r="G6" i="4"/>
  <c r="F11" i="4"/>
  <c r="G45" i="1"/>
  <c r="H45" i="1" s="1"/>
</calcChain>
</file>

<file path=xl/sharedStrings.xml><?xml version="1.0" encoding="utf-8"?>
<sst xmlns="http://schemas.openxmlformats.org/spreadsheetml/2006/main" count="154" uniqueCount="106">
  <si>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</si>
  <si>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</si>
  <si>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</si>
  <si>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</si>
  <si>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</si>
  <si>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</si>
  <si>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</si>
  <si>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</si>
  <si>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</si>
  <si>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</si>
  <si>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</si>
  <si>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</si>
  <si>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</si>
  <si>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</si>
  <si>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</si>
  <si>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</si>
  <si>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</si>
  <si>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</si>
  <si>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</si>
  <si>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</si>
  <si>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</si>
  <si>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</si>
  <si>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</si>
  <si>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</si>
  <si>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</si>
  <si>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</si>
  <si>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</si>
  <si>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</si>
  <si>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</si>
  <si>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</si>
  <si>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</si>
  <si>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</si>
  <si>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</si>
  <si>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</si>
  <si>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</si>
  <si>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</si>
  <si>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</si>
  <si>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</si>
  <si>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</si>
  <si>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</si>
  <si>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</si>
  <si>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 xml:space="preserve">Harvest </t>
  </si>
  <si>
    <t>Fertigation</t>
  </si>
  <si>
    <t>Lay beds</t>
  </si>
  <si>
    <t>Tilling</t>
  </si>
  <si>
    <t>Fertilizer spreading</t>
  </si>
  <si>
    <t>Planting</t>
  </si>
  <si>
    <t>Weeding</t>
  </si>
  <si>
    <t>Irrigation (setup and maint.)</t>
  </si>
  <si>
    <t>IPM scouting/application</t>
  </si>
  <si>
    <t xml:space="preserve">Fertilizer </t>
  </si>
  <si>
    <t>total</t>
  </si>
  <si>
    <t>Water soluble fertilizer</t>
  </si>
  <si>
    <t>Compost fertilizer</t>
  </si>
  <si>
    <t>Plastic mulch</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</si>
  <si>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</si>
  <si>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</si>
  <si>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</si>
  <si>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</si>
  <si>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</si>
  <si>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</si>
  <si>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</si>
  <si>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</si>
  <si>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</si>
  <si>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</si>
  <si>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</si>
  <si>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</si>
  <si>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</si>
  <si>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</si>
  <si>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</si>
  <si>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</si>
  <si>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</si>
  <si>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</si>
  <si>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</si>
  <si>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</si>
  <si>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</si>
  <si>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</si>
  <si>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</si>
  <si>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</si>
  <si>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 xml:space="preserve">Cucumber (High Tunnel) Enterprise Budget for Missouri </t>
  </si>
  <si>
    <t>Cucumbers</t>
  </si>
  <si>
    <t>Seeds</t>
  </si>
  <si>
    <t>cubic yard</t>
  </si>
  <si>
    <t>Cucumber (High Tunnel) Enterprise Budget</t>
  </si>
  <si>
    <t>Stringing</t>
  </si>
  <si>
    <t>Washing/packing/grading</t>
  </si>
  <si>
    <t>Growing media</t>
  </si>
  <si>
    <t>Pots</t>
  </si>
  <si>
    <t>String</t>
  </si>
  <si>
    <t>Operating interest</t>
  </si>
  <si>
    <t>percent</t>
  </si>
  <si>
    <t>Cost per square foot</t>
  </si>
  <si>
    <t>High tunnel utilization</t>
  </si>
  <si>
    <t>Value</t>
  </si>
  <si>
    <t>High tunnel size (total area)</t>
  </si>
  <si>
    <t>square feet</t>
  </si>
  <si>
    <t>High tunnel area used for this crop</t>
  </si>
  <si>
    <t xml:space="preserve">Explore estimated annual returns over total costs under varying revenue and cost scenarios in full production. </t>
  </si>
  <si>
    <t>muext.us/MissouriAgBudgets.</t>
  </si>
  <si>
    <t xml:space="preserve">Budget created by Peter Zimmel, Food and Agricultural Policy Institute (FAPRI). Prices were updated January 2025. Access online at </t>
  </si>
  <si>
    <t xml:space="preserve">Explore annual profitability expectations (per square foot area returns over total costs) under varying yield and price scenarios in full production and holding costs constant. </t>
  </si>
  <si>
    <t>Table 2. Capital investments used in Missouri high tunnel cucumber budget.</t>
  </si>
  <si>
    <t>This work is supported by the U.S. Department of Agriculture’s (USDA) Farm Service Agency through project award number FSA23CPT0012862. Its contents are solely the responsibility of the authors and do not necessarily represent the official views of the USDA.</t>
  </si>
  <si>
    <t xml:space="preserve">Table 3: Sensitivity analysis for Missouri high tunnel cucumber budget, income over total costs. </t>
  </si>
  <si>
    <t>Table 4: Sensisitivity analysis for Missouri high tunnel cucumber budget, operating costs and revenue.</t>
  </si>
  <si>
    <t>This budget models 2,000 square feet of high tunnel cucumber production under trickle irrigation. Cucumbers are sold by the pound into fresh markets at wholesale prices. Develop a customized budget by adjusting the assumptions in gray cells to match the management practices and expected yields and prices for your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</si>
</sst>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s>
  <fills count="5">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46">
    <xf numFmtId="0" fontId="0" fillId="0" borderId="0" xfId="0"/>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164" fontId="13" fillId="2" borderId="0" xfId="0" applyNumberFormat="1" applyFont="1" applyFill="1" applyProtection="1">
      <protection locked="0"/>
    </xf>
    <xf numFmtId="10" fontId="13" fillId="2" borderId="0" xfId="0" applyNumberFormat="1" applyFont="1" applyFill="1" applyProtection="1">
      <protection locked="0"/>
    </xf>
    <xf numFmtId="3" fontId="0" fillId="2" borderId="0" xfId="0" applyNumberFormat="1" applyFill="1" applyProtection="1">
      <protection locked="0"/>
    </xf>
    <xf numFmtId="0" fontId="13" fillId="0" borderId="0" xfId="0" applyFont="1"/>
    <xf numFmtId="0" fontId="13" fillId="0" borderId="0" xfId="0" applyFont="1" applyAlignment="1">
      <alignment wrapText="1"/>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Border="1" applyAlignment="1">
      <alignment horizontal="right"/>
    </xf>
    <xf numFmtId="3" fontId="13" fillId="0" borderId="1" xfId="0" applyNumberFormat="1" applyFont="1" applyBorder="1" applyAlignment="1">
      <alignment horizontal="right"/>
    </xf>
    <xf numFmtId="3" fontId="13" fillId="0" borderId="23" xfId="0" applyNumberFormat="1" applyFont="1" applyBorder="1" applyAlignment="1">
      <alignment horizontal="right"/>
    </xf>
    <xf numFmtId="0" fontId="18" fillId="0" borderId="0" xfId="0" applyFont="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Alignment="1">
      <alignment horizontal="center" vertical="center"/>
    </xf>
    <xf numFmtId="0" fontId="18" fillId="0" borderId="2" xfId="0" applyFont="1" applyBorder="1" applyAlignment="1">
      <alignment horizontal="center" vertical="center"/>
    </xf>
    <xf numFmtId="7" fontId="13" fillId="0" borderId="15" xfId="4" applyNumberFormat="1" applyFont="1" applyFill="1" applyBorder="1" applyAlignment="1">
      <alignment horizontal="center"/>
    </xf>
    <xf numFmtId="0" fontId="18" fillId="0" borderId="0" xfId="0" applyFont="1" applyAlignment="1">
      <alignment horizontal="right"/>
    </xf>
    <xf numFmtId="0" fontId="18" fillId="0" borderId="13" xfId="0" applyFont="1" applyBorder="1" applyAlignment="1">
      <alignment horizontal="right"/>
    </xf>
    <xf numFmtId="3" fontId="13" fillId="0" borderId="11" xfId="0" applyNumberFormat="1" applyFont="1" applyBorder="1"/>
    <xf numFmtId="3" fontId="13" fillId="0" borderId="18" xfId="0" applyNumberFormat="1" applyFont="1" applyBorder="1"/>
    <xf numFmtId="2" fontId="13" fillId="0" borderId="17" xfId="0" applyNumberFormat="1" applyFont="1" applyBorder="1" applyAlignment="1">
      <alignment horizontal="center"/>
    </xf>
    <xf numFmtId="2" fontId="13" fillId="0" borderId="28" xfId="0" applyNumberFormat="1" applyFont="1" applyBorder="1" applyAlignment="1">
      <alignment horizontal="center"/>
    </xf>
    <xf numFmtId="0" fontId="2" fillId="0" borderId="0" xfId="0" applyFont="1"/>
    <xf numFmtId="0" fontId="9" fillId="0" borderId="0" xfId="0" applyFont="1" applyAlignment="1">
      <alignment horizontal="right"/>
    </xf>
    <xf numFmtId="164" fontId="9" fillId="0" borderId="0" xfId="0" applyNumberFormat="1" applyFont="1"/>
    <xf numFmtId="164" fontId="9" fillId="0" borderId="0" xfId="1" applyNumberFormat="1" applyFont="1" applyFill="1" applyBorder="1" applyProtection="1"/>
    <xf numFmtId="0" fontId="9" fillId="0" borderId="0" xfId="0" applyFont="1"/>
    <xf numFmtId="0" fontId="0" fillId="0" borderId="2" xfId="0" applyBorder="1"/>
    <xf numFmtId="0" fontId="9" fillId="0" borderId="2" xfId="0" applyFont="1" applyBorder="1" applyAlignment="1">
      <alignment horizontal="right"/>
    </xf>
    <xf numFmtId="164" fontId="9" fillId="0" borderId="2" xfId="0" applyNumberFormat="1" applyFont="1" applyBorder="1"/>
    <xf numFmtId="0" fontId="26" fillId="0" borderId="0" xfId="0" applyFont="1" applyAlignment="1">
      <alignment horizontal="right"/>
    </xf>
    <xf numFmtId="164" fontId="0" fillId="0" borderId="0" xfId="0" applyNumberFormat="1"/>
    <xf numFmtId="166" fontId="0" fillId="0" borderId="0" xfId="0" applyNumberFormat="1"/>
    <xf numFmtId="164" fontId="9" fillId="0" borderId="2" xfId="1" applyNumberFormat="1" applyFont="1" applyFill="1" applyBorder="1" applyProtection="1"/>
    <xf numFmtId="0" fontId="8" fillId="0" borderId="0" xfId="0" applyFont="1"/>
    <xf numFmtId="0" fontId="0" fillId="0" borderId="0" xfId="0" applyAlignment="1">
      <alignment horizontal="right"/>
    </xf>
    <xf numFmtId="164" fontId="0" fillId="0" borderId="0" xfId="0" applyNumberFormat="1" applyAlignment="1">
      <alignment horizontal="right"/>
    </xf>
    <xf numFmtId="0" fontId="9" fillId="0" borderId="1" xfId="0" applyFont="1" applyBorder="1"/>
    <xf numFmtId="0" fontId="9" fillId="0" borderId="1" xfId="0" applyFont="1" applyBorder="1" applyAlignment="1">
      <alignment horizontal="right"/>
    </xf>
    <xf numFmtId="164" fontId="9" fillId="0" borderId="1" xfId="0" applyNumberFormat="1" applyFont="1" applyBorder="1" applyAlignment="1">
      <alignment horizontal="right"/>
    </xf>
    <xf numFmtId="0" fontId="9" fillId="0" borderId="0" xfId="0" applyFont="1" applyAlignment="1">
      <alignment horizontal="left" wrapText="1"/>
    </xf>
    <xf numFmtId="0" fontId="5" fillId="0" borderId="0" xfId="0" applyFont="1" applyAlignment="1">
      <alignment horizontal="right"/>
    </xf>
    <xf numFmtId="164" fontId="13" fillId="0" borderId="0" xfId="0" applyNumberFormat="1" applyFont="1"/>
    <xf numFmtId="0" fontId="2" fillId="0" borderId="2" xfId="0" applyFont="1" applyBorder="1"/>
    <xf numFmtId="164" fontId="13" fillId="0" borderId="2" xfId="0" applyNumberFormat="1" applyFont="1"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0" fillId="0" borderId="1" xfId="0" applyBorder="1"/>
    <xf numFmtId="164" fontId="13" fillId="0" borderId="1" xfId="0" applyNumberFormat="1" applyFont="1" applyBorder="1"/>
    <xf numFmtId="0" fontId="15" fillId="0" borderId="0" xfId="0" applyFont="1"/>
    <xf numFmtId="3" fontId="13" fillId="0" borderId="0" xfId="0" applyNumberFormat="1" applyFont="1"/>
    <xf numFmtId="164" fontId="2" fillId="0" borderId="0" xfId="0" applyNumberFormat="1" applyFont="1"/>
    <xf numFmtId="0" fontId="16" fillId="0" borderId="1" xfId="0" applyFont="1" applyBorder="1"/>
    <xf numFmtId="0" fontId="7" fillId="0" borderId="1" xfId="0" applyFont="1" applyBorder="1" applyAlignment="1">
      <alignment horizontal="left" wrapText="1"/>
    </xf>
    <xf numFmtId="2" fontId="16" fillId="0" borderId="1" xfId="6" applyNumberFormat="1" applyFont="1" applyBorder="1" applyAlignment="1">
      <alignment horizontal="right"/>
    </xf>
    <xf numFmtId="2" fontId="16" fillId="0" borderId="1" xfId="6" applyNumberFormat="1" applyFont="1" applyBorder="1" applyAlignment="1">
      <alignment horizontal="right" wrapText="1"/>
    </xf>
    <xf numFmtId="9" fontId="9" fillId="0" borderId="0" xfId="0" applyNumberFormat="1" applyFont="1" applyAlignment="1">
      <alignment horizontal="left"/>
    </xf>
    <xf numFmtId="165" fontId="13" fillId="0" borderId="0" xfId="0" applyNumberFormat="1" applyFont="1"/>
    <xf numFmtId="164" fontId="13" fillId="0" borderId="0" xfId="4" applyNumberFormat="1" applyFont="1" applyFill="1" applyProtection="1"/>
    <xf numFmtId="0" fontId="16" fillId="0" borderId="1" xfId="6" applyFont="1" applyBorder="1" applyAlignment="1">
      <alignment horizontal="left"/>
    </xf>
    <xf numFmtId="0" fontId="6" fillId="0" borderId="0" xfId="0" applyFont="1"/>
    <xf numFmtId="0" fontId="18" fillId="0" borderId="0" xfId="0" applyFont="1"/>
    <xf numFmtId="0" fontId="4" fillId="0" borderId="0" xfId="0" applyFont="1"/>
    <xf numFmtId="0" fontId="5" fillId="0" borderId="0" xfId="0" applyFont="1"/>
    <xf numFmtId="0" fontId="11" fillId="0" borderId="0" xfId="0" applyFont="1"/>
    <xf numFmtId="0" fontId="11"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right" vertical="top" wrapText="1"/>
    </xf>
    <xf numFmtId="0" fontId="24" fillId="0" borderId="0" xfId="5" applyFont="1" applyFill="1" applyAlignment="1">
      <alignment horizontal="left" vertical="top" wrapText="1"/>
    </xf>
    <xf numFmtId="0" fontId="3" fillId="0" borderId="0" xfId="0" applyFont="1" applyAlignment="1">
      <alignment horizontal="left" indent="4"/>
    </xf>
    <xf numFmtId="165" fontId="13" fillId="2" borderId="0" xfId="0" applyNumberFormat="1" applyFont="1" applyFill="1"/>
    <xf numFmtId="164" fontId="13" fillId="2" borderId="0" xfId="4" applyNumberFormat="1" applyFont="1" applyFill="1" applyProtection="1"/>
    <xf numFmtId="7" fontId="13" fillId="0" borderId="12" xfId="4" applyNumberFormat="1" applyFont="1" applyFill="1" applyBorder="1" applyAlignment="1" applyProtection="1">
      <alignment horizontal="center"/>
    </xf>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0" borderId="0" xfId="0" applyFont="1" applyAlignment="1">
      <alignment horizontal="right"/>
    </xf>
    <xf numFmtId="0" fontId="0" fillId="0" borderId="0" xfId="0"/>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0" borderId="0" xfId="0" applyFont="1" applyAlignment="1">
      <alignment horizontal="left" vertical="top" wrapText="1"/>
    </xf>
    <xf numFmtId="0" fontId="11" fillId="0" borderId="0" xfId="0" applyFont="1" applyAlignment="1">
      <alignment horizontal="center"/>
    </xf>
    <xf numFmtId="0" fontId="13" fillId="0" borderId="0" xfId="0" applyFont="1" applyAlignment="1">
      <alignment horizontal="left" wrapText="1"/>
    </xf>
    <xf numFmtId="0" fontId="9" fillId="2" borderId="0" xfId="0" applyFont="1" applyFill="1" applyAlignment="1" applyProtection="1">
      <alignment horizontal="left"/>
      <protection locked="0"/>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28" fillId="0" borderId="0" xfId="5" applyFont="1" applyFill="1" applyAlignment="1">
      <alignment horizontal="left" wrapText="1"/>
    </xf>
    <xf numFmtId="0" fontId="5" fillId="0" borderId="0" xfId="0" applyFont="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5" fillId="0" borderId="0" xfId="0" applyFont="1" applyAlignment="1">
      <alignment vertical="top"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9206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9"/>
  <sheetViews>
    <sheetView showGridLines="0" tabSelected="1" workbookViewId="0">
      <selection activeCell="B6" sqref="B6:C6"/>
    </sheetView>
  </sheetViews>
  <sheetFormatPr defaultColWidth="0" defaultRowHeight="16.5" customHeight="1" zeroHeight="1"/>
  <cols>
    <col min="1" max="1" width="2.875" style="105" customWidth="1"/>
    <col min="2" max="2" width="35.75" style="105" customWidth="1"/>
    <col min="3" max="3" width="34.625" style="105" customWidth="1"/>
    <col min="4" max="4" width="36.625" style="105" customWidth="1"/>
    <col min="5" max="5" width="3" style="105" customWidth="1"/>
    <col min="6" max="8" width="9" style="105" hidden="1" customWidth="1"/>
    <col min="9" max="13" width="0" style="105" hidden="1" customWidth="1"/>
    <col min="14" max="16384" width="9" style="105" hidden="1"/>
  </cols>
  <sheetData>
    <row r="1" spans="2:4" ht="17.25" thickBot="1">
      <c r="B1"/>
      <c r="C1"/>
      <c r="D1"/>
    </row>
    <row r="2" spans="2:4" ht="19.5" customHeight="1" thickBot="1">
      <c r="B2" s="116" t="s">
        <v>79</v>
      </c>
      <c r="C2" s="117"/>
      <c r="D2" s="118"/>
    </row>
    <row r="3" spans="2:4" ht="16.5" customHeight="1">
      <c r="B3" s="119" t="s">
        <v>0</v>
      </c>
      <c r="C3" s="119"/>
      <c r="D3" s="119"/>
    </row>
    <row r="4" spans="2:4">
      <c r="B4" s="120"/>
      <c r="C4" s="120"/>
      <c r="D4" s="120"/>
    </row>
    <row r="5" spans="2:4">
      <c r="B5" s="104" t="s">
        <v>38</v>
      </c>
      <c r="C5" s="31"/>
      <c r="D5" s="125"/>
    </row>
    <row r="6" spans="2:4" ht="16.5" customHeight="1">
      <c r="B6" s="145"/>
      <c r="C6" s="145"/>
      <c r="D6" s="125"/>
    </row>
    <row r="7" spans="2:4" ht="16.5" customHeight="1">
      <c r="B7" s="108" t="s">
        <v>27</v>
      </c>
      <c r="C7" s="109" t="s">
        <v>28</v>
      </c>
      <c r="D7" s="106"/>
    </row>
    <row r="8" spans="2:4" ht="8.1" customHeight="1">
      <c r="B8" s="108"/>
      <c r="C8" s="107"/>
      <c r="D8" s="106"/>
    </row>
    <row r="9" spans="2:4" ht="16.5" customHeight="1">
      <c r="B9" s="108" t="s">
        <v>29</v>
      </c>
      <c r="C9" s="109" t="s">
        <v>30</v>
      </c>
      <c r="D9" s="106"/>
    </row>
    <row r="10" spans="2:4" ht="16.5" customHeight="1">
      <c r="B10" s="110"/>
      <c r="C10"/>
      <c r="D10"/>
    </row>
    <row r="11" spans="2:4" ht="45.95" customHeight="1">
      <c r="B11" s="124" t="s">
        <v>105</v>
      </c>
      <c r="C11" s="124"/>
      <c r="D11" s="124"/>
    </row>
    <row r="12" spans="2:4" ht="16.5" customHeight="1">
      <c r="B12" s="110"/>
      <c r="C12"/>
      <c r="D12"/>
    </row>
    <row r="13" spans="2:4" ht="48.6" customHeight="1">
      <c r="B13" s="126" t="s">
        <v>102</v>
      </c>
      <c r="C13" s="126"/>
      <c r="D13" s="126"/>
    </row>
    <row r="14" spans="2:4" ht="16.5" customHeight="1">
      <c r="B14" s="31"/>
      <c r="C14" s="31"/>
      <c r="D14" s="31"/>
    </row>
    <row r="15" spans="2:4" ht="16.5" customHeight="1">
      <c r="B15" s="121" t="s">
        <v>1</v>
      </c>
      <c r="C15" s="122"/>
      <c r="D15" s="123"/>
    </row>
    <row r="16" spans="2:4" ht="17.25" thickBot="1">
      <c r="B16"/>
      <c r="C16"/>
      <c r="D16"/>
    </row>
    <row r="17" spans="2:4" ht="19.5" thickBot="1">
      <c r="B17" s="114"/>
      <c r="C17" s="115"/>
      <c r="D17" s="115"/>
    </row>
    <row r="18" spans="2:4"/>
    <row r="19" spans="2:4" hidden="1"/>
    <row r="20" spans="2:4" hidden="1"/>
    <row r="21" spans="2:4" hidden="1"/>
    <row r="22" spans="2:4" hidden="1"/>
    <row r="23" spans="2:4" hidden="1"/>
    <row r="24" spans="2:4" hidden="1"/>
    <row r="25" spans="2:4" hidden="1"/>
    <row r="26" spans="2:4" hidden="1"/>
    <row r="27" spans="2:4" hidden="1"/>
    <row r="28" spans="2:4" hidden="1"/>
    <row r="29" spans="2:4" hidden="1"/>
  </sheetData>
  <sheetProtection sheet="1" objects="1" scenarios="1"/>
  <mergeCells count="8">
    <mergeCell ref="B17:D17"/>
    <mergeCell ref="B2:D2"/>
    <mergeCell ref="B3:D3"/>
    <mergeCell ref="B4:D4"/>
    <mergeCell ref="B15:D15"/>
    <mergeCell ref="B11:D11"/>
    <mergeCell ref="D5:D6"/>
    <mergeCell ref="B13:D13"/>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6"/>
  <sheetViews>
    <sheetView showGridLines="0" topLeftCell="A21" zoomScaleNormal="100" workbookViewId="0">
      <selection activeCell="B66" sqref="B66:C66"/>
    </sheetView>
  </sheetViews>
  <sheetFormatPr defaultColWidth="0" defaultRowHeight="16.5" zeroHeight="1"/>
  <cols>
    <col min="1" max="1" width="3.125" style="57" customWidth="1"/>
    <col min="2" max="2" width="1.625" style="57" customWidth="1"/>
    <col min="3" max="3" width="30.875" style="57" customWidth="1"/>
    <col min="4" max="4" width="12.625" style="57" customWidth="1"/>
    <col min="5" max="5" width="11.625" style="57" customWidth="1"/>
    <col min="6" max="6" width="13" style="57" customWidth="1"/>
    <col min="7" max="7" width="12.375" style="57" customWidth="1"/>
    <col min="8" max="8" width="11.375" style="57" customWidth="1"/>
    <col min="9" max="9" width="10.625" style="57" customWidth="1"/>
    <col min="10" max="10" width="3.125" style="57" customWidth="1"/>
    <col min="11" max="11" width="10" style="57" hidden="1" customWidth="1"/>
    <col min="12" max="16384" width="9" style="57" hidden="1"/>
  </cols>
  <sheetData>
    <row r="1" spans="1:12" ht="16.5" customHeight="1">
      <c r="C1" s="104"/>
      <c r="D1"/>
      <c r="E1"/>
      <c r="F1"/>
      <c r="G1"/>
      <c r="H1"/>
    </row>
    <row r="2" spans="1:12" ht="21.75" customHeight="1">
      <c r="B2" s="130" t="s">
        <v>83</v>
      </c>
      <c r="C2" s="131"/>
      <c r="D2" s="131"/>
      <c r="E2" s="131"/>
      <c r="F2" s="131"/>
      <c r="G2" s="131"/>
      <c r="H2" s="131"/>
    </row>
    <row r="3" spans="1:12" ht="15.95" customHeight="1">
      <c r="C3" s="101"/>
      <c r="D3" s="101"/>
      <c r="E3" s="133"/>
      <c r="F3" s="133"/>
      <c r="G3" s="133"/>
      <c r="H3" s="102"/>
      <c r="L3" s="103"/>
    </row>
    <row r="4" spans="1:12" ht="33" customHeight="1">
      <c r="A4" s="90"/>
      <c r="B4" s="100" t="s">
        <v>8</v>
      </c>
      <c r="C4" s="100"/>
      <c r="D4" s="100" t="s">
        <v>3</v>
      </c>
      <c r="E4" s="95" t="s">
        <v>4</v>
      </c>
      <c r="F4" s="96" t="s">
        <v>31</v>
      </c>
      <c r="G4" s="96" t="str">
        <f>"Dollars per 
"&amp;FIXED(D52,0,FALSE)&amp;" sq. ft."</f>
        <v>Dollars per 
2,000 sq. ft.</v>
      </c>
      <c r="H4" s="96" t="s">
        <v>39</v>
      </c>
    </row>
    <row r="5" spans="1:12" ht="15.95" customHeight="1">
      <c r="A5" s="90"/>
      <c r="B5" s="31" t="s">
        <v>80</v>
      </c>
      <c r="C5" s="31"/>
      <c r="D5" s="61" t="s">
        <v>77</v>
      </c>
      <c r="E5" s="6">
        <v>2160</v>
      </c>
      <c r="F5" s="5">
        <v>2.2400000000000002</v>
      </c>
      <c r="G5" s="79">
        <f>E5*F5</f>
        <v>4838.4000000000005</v>
      </c>
      <c r="H5" s="89">
        <f>G5/2000</f>
        <v>2.4192000000000005</v>
      </c>
    </row>
    <row r="6" spans="1:12" ht="15.95" customHeight="1">
      <c r="A6" s="90"/>
      <c r="B6" s="90"/>
      <c r="C6" s="76" t="s">
        <v>9</v>
      </c>
      <c r="D6"/>
      <c r="E6" s="31"/>
      <c r="F6" s="31"/>
      <c r="G6" s="77">
        <f>G5</f>
        <v>4838.4000000000005</v>
      </c>
      <c r="H6" s="77"/>
    </row>
    <row r="7" spans="1:12" ht="8.1" customHeight="1">
      <c r="A7" s="90"/>
      <c r="B7" s="90"/>
      <c r="C7" s="76"/>
      <c r="D7"/>
      <c r="E7" s="31"/>
      <c r="F7" s="31"/>
      <c r="G7" s="77"/>
      <c r="H7" s="77"/>
    </row>
    <row r="8" spans="1:12" ht="33" customHeight="1">
      <c r="A8" s="90"/>
      <c r="B8" s="93" t="s">
        <v>10</v>
      </c>
      <c r="C8" s="93"/>
      <c r="D8" s="100" t="s">
        <v>3</v>
      </c>
      <c r="E8" s="95" t="s">
        <v>4</v>
      </c>
      <c r="F8" s="95" t="s">
        <v>31</v>
      </c>
      <c r="G8" s="96" t="str">
        <f>G4</f>
        <v>Dollars per 
2,000 sq. ft.</v>
      </c>
      <c r="H8" s="96" t="s">
        <v>39</v>
      </c>
    </row>
    <row r="9" spans="1:12" ht="15.95" customHeight="1">
      <c r="A9" s="90"/>
      <c r="B9" s="31" t="s">
        <v>81</v>
      </c>
      <c r="C9" s="31"/>
      <c r="D9" s="61" t="s">
        <v>5</v>
      </c>
      <c r="E9" s="111">
        <v>1</v>
      </c>
      <c r="F9" s="112">
        <v>35.92</v>
      </c>
      <c r="G9" s="77">
        <f>E9*F9</f>
        <v>35.92</v>
      </c>
      <c r="H9" s="77">
        <f>G9/2000</f>
        <v>1.796E-2</v>
      </c>
    </row>
    <row r="10" spans="1:12" ht="15.95" customHeight="1">
      <c r="A10" s="90"/>
      <c r="B10" s="31" t="s">
        <v>86</v>
      </c>
      <c r="C10" s="31"/>
      <c r="D10" s="61" t="s">
        <v>5</v>
      </c>
      <c r="E10" s="111">
        <v>2</v>
      </c>
      <c r="F10" s="112">
        <v>18.690000000000001</v>
      </c>
      <c r="G10" s="77">
        <f>E10*F10</f>
        <v>37.380000000000003</v>
      </c>
      <c r="H10" s="77">
        <f>G10/2000</f>
        <v>1.8690000000000002E-2</v>
      </c>
    </row>
    <row r="11" spans="1:12" ht="15.95" customHeight="1">
      <c r="A11" s="90"/>
      <c r="B11" s="31" t="s">
        <v>87</v>
      </c>
      <c r="C11" s="31"/>
      <c r="D11" s="61" t="s">
        <v>5</v>
      </c>
      <c r="E11" s="111">
        <v>1</v>
      </c>
      <c r="F11" s="112">
        <v>24.35</v>
      </c>
      <c r="G11" s="77">
        <f>E11*F11</f>
        <v>24.35</v>
      </c>
      <c r="H11" s="77">
        <f>G11/2000</f>
        <v>1.2175E-2</v>
      </c>
    </row>
    <row r="12" spans="1:12" ht="15.95" customHeight="1">
      <c r="A12" s="90"/>
      <c r="B12" s="31" t="s">
        <v>40</v>
      </c>
      <c r="C12" s="31"/>
      <c r="D12" s="61" t="s">
        <v>5</v>
      </c>
      <c r="E12" s="111">
        <v>1</v>
      </c>
      <c r="F12" s="112">
        <v>15</v>
      </c>
      <c r="G12" s="77">
        <f>E12*F12</f>
        <v>15</v>
      </c>
      <c r="H12" s="77">
        <f>G12/2000</f>
        <v>7.4999999999999997E-3</v>
      </c>
    </row>
    <row r="13" spans="1:12" ht="15.95" customHeight="1">
      <c r="A13" s="90"/>
      <c r="B13" s="31" t="s">
        <v>50</v>
      </c>
      <c r="C13" s="31"/>
      <c r="D13" s="61"/>
      <c r="E13" s="98"/>
      <c r="F13" s="99"/>
      <c r="G13" s="77"/>
      <c r="H13" s="77"/>
    </row>
    <row r="14" spans="1:12" ht="15.95" customHeight="1">
      <c r="A14" s="90"/>
      <c r="B14" s="31"/>
      <c r="C14" s="31" t="s">
        <v>53</v>
      </c>
      <c r="D14" s="19" t="s">
        <v>82</v>
      </c>
      <c r="E14" s="6">
        <v>6</v>
      </c>
      <c r="F14" s="5">
        <v>5.78</v>
      </c>
      <c r="G14" s="77">
        <f t="shared" ref="G14:G16" si="0">E14*F14</f>
        <v>34.68</v>
      </c>
      <c r="H14" s="77">
        <f t="shared" ref="H14:H45" si="1">G14/2000</f>
        <v>1.7340000000000001E-2</v>
      </c>
    </row>
    <row r="15" spans="1:12" ht="15.95" customHeight="1">
      <c r="A15" s="90"/>
      <c r="B15" s="31"/>
      <c r="C15" s="31" t="s">
        <v>52</v>
      </c>
      <c r="D15" s="19" t="s">
        <v>51</v>
      </c>
      <c r="E15" s="6">
        <v>1</v>
      </c>
      <c r="F15" s="5">
        <v>42.77</v>
      </c>
      <c r="G15" s="77">
        <f t="shared" si="0"/>
        <v>42.77</v>
      </c>
      <c r="H15" s="77">
        <f t="shared" si="1"/>
        <v>2.1385000000000001E-2</v>
      </c>
    </row>
    <row r="16" spans="1:12" ht="15.95" customHeight="1">
      <c r="A16" s="90"/>
      <c r="B16" s="31" t="s">
        <v>34</v>
      </c>
      <c r="C16" s="31"/>
      <c r="D16" s="19" t="s">
        <v>51</v>
      </c>
      <c r="E16" s="6">
        <v>1</v>
      </c>
      <c r="F16" s="5">
        <v>129.13999999999999</v>
      </c>
      <c r="G16" s="77">
        <f t="shared" si="0"/>
        <v>129.13999999999999</v>
      </c>
      <c r="H16" s="77">
        <f t="shared" si="1"/>
        <v>6.4569999999999989E-2</v>
      </c>
    </row>
    <row r="17" spans="1:11" ht="15.95" customHeight="1">
      <c r="A17" s="90"/>
      <c r="B17" s="31" t="s">
        <v>32</v>
      </c>
      <c r="C17" s="31"/>
      <c r="D17" s="61" t="s">
        <v>56</v>
      </c>
      <c r="E17" s="6">
        <v>400</v>
      </c>
      <c r="F17" s="5">
        <v>0.06</v>
      </c>
      <c r="G17" s="77">
        <f>E17*F17</f>
        <v>24</v>
      </c>
      <c r="H17" s="77">
        <f t="shared" si="1"/>
        <v>1.2E-2</v>
      </c>
    </row>
    <row r="18" spans="1:11" ht="15.95" customHeight="1">
      <c r="A18" s="90"/>
      <c r="B18" s="31" t="s">
        <v>54</v>
      </c>
      <c r="C18" s="31"/>
      <c r="D18" s="61" t="s">
        <v>56</v>
      </c>
      <c r="E18" s="6">
        <v>400</v>
      </c>
      <c r="F18" s="5">
        <v>0.06</v>
      </c>
      <c r="G18" s="77">
        <f>E18*F18</f>
        <v>24</v>
      </c>
      <c r="H18" s="77">
        <f t="shared" si="1"/>
        <v>1.2E-2</v>
      </c>
    </row>
    <row r="19" spans="1:11" ht="15.95" customHeight="1">
      <c r="A19" s="90"/>
      <c r="B19" s="31" t="s">
        <v>88</v>
      </c>
      <c r="C19" s="31"/>
      <c r="D19" s="61" t="s">
        <v>5</v>
      </c>
      <c r="E19" s="6">
        <v>1</v>
      </c>
      <c r="F19" s="5">
        <v>62.3</v>
      </c>
      <c r="G19" s="77">
        <f>E19*F19</f>
        <v>62.3</v>
      </c>
      <c r="H19" s="77">
        <f t="shared" si="1"/>
        <v>3.1149999999999997E-2</v>
      </c>
    </row>
    <row r="20" spans="1:11" ht="15.95" customHeight="1">
      <c r="A20" s="90"/>
      <c r="B20" s="31" t="s">
        <v>33</v>
      </c>
      <c r="C20" s="31"/>
      <c r="D20" s="61"/>
      <c r="E20" s="98"/>
      <c r="F20" s="31"/>
      <c r="G20" s="77"/>
      <c r="H20" s="77"/>
    </row>
    <row r="21" spans="1:11" ht="15.95" customHeight="1">
      <c r="A21" s="90"/>
      <c r="B21" s="90"/>
      <c r="C21" s="31" t="s">
        <v>45</v>
      </c>
      <c r="D21" s="61" t="s">
        <v>35</v>
      </c>
      <c r="E21" s="6">
        <v>3</v>
      </c>
      <c r="F21" s="5">
        <v>18</v>
      </c>
      <c r="G21" s="77">
        <f t="shared" ref="G21:G27" si="2">E21*F21</f>
        <v>54</v>
      </c>
      <c r="H21" s="77">
        <f t="shared" si="1"/>
        <v>2.7E-2</v>
      </c>
    </row>
    <row r="22" spans="1:11" ht="15.95" customHeight="1">
      <c r="A22" s="90"/>
      <c r="B22" s="90"/>
      <c r="C22" s="31" t="s">
        <v>44</v>
      </c>
      <c r="D22" s="61" t="s">
        <v>35</v>
      </c>
      <c r="E22" s="6">
        <v>1</v>
      </c>
      <c r="F22" s="5">
        <v>18</v>
      </c>
      <c r="G22" s="77">
        <f t="shared" si="2"/>
        <v>18</v>
      </c>
      <c r="H22" s="77">
        <f t="shared" si="1"/>
        <v>8.9999999999999993E-3</v>
      </c>
    </row>
    <row r="23" spans="1:11" ht="15.95" customHeight="1">
      <c r="A23" s="90"/>
      <c r="B23" s="90"/>
      <c r="C23" s="31" t="s">
        <v>43</v>
      </c>
      <c r="D23" s="61" t="s">
        <v>35</v>
      </c>
      <c r="E23" s="6">
        <v>3</v>
      </c>
      <c r="F23" s="5">
        <v>18</v>
      </c>
      <c r="G23" s="77">
        <f t="shared" si="2"/>
        <v>54</v>
      </c>
      <c r="H23" s="77">
        <f t="shared" si="1"/>
        <v>2.7E-2</v>
      </c>
    </row>
    <row r="24" spans="1:11" ht="15.95" customHeight="1">
      <c r="A24" s="90"/>
      <c r="B24" s="90"/>
      <c r="C24" s="31" t="s">
        <v>46</v>
      </c>
      <c r="D24" s="61" t="s">
        <v>35</v>
      </c>
      <c r="E24" s="6">
        <v>5</v>
      </c>
      <c r="F24" s="5">
        <v>18</v>
      </c>
      <c r="G24" s="77">
        <f t="shared" si="2"/>
        <v>90</v>
      </c>
      <c r="H24" s="77">
        <f t="shared" si="1"/>
        <v>4.4999999999999998E-2</v>
      </c>
    </row>
    <row r="25" spans="1:11" ht="15.95" customHeight="1">
      <c r="A25" s="90"/>
      <c r="B25" s="90"/>
      <c r="C25" s="31" t="s">
        <v>84</v>
      </c>
      <c r="D25" s="61" t="s">
        <v>35</v>
      </c>
      <c r="E25" s="6">
        <v>12</v>
      </c>
      <c r="F25" s="5">
        <v>18</v>
      </c>
      <c r="G25" s="77">
        <f t="shared" si="2"/>
        <v>216</v>
      </c>
      <c r="H25" s="77">
        <f t="shared" si="1"/>
        <v>0.108</v>
      </c>
    </row>
    <row r="26" spans="1:11" ht="15.95" customHeight="1">
      <c r="A26" s="90"/>
      <c r="B26" s="90"/>
      <c r="C26" s="31" t="s">
        <v>47</v>
      </c>
      <c r="D26" s="61" t="s">
        <v>35</v>
      </c>
      <c r="E26" s="6">
        <v>4</v>
      </c>
      <c r="F26" s="5">
        <v>18</v>
      </c>
      <c r="G26" s="77">
        <f t="shared" si="2"/>
        <v>72</v>
      </c>
      <c r="H26" s="77">
        <f t="shared" si="1"/>
        <v>3.5999999999999997E-2</v>
      </c>
    </row>
    <row r="27" spans="1:11" ht="15.95" customHeight="1">
      <c r="A27" s="90"/>
      <c r="B27" s="90"/>
      <c r="C27" s="31" t="s">
        <v>48</v>
      </c>
      <c r="D27" s="61" t="s">
        <v>35</v>
      </c>
      <c r="E27" s="6">
        <v>4</v>
      </c>
      <c r="F27" s="5">
        <v>18</v>
      </c>
      <c r="G27" s="77">
        <f t="shared" si="2"/>
        <v>72</v>
      </c>
      <c r="H27" s="77">
        <f t="shared" si="1"/>
        <v>3.5999999999999997E-2</v>
      </c>
    </row>
    <row r="28" spans="1:11" ht="15.95" customHeight="1">
      <c r="A28" s="90"/>
      <c r="B28" s="90"/>
      <c r="C28" s="31" t="s">
        <v>42</v>
      </c>
      <c r="D28" s="61" t="s">
        <v>35</v>
      </c>
      <c r="E28" s="6">
        <v>2</v>
      </c>
      <c r="F28" s="5">
        <v>18</v>
      </c>
      <c r="G28" s="77">
        <f t="shared" ref="G28:G33" si="3">E28*F28</f>
        <v>36</v>
      </c>
      <c r="H28" s="77">
        <f t="shared" si="1"/>
        <v>1.7999999999999999E-2</v>
      </c>
    </row>
    <row r="29" spans="1:11" ht="15.95" customHeight="1">
      <c r="A29" s="90"/>
      <c r="B29" s="90"/>
      <c r="C29" s="31" t="s">
        <v>49</v>
      </c>
      <c r="D29" s="61" t="s">
        <v>35</v>
      </c>
      <c r="E29" s="6">
        <v>10</v>
      </c>
      <c r="F29" s="5">
        <v>18</v>
      </c>
      <c r="G29" s="77">
        <f t="shared" si="3"/>
        <v>180</v>
      </c>
      <c r="H29" s="77">
        <f t="shared" si="1"/>
        <v>0.09</v>
      </c>
    </row>
    <row r="30" spans="1:11" ht="15.95" customHeight="1">
      <c r="A30" s="90"/>
      <c r="C30" s="31" t="s">
        <v>41</v>
      </c>
      <c r="D30" s="61" t="s">
        <v>35</v>
      </c>
      <c r="E30" s="6">
        <v>24</v>
      </c>
      <c r="F30" s="5">
        <v>18</v>
      </c>
      <c r="G30" s="77">
        <f t="shared" si="3"/>
        <v>432</v>
      </c>
      <c r="H30" s="77">
        <f t="shared" si="1"/>
        <v>0.216</v>
      </c>
      <c r="J30" s="92"/>
      <c r="K30" s="92"/>
    </row>
    <row r="31" spans="1:11" ht="15.95" customHeight="1">
      <c r="A31" s="90"/>
      <c r="C31" s="31" t="s">
        <v>85</v>
      </c>
      <c r="D31" s="61" t="s">
        <v>35</v>
      </c>
      <c r="E31" s="6">
        <v>24</v>
      </c>
      <c r="F31" s="5">
        <v>18</v>
      </c>
      <c r="G31" s="77">
        <f t="shared" si="3"/>
        <v>432</v>
      </c>
      <c r="H31" s="77">
        <f t="shared" si="1"/>
        <v>0.216</v>
      </c>
      <c r="J31" s="92"/>
      <c r="K31" s="92"/>
    </row>
    <row r="32" spans="1:11" ht="15.95" customHeight="1">
      <c r="A32" s="90"/>
      <c r="B32" s="31" t="s">
        <v>55</v>
      </c>
      <c r="C32" s="31"/>
      <c r="D32" s="61" t="s">
        <v>5</v>
      </c>
      <c r="E32" s="6">
        <f>ROUNDUP(E5/25,0)</f>
        <v>87</v>
      </c>
      <c r="F32" s="5">
        <f>550/250</f>
        <v>2.2000000000000002</v>
      </c>
      <c r="G32" s="77">
        <f t="shared" si="3"/>
        <v>191.4</v>
      </c>
      <c r="H32" s="77">
        <f>G32/2000</f>
        <v>9.5700000000000007E-2</v>
      </c>
      <c r="J32" s="92"/>
      <c r="K32" s="92"/>
    </row>
    <row r="33" spans="1:11" ht="15.95" customHeight="1">
      <c r="A33" s="90"/>
      <c r="B33" s="31" t="s">
        <v>36</v>
      </c>
      <c r="C33" s="31"/>
      <c r="D33" s="97" t="s">
        <v>26</v>
      </c>
      <c r="E33" s="77">
        <f>G6</f>
        <v>4838.4000000000005</v>
      </c>
      <c r="F33" s="7">
        <v>0.1</v>
      </c>
      <c r="G33" s="77">
        <f t="shared" si="3"/>
        <v>483.84000000000009</v>
      </c>
      <c r="H33" s="77">
        <f t="shared" si="1"/>
        <v>0.24192000000000005</v>
      </c>
      <c r="J33" s="92"/>
      <c r="K33" s="92"/>
    </row>
    <row r="34" spans="1:11" ht="15.95" customHeight="1">
      <c r="A34" s="90"/>
      <c r="B34" s="31" t="s">
        <v>37</v>
      </c>
      <c r="D34" s="61" t="s">
        <v>51</v>
      </c>
      <c r="G34" s="28">
        <v>0</v>
      </c>
      <c r="H34" s="77">
        <f t="shared" si="1"/>
        <v>0</v>
      </c>
      <c r="J34" s="92"/>
      <c r="K34" s="92"/>
    </row>
    <row r="35" spans="1:11" ht="15.95" customHeight="1">
      <c r="A35" s="90"/>
      <c r="B35" s="31" t="s">
        <v>89</v>
      </c>
      <c r="D35" s="61" t="s">
        <v>90</v>
      </c>
      <c r="E35" s="29">
        <v>7.7499999999999999E-2</v>
      </c>
      <c r="G35" s="79">
        <f>SUM(G9:G34)*$E$35*E39/12</f>
        <v>35.660074999999999</v>
      </c>
      <c r="H35" s="79">
        <f t="shared" si="1"/>
        <v>1.78300375E-2</v>
      </c>
      <c r="J35" s="92"/>
      <c r="K35" s="92"/>
    </row>
    <row r="36" spans="1:11" ht="15.95" customHeight="1">
      <c r="A36" s="90"/>
      <c r="C36" s="76" t="s">
        <v>11</v>
      </c>
      <c r="D36" s="61"/>
      <c r="E36" s="91"/>
      <c r="F36" s="31"/>
      <c r="G36" s="77">
        <f>SUM(G9:G35)</f>
        <v>2796.440075</v>
      </c>
      <c r="H36" s="77">
        <f t="shared" si="1"/>
        <v>1.3982200375</v>
      </c>
      <c r="J36" s="92"/>
      <c r="K36" s="92"/>
    </row>
    <row r="37" spans="1:11" ht="8.1" customHeight="1">
      <c r="A37" s="90"/>
      <c r="C37" s="76"/>
      <c r="D37" s="61"/>
      <c r="E37" s="91"/>
      <c r="F37" s="31"/>
      <c r="G37" s="77"/>
      <c r="H37" s="77"/>
      <c r="J37" s="92"/>
      <c r="K37" s="92"/>
    </row>
    <row r="38" spans="1:11" ht="33" customHeight="1">
      <c r="A38" s="90"/>
      <c r="B38" s="93" t="s">
        <v>12</v>
      </c>
      <c r="C38" s="93"/>
      <c r="D38" s="94" t="s">
        <v>3</v>
      </c>
      <c r="E38" s="95" t="s">
        <v>4</v>
      </c>
      <c r="F38" s="95" t="s">
        <v>31</v>
      </c>
      <c r="G38" s="96" t="str">
        <f>G4</f>
        <v>Dollars per 
2,000 sq. ft.</v>
      </c>
      <c r="H38" s="96" t="s">
        <v>39</v>
      </c>
    </row>
    <row r="39" spans="1:11" ht="15.95" customHeight="1">
      <c r="A39" s="90"/>
      <c r="B39" s="31" t="s">
        <v>57</v>
      </c>
      <c r="C39" s="31"/>
      <c r="D39" s="61" t="s">
        <v>58</v>
      </c>
      <c r="E39" s="20">
        <v>2</v>
      </c>
      <c r="F39" s="77">
        <f>I68/(10*12)*(D52/D51)</f>
        <v>145.46400071365511</v>
      </c>
      <c r="G39" s="89">
        <f>E39*F39</f>
        <v>290.92800142731022</v>
      </c>
      <c r="H39" s="89">
        <f t="shared" si="1"/>
        <v>0.14546400071365512</v>
      </c>
    </row>
    <row r="40" spans="1:11" ht="15.95" customHeight="1">
      <c r="C40" s="76" t="s">
        <v>13</v>
      </c>
      <c r="D40"/>
      <c r="E40" s="31"/>
      <c r="F40" s="31"/>
      <c r="G40" s="77">
        <f>SUM(G39:G39)</f>
        <v>290.92800142731022</v>
      </c>
      <c r="H40" s="77">
        <f t="shared" si="1"/>
        <v>0.14546400071365512</v>
      </c>
    </row>
    <row r="41" spans="1:11" ht="8.1" customHeight="1">
      <c r="C41" s="76"/>
      <c r="D41"/>
      <c r="E41" s="31"/>
      <c r="F41" s="31"/>
      <c r="G41" s="77"/>
      <c r="H41" s="77"/>
    </row>
    <row r="42" spans="1:11" ht="15.95" customHeight="1">
      <c r="C42" s="76" t="s">
        <v>6</v>
      </c>
      <c r="D42"/>
      <c r="E42" s="31"/>
      <c r="F42" s="31"/>
      <c r="G42" s="77">
        <f>G36+G40</f>
        <v>3087.3680764273104</v>
      </c>
      <c r="H42" s="77">
        <f t="shared" si="1"/>
        <v>1.5436840382136552</v>
      </c>
    </row>
    <row r="43" spans="1:11" ht="15.95" customHeight="1">
      <c r="B43" s="78"/>
      <c r="C43" s="76"/>
      <c r="D43" s="62"/>
      <c r="E43" s="31"/>
      <c r="F43" s="31"/>
      <c r="G43" s="77"/>
      <c r="H43" s="79"/>
    </row>
    <row r="44" spans="1:11" ht="15.95" customHeight="1">
      <c r="B44" s="80" t="s">
        <v>14</v>
      </c>
      <c r="C44" s="81"/>
      <c r="E44" s="82"/>
      <c r="F44" s="82"/>
      <c r="G44" s="83">
        <f>G6-G36</f>
        <v>2041.9599250000006</v>
      </c>
      <c r="H44" s="77">
        <f t="shared" si="1"/>
        <v>1.0209799625000002</v>
      </c>
    </row>
    <row r="45" spans="1:11" ht="15.95" customHeight="1" thickBot="1">
      <c r="B45" s="84" t="s">
        <v>7</v>
      </c>
      <c r="C45" s="84"/>
      <c r="D45" s="85"/>
      <c r="E45" s="86"/>
      <c r="F45" s="86"/>
      <c r="G45" s="87">
        <f>G6-G42</f>
        <v>1751.0319235726902</v>
      </c>
      <c r="H45" s="87">
        <f t="shared" si="1"/>
        <v>0.87551596178634505</v>
      </c>
    </row>
    <row r="46" spans="1:11" ht="17.25" thickTop="1">
      <c r="B46" s="132" t="s">
        <v>99</v>
      </c>
      <c r="C46" s="132"/>
      <c r="D46" s="132"/>
      <c r="E46" s="132"/>
      <c r="F46" s="132"/>
      <c r="G46" s="132"/>
      <c r="H46" s="132"/>
    </row>
    <row r="47" spans="1:11">
      <c r="B47" s="135" t="s">
        <v>98</v>
      </c>
      <c r="C47" s="135"/>
      <c r="D47" s="135"/>
      <c r="E47" s="135"/>
      <c r="F47" s="135"/>
      <c r="G47" s="135"/>
      <c r="H47" s="135"/>
    </row>
    <row r="48" spans="1:11" ht="15.95" customHeight="1">
      <c r="B48" s="75"/>
      <c r="C48" s="75"/>
      <c r="D48" s="75"/>
      <c r="E48" s="75"/>
      <c r="F48" s="75"/>
      <c r="G48" s="75"/>
      <c r="H48" s="75"/>
    </row>
    <row r="49" spans="1:9" ht="15.95" customHeight="1">
      <c r="B49" t="s">
        <v>92</v>
      </c>
      <c r="C49"/>
      <c r="D49"/>
      <c r="E49"/>
      <c r="F49" s="75"/>
      <c r="G49" s="75"/>
      <c r="H49" s="75"/>
    </row>
    <row r="50" spans="1:9" ht="15.95" customHeight="1">
      <c r="B50" s="88"/>
      <c r="C50" s="88"/>
      <c r="D50" s="88" t="s">
        <v>93</v>
      </c>
      <c r="E50" s="88" t="s">
        <v>3</v>
      </c>
      <c r="F50" s="75"/>
      <c r="G50" s="75"/>
      <c r="H50" s="75"/>
    </row>
    <row r="51" spans="1:9" ht="15.95" customHeight="1">
      <c r="B51" t="s">
        <v>94</v>
      </c>
      <c r="C51"/>
      <c r="D51" s="30">
        <v>2000</v>
      </c>
      <c r="E51" s="61" t="s">
        <v>95</v>
      </c>
      <c r="F51" s="75"/>
      <c r="G51" s="75"/>
      <c r="H51" s="75"/>
    </row>
    <row r="52" spans="1:9" ht="15.95" customHeight="1">
      <c r="B52" t="s">
        <v>96</v>
      </c>
      <c r="C52"/>
      <c r="D52" s="30">
        <v>2000</v>
      </c>
      <c r="E52" s="61" t="s">
        <v>95</v>
      </c>
      <c r="F52"/>
      <c r="G52"/>
      <c r="H52"/>
    </row>
    <row r="53" spans="1:9" ht="15.95" customHeight="1">
      <c r="C53" s="69"/>
      <c r="D53"/>
      <c r="E53"/>
      <c r="F53"/>
      <c r="G53"/>
      <c r="H53"/>
    </row>
    <row r="54" spans="1:9" ht="15.95" customHeight="1">
      <c r="B54" t="s">
        <v>101</v>
      </c>
      <c r="C54"/>
      <c r="D54"/>
      <c r="E54" s="70"/>
      <c r="F54" s="71"/>
      <c r="G54" s="71"/>
      <c r="H54" s="70"/>
    </row>
    <row r="55" spans="1:9" ht="15.95" customHeight="1">
      <c r="B55" s="72" t="s">
        <v>59</v>
      </c>
      <c r="C55" s="72"/>
      <c r="D55" s="73" t="s">
        <v>33</v>
      </c>
      <c r="E55" s="73" t="s">
        <v>60</v>
      </c>
      <c r="F55" s="74" t="s">
        <v>61</v>
      </c>
      <c r="G55" s="74" t="s">
        <v>74</v>
      </c>
      <c r="H55" s="73" t="s">
        <v>75</v>
      </c>
      <c r="I55" s="73" t="s">
        <v>76</v>
      </c>
    </row>
    <row r="56" spans="1:9" ht="15.95" customHeight="1">
      <c r="B56" s="134" t="s">
        <v>62</v>
      </c>
      <c r="C56" s="134"/>
      <c r="D56" s="21">
        <v>393.2978984857732</v>
      </c>
      <c r="E56" s="21">
        <v>86.064129503346848</v>
      </c>
      <c r="F56" s="22">
        <v>0</v>
      </c>
      <c r="G56" s="60">
        <f>SUM(D56:F56)</f>
        <v>479.36202798912007</v>
      </c>
      <c r="H56" s="26">
        <v>10</v>
      </c>
      <c r="I56" s="59">
        <f>G56/(H56/10)</f>
        <v>479.36202798912007</v>
      </c>
    </row>
    <row r="57" spans="1:9" ht="15.95" customHeight="1">
      <c r="A57"/>
      <c r="B57" s="127" t="s">
        <v>63</v>
      </c>
      <c r="C57" s="127"/>
      <c r="D57" s="21">
        <v>17.849751209722509</v>
      </c>
      <c r="E57" s="21">
        <v>0</v>
      </c>
      <c r="F57" s="21">
        <v>133.34510624228753</v>
      </c>
      <c r="G57" s="60">
        <f t="shared" ref="G57:G68" si="4">SUM(D57:F57)</f>
        <v>151.19485745201004</v>
      </c>
      <c r="H57" s="26">
        <v>10</v>
      </c>
      <c r="I57" s="59">
        <f t="shared" ref="I57:I67" si="5">G57/(H57/10)</f>
        <v>151.19485745201004</v>
      </c>
    </row>
    <row r="58" spans="1:9" ht="15.95" customHeight="1">
      <c r="A58"/>
      <c r="B58" s="127" t="s">
        <v>64</v>
      </c>
      <c r="C58" s="127"/>
      <c r="D58" s="21">
        <v>356.89446221580391</v>
      </c>
      <c r="E58" s="21">
        <v>196.20403696654191</v>
      </c>
      <c r="F58" s="23">
        <v>281.62486438371127</v>
      </c>
      <c r="G58" s="60">
        <f t="shared" si="4"/>
        <v>834.72336356605706</v>
      </c>
      <c r="H58" s="26">
        <v>10</v>
      </c>
      <c r="I58" s="59">
        <f t="shared" si="5"/>
        <v>834.72336356605706</v>
      </c>
    </row>
    <row r="59" spans="1:9" ht="15.95" customHeight="1">
      <c r="A59"/>
      <c r="B59" s="127" t="s">
        <v>65</v>
      </c>
      <c r="C59" s="127"/>
      <c r="D59" s="21">
        <v>356.89446221580391</v>
      </c>
      <c r="E59" s="21">
        <v>0</v>
      </c>
      <c r="F59" s="21">
        <v>9399.2298488063643</v>
      </c>
      <c r="G59" s="60">
        <f t="shared" si="4"/>
        <v>9756.1243110221676</v>
      </c>
      <c r="H59" s="26">
        <v>10</v>
      </c>
      <c r="I59" s="59">
        <f t="shared" si="5"/>
        <v>9756.1243110221676</v>
      </c>
    </row>
    <row r="60" spans="1:9" ht="15.95" customHeight="1">
      <c r="A60"/>
      <c r="B60" s="127" t="s">
        <v>66</v>
      </c>
      <c r="C60" s="127"/>
      <c r="D60" s="21">
        <v>118.9648207386013</v>
      </c>
      <c r="E60" s="21">
        <v>0</v>
      </c>
      <c r="F60" s="21">
        <v>159.53408510827282</v>
      </c>
      <c r="G60" s="60">
        <f t="shared" si="4"/>
        <v>278.4989058468741</v>
      </c>
      <c r="H60" s="26">
        <v>10</v>
      </c>
      <c r="I60" s="59">
        <f t="shared" si="5"/>
        <v>278.4989058468741</v>
      </c>
    </row>
    <row r="61" spans="1:9" ht="15.95" customHeight="1">
      <c r="A61"/>
      <c r="B61" s="127" t="s">
        <v>67</v>
      </c>
      <c r="C61" s="127"/>
      <c r="D61" s="21">
        <v>594.82410369300646</v>
      </c>
      <c r="E61" s="21">
        <v>0</v>
      </c>
      <c r="F61" s="21">
        <v>449.37300803650896</v>
      </c>
      <c r="G61" s="60">
        <f t="shared" si="4"/>
        <v>1044.1971117295154</v>
      </c>
      <c r="H61" s="26">
        <v>10</v>
      </c>
      <c r="I61" s="59">
        <f t="shared" si="5"/>
        <v>1044.1971117295154</v>
      </c>
    </row>
    <row r="62" spans="1:9" ht="15.95" customHeight="1">
      <c r="A62"/>
      <c r="B62" s="127" t="s">
        <v>68</v>
      </c>
      <c r="C62" s="127"/>
      <c r="D62" s="21">
        <v>118.9648207386013</v>
      </c>
      <c r="E62" s="21">
        <v>0</v>
      </c>
      <c r="F62" s="21">
        <v>874.74389694940623</v>
      </c>
      <c r="G62" s="60">
        <f t="shared" si="4"/>
        <v>993.70871768800748</v>
      </c>
      <c r="H62" s="26">
        <v>3</v>
      </c>
      <c r="I62" s="59">
        <f t="shared" si="5"/>
        <v>3312.3623922933584</v>
      </c>
    </row>
    <row r="63" spans="1:9" ht="15.95" customHeight="1">
      <c r="A63"/>
      <c r="B63" s="127" t="s">
        <v>69</v>
      </c>
      <c r="C63" s="127"/>
      <c r="D63" s="21">
        <v>29.741205184650326</v>
      </c>
      <c r="E63" s="21">
        <v>0</v>
      </c>
      <c r="F63" s="21">
        <v>0</v>
      </c>
      <c r="G63" s="60">
        <f t="shared" si="4"/>
        <v>29.741205184650326</v>
      </c>
      <c r="H63" s="26">
        <v>10</v>
      </c>
      <c r="I63" s="59">
        <f t="shared" si="5"/>
        <v>29.741205184650326</v>
      </c>
    </row>
    <row r="64" spans="1:9" ht="15.95" customHeight="1">
      <c r="A64"/>
      <c r="B64" s="127" t="s">
        <v>70</v>
      </c>
      <c r="C64" s="127"/>
      <c r="D64" s="21">
        <v>0</v>
      </c>
      <c r="E64" s="23">
        <v>0</v>
      </c>
      <c r="F64" s="21">
        <v>816.0720502027998</v>
      </c>
      <c r="G64" s="60">
        <f t="shared" si="4"/>
        <v>816.0720502027998</v>
      </c>
      <c r="H64" s="26">
        <v>10</v>
      </c>
      <c r="I64" s="59">
        <f t="shared" si="5"/>
        <v>816.0720502027998</v>
      </c>
    </row>
    <row r="65" spans="1:9" ht="15.95" customHeight="1">
      <c r="A65"/>
      <c r="B65" s="24" t="s">
        <v>71</v>
      </c>
      <c r="C65" s="24"/>
      <c r="D65" s="21">
        <v>178.44723110790196</v>
      </c>
      <c r="E65" s="21">
        <v>0</v>
      </c>
      <c r="F65" s="21">
        <v>295.09272011418238</v>
      </c>
      <c r="G65" s="60">
        <f t="shared" si="4"/>
        <v>473.53995122208437</v>
      </c>
      <c r="H65" s="26">
        <v>10</v>
      </c>
      <c r="I65" s="59">
        <f t="shared" si="5"/>
        <v>473.53995122208437</v>
      </c>
    </row>
    <row r="66" spans="1:9" ht="15.95" customHeight="1">
      <c r="A66"/>
      <c r="B66" s="128" t="s">
        <v>72</v>
      </c>
      <c r="C66" s="128"/>
      <c r="D66" s="21">
        <v>146.51880288769411</v>
      </c>
      <c r="E66" s="21">
        <v>0</v>
      </c>
      <c r="F66" s="21">
        <v>0</v>
      </c>
      <c r="G66" s="60">
        <f t="shared" si="4"/>
        <v>146.51880288769411</v>
      </c>
      <c r="H66" s="26">
        <v>10</v>
      </c>
      <c r="I66" s="59">
        <f t="shared" si="5"/>
        <v>146.51880288769411</v>
      </c>
    </row>
    <row r="67" spans="1:9" ht="15.95" customHeight="1">
      <c r="A67"/>
      <c r="B67" s="129" t="s">
        <v>73</v>
      </c>
      <c r="C67" s="129"/>
      <c r="D67" s="25">
        <v>0</v>
      </c>
      <c r="E67" s="25">
        <v>0</v>
      </c>
      <c r="F67" s="25">
        <v>133.34510624228753</v>
      </c>
      <c r="G67" s="68">
        <f t="shared" si="4"/>
        <v>133.34510624228753</v>
      </c>
      <c r="H67" s="27">
        <v>10</v>
      </c>
      <c r="I67" s="64">
        <f t="shared" si="5"/>
        <v>133.34510624228753</v>
      </c>
    </row>
    <row r="68" spans="1:9" ht="15.95" customHeight="1">
      <c r="A68"/>
      <c r="C68" s="58" t="s">
        <v>74</v>
      </c>
      <c r="D68" s="59">
        <f>SUM(D56:D67)</f>
        <v>2312.397558477559</v>
      </c>
      <c r="E68" s="59">
        <f t="shared" ref="E68:F68" si="6">SUM(E56:E67)</f>
        <v>282.26816646988874</v>
      </c>
      <c r="F68" s="59">
        <f t="shared" si="6"/>
        <v>12542.360686085822</v>
      </c>
      <c r="G68" s="60">
        <f t="shared" si="4"/>
        <v>15137.02641103327</v>
      </c>
      <c r="H68" s="61"/>
      <c r="I68" s="59">
        <f>SUM(I56:I67)</f>
        <v>17455.680085638614</v>
      </c>
    </row>
    <row r="69" spans="1:9" ht="15.95" customHeight="1">
      <c r="A69"/>
      <c r="B69" s="62"/>
      <c r="C69" s="63" t="s">
        <v>91</v>
      </c>
      <c r="D69" s="64">
        <f>D68/$D$51</f>
        <v>1.1561987792387796</v>
      </c>
      <c r="E69" s="64">
        <f t="shared" ref="E69:I69" si="7">E68/$D$51</f>
        <v>0.14113408323494436</v>
      </c>
      <c r="F69" s="64">
        <f t="shared" si="7"/>
        <v>6.2711803430429107</v>
      </c>
      <c r="G69" s="64">
        <f t="shared" si="7"/>
        <v>7.5685132055166351</v>
      </c>
      <c r="H69" s="64"/>
      <c r="I69" s="64">
        <f t="shared" si="7"/>
        <v>8.7278400428193077</v>
      </c>
    </row>
    <row r="70" spans="1:9" ht="15.95" customHeight="1">
      <c r="A70"/>
      <c r="D70" s="65"/>
      <c r="E70" s="65"/>
      <c r="F70" s="65"/>
      <c r="G70" s="65"/>
      <c r="H70" s="65"/>
    </row>
    <row r="71" spans="1:9" ht="15.95" hidden="1" customHeight="1">
      <c r="A71"/>
      <c r="C71"/>
      <c r="D71" s="66"/>
      <c r="E71"/>
      <c r="F71" s="67"/>
      <c r="G71" s="67"/>
      <c r="H71" s="67"/>
    </row>
    <row r="72" spans="1:9" ht="15.95" hidden="1" customHeight="1">
      <c r="A72"/>
    </row>
    <row r="73" spans="1:9" ht="15.95" hidden="1" customHeight="1">
      <c r="A73"/>
    </row>
    <row r="74" spans="1:9" ht="15.95" hidden="1" customHeight="1">
      <c r="A74"/>
    </row>
    <row r="75" spans="1:9" ht="15.95" hidden="1" customHeight="1">
      <c r="A75"/>
    </row>
    <row r="76" spans="1:9" ht="15.95" hidden="1" customHeight="1"/>
  </sheetData>
  <sheetProtection sheet="1" objects="1" scenarios="1"/>
  <protectedRanges>
    <protectedRange sqref="E9:F12" name="Edit cells"/>
  </protectedRanges>
  <mergeCells count="15">
    <mergeCell ref="B2:H2"/>
    <mergeCell ref="B46:H46"/>
    <mergeCell ref="E3:G3"/>
    <mergeCell ref="B56:C56"/>
    <mergeCell ref="B57:C57"/>
    <mergeCell ref="B47:H47"/>
    <mergeCell ref="B63:C63"/>
    <mergeCell ref="B64:C64"/>
    <mergeCell ref="B66:C66"/>
    <mergeCell ref="B67:C67"/>
    <mergeCell ref="B58:C58"/>
    <mergeCell ref="B59:C59"/>
    <mergeCell ref="B60:C60"/>
    <mergeCell ref="B61:C61"/>
    <mergeCell ref="B62:C62"/>
  </mergeCells>
  <conditionalFormatting sqref="E4">
    <cfRule type="expression" dxfId="4" priority="3">
      <formula>$G$1="no"</formula>
    </cfRule>
  </conditionalFormatting>
  <conditionalFormatting sqref="E8">
    <cfRule type="expression" dxfId="3" priority="2">
      <formula>$G$1="no"</formula>
    </cfRule>
  </conditionalFormatting>
  <conditionalFormatting sqref="E38">
    <cfRule type="expression" dxfId="2" priority="1">
      <formula>$G$1="no"</formula>
    </cfRule>
  </conditionalFormatting>
  <hyperlinks>
    <hyperlink ref="B47:H47" r:id="rId1" display="muext.us/MissouriAgBudgets." xr:uid="{B7E0C67A-7FD3-4A84-B315-C5B195BDEF82}"/>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showGridLines="0" workbookViewId="0">
      <selection activeCell="B15" sqref="B15:K15"/>
    </sheetView>
  </sheetViews>
  <sheetFormatPr defaultColWidth="0" defaultRowHeight="15" zeroHeight="1"/>
  <cols>
    <col min="1" max="1" width="3.125" customWidth="1"/>
    <col min="2" max="2" width="8.625" customWidth="1"/>
    <col min="3" max="3" width="10.125" customWidth="1"/>
    <col min="4" max="4" width="10.375" customWidth="1"/>
    <col min="5" max="5" width="11.875" customWidth="1"/>
    <col min="6" max="6" width="9.75" bestFit="1" customWidth="1"/>
    <col min="7" max="7" width="9.125" bestFit="1" customWidth="1"/>
    <col min="8" max="8" width="9.875" customWidth="1"/>
    <col min="9" max="9" width="11" customWidth="1"/>
    <col min="10" max="10" width="10" bestFit="1" customWidth="1"/>
    <col min="11" max="11" width="10.125" customWidth="1"/>
    <col min="12" max="12" width="3.125" customWidth="1"/>
    <col min="13" max="16384" width="8.625" hidden="1"/>
  </cols>
  <sheetData>
    <row r="1" spans="2:11" ht="15.75">
      <c r="B1" s="136" t="s">
        <v>103</v>
      </c>
      <c r="C1" s="136"/>
      <c r="D1" s="136"/>
      <c r="E1" s="136"/>
      <c r="F1" s="136"/>
      <c r="G1" s="136"/>
      <c r="H1" s="136"/>
      <c r="I1" s="136"/>
      <c r="J1" s="136"/>
      <c r="K1" s="136"/>
    </row>
    <row r="2" spans="2:11" ht="33.950000000000003" customHeight="1">
      <c r="B2" s="126" t="s">
        <v>100</v>
      </c>
      <c r="C2" s="126"/>
      <c r="D2" s="126"/>
      <c r="E2" s="126"/>
      <c r="F2" s="126"/>
      <c r="G2" s="126"/>
      <c r="H2" s="126"/>
      <c r="I2" s="126"/>
      <c r="J2" s="126"/>
      <c r="K2" s="126"/>
    </row>
    <row r="3" spans="2:11" ht="16.5" customHeight="1">
      <c r="B3" s="8"/>
      <c r="C3" s="9"/>
      <c r="D3" s="13"/>
      <c r="E3" s="141" t="str">
        <f>"Yield pounds per 
"&amp;FIXED(Budget!D52,0,FALSE)&amp;" square feet"</f>
        <v>Yield pounds per 
2,000 square feet</v>
      </c>
      <c r="F3" s="141"/>
      <c r="G3" s="141"/>
      <c r="H3" s="141"/>
      <c r="I3" s="141"/>
      <c r="J3" s="141"/>
      <c r="K3" s="142"/>
    </row>
    <row r="4" spans="2:11" ht="16.5" customHeight="1">
      <c r="B4" s="10"/>
      <c r="C4" s="11"/>
      <c r="D4" s="14"/>
      <c r="E4" s="51" t="s">
        <v>25</v>
      </c>
      <c r="F4" s="51" t="s">
        <v>24</v>
      </c>
      <c r="G4" s="51" t="s">
        <v>20</v>
      </c>
      <c r="H4" s="51" t="s">
        <v>18</v>
      </c>
      <c r="I4" s="51" t="s">
        <v>16</v>
      </c>
      <c r="J4" s="51" t="s">
        <v>22</v>
      </c>
      <c r="K4" s="52" t="s">
        <v>23</v>
      </c>
    </row>
    <row r="5" spans="2:11" ht="16.5" customHeight="1">
      <c r="B5" s="15"/>
      <c r="C5" s="16"/>
      <c r="D5" s="2"/>
      <c r="E5" s="53">
        <f>H5*70%</f>
        <v>1512</v>
      </c>
      <c r="F5" s="53">
        <f>H5*80%</f>
        <v>1728</v>
      </c>
      <c r="G5" s="53">
        <f>H5*90%</f>
        <v>1944</v>
      </c>
      <c r="H5" s="53">
        <f>Budget!E5</f>
        <v>2160</v>
      </c>
      <c r="I5" s="53">
        <f>H5*110%</f>
        <v>2376</v>
      </c>
      <c r="J5" s="53">
        <f>H5*120%</f>
        <v>2592</v>
      </c>
      <c r="K5" s="54">
        <f>H5*130%</f>
        <v>2808</v>
      </c>
    </row>
    <row r="6" spans="2:11" ht="16.5" customHeight="1">
      <c r="B6" s="138" t="s">
        <v>78</v>
      </c>
      <c r="C6" s="46" t="s">
        <v>21</v>
      </c>
      <c r="D6" s="47">
        <f>D9*85%</f>
        <v>1.9040000000000001</v>
      </c>
      <c r="E6" s="33">
        <f>(D6*$E$5)-Budget!$G$42</f>
        <v>-208.52007642730996</v>
      </c>
      <c r="F6" s="34">
        <f>(D6*$F$5)-Budget!$G$42</f>
        <v>202.74392357268971</v>
      </c>
      <c r="G6" s="34">
        <f>(D6*$G$5)-Budget!$G$42</f>
        <v>614.00792357268983</v>
      </c>
      <c r="H6" s="34">
        <f>(D6*$H$5)-Budget!$G$42</f>
        <v>1025.27192357269</v>
      </c>
      <c r="I6" s="34">
        <f>(D6*$I$5)-Budget!$G$42</f>
        <v>1436.5359235726901</v>
      </c>
      <c r="J6" s="34">
        <f>(D6*$J$5)-Budget!$G$42</f>
        <v>1847.7999235726902</v>
      </c>
      <c r="K6" s="35">
        <f>(D6*$K$5)-Budget!$G$42</f>
        <v>2259.0639235726903</v>
      </c>
    </row>
    <row r="7" spans="2:11" ht="16.5" customHeight="1">
      <c r="B7" s="138"/>
      <c r="C7" s="46" t="s">
        <v>20</v>
      </c>
      <c r="D7" s="47">
        <f>D9*90%</f>
        <v>2.0160000000000005</v>
      </c>
      <c r="E7" s="36">
        <f>(D7*$E$5)-Budget!$G$42</f>
        <v>-39.176076427309454</v>
      </c>
      <c r="F7" s="37">
        <f>(D7*$F$5)-Budget!$G$42</f>
        <v>396.27992357269022</v>
      </c>
      <c r="G7" s="37">
        <f>(D7*$G$5)-Budget!$G$42</f>
        <v>831.73592357269035</v>
      </c>
      <c r="H7" s="37">
        <f>(D7*$H$5)-Budget!$G$42</f>
        <v>1267.1919235726909</v>
      </c>
      <c r="I7" s="37">
        <f>(D7*$I$5)-Budget!$G$42</f>
        <v>1702.6479235726911</v>
      </c>
      <c r="J7" s="37">
        <f>(D7*$J$5)-Budget!$G$42</f>
        <v>2138.1039235726912</v>
      </c>
      <c r="K7" s="38">
        <f>(D7*$K$5)-Budget!$G$42</f>
        <v>2573.5599235726913</v>
      </c>
    </row>
    <row r="8" spans="2:11" ht="16.5" customHeight="1" thickBot="1">
      <c r="B8" s="138"/>
      <c r="C8" s="48" t="s">
        <v>19</v>
      </c>
      <c r="D8" s="47">
        <f>D9*0.95</f>
        <v>2.1280000000000001</v>
      </c>
      <c r="E8" s="36">
        <f>(D8*$E$5)-Budget!$G$42</f>
        <v>130.16792357268969</v>
      </c>
      <c r="F8" s="37">
        <f>(D8*$F$5)-Budget!$G$42</f>
        <v>589.81592357268983</v>
      </c>
      <c r="G8" s="37">
        <f>(D8*$G$5)-Budget!$G$42</f>
        <v>1049.46392357269</v>
      </c>
      <c r="H8" s="37">
        <f>(D8*$H$5)-Budget!$G$42</f>
        <v>1509.1119235726901</v>
      </c>
      <c r="I8" s="37">
        <f>(D8*$I$5)-Budget!$G$42</f>
        <v>1968.7599235726902</v>
      </c>
      <c r="J8" s="37">
        <f>(D8*$J$5)-Budget!$G$42</f>
        <v>2428.4079235726895</v>
      </c>
      <c r="K8" s="38">
        <f>(D8*$K$5)-Budget!$G$42</f>
        <v>2888.0559235726896</v>
      </c>
    </row>
    <row r="9" spans="2:11" ht="16.5" customHeight="1" thickBot="1">
      <c r="B9" s="138"/>
      <c r="C9" s="46" t="s">
        <v>18</v>
      </c>
      <c r="D9" s="113">
        <f>Budget!F5</f>
        <v>2.2400000000000002</v>
      </c>
      <c r="E9" s="36">
        <f>(D9*$E$5)-Budget!$G$42</f>
        <v>299.51192357268974</v>
      </c>
      <c r="F9" s="37">
        <f>(D9*$F$5)-Budget!$G$42</f>
        <v>783.35192357268988</v>
      </c>
      <c r="G9" s="37">
        <f>(D9*$G$5)-Budget!$G$42</f>
        <v>1267.19192357269</v>
      </c>
      <c r="H9" s="39">
        <f>(D9*$H$5)-Budget!$G$42</f>
        <v>1751.0319235726902</v>
      </c>
      <c r="I9" s="37">
        <f>(D9*$I$5)-Budget!$G$42</f>
        <v>2234.8719235726903</v>
      </c>
      <c r="J9" s="37">
        <f>(D9*$J$5)-Budget!$G$42</f>
        <v>2718.7119235726905</v>
      </c>
      <c r="K9" s="38">
        <f>(D9*$K$5)-Budget!$G$42</f>
        <v>3202.5519235726906</v>
      </c>
    </row>
    <row r="10" spans="2:11" ht="16.5" customHeight="1">
      <c r="B10" s="138"/>
      <c r="C10" s="46" t="s">
        <v>17</v>
      </c>
      <c r="D10" s="47">
        <f>D9*105%</f>
        <v>2.3520000000000003</v>
      </c>
      <c r="E10" s="36">
        <f>(D10*$E$5)-Budget!$G$42</f>
        <v>468.85592357269024</v>
      </c>
      <c r="F10" s="37">
        <f>(D10*$F$5)-Budget!$G$42</f>
        <v>976.88792357268994</v>
      </c>
      <c r="G10" s="37">
        <f>(D10*$G$5)-Budget!$G$42</f>
        <v>1484.9199235726901</v>
      </c>
      <c r="H10" s="37">
        <f>(D10*$H$5)-Budget!$G$42</f>
        <v>1992.9519235726902</v>
      </c>
      <c r="I10" s="37">
        <f>(D10*$I$5)-Budget!$G$42</f>
        <v>2500.9839235726904</v>
      </c>
      <c r="J10" s="37">
        <f>(D10*$J$5)-Budget!$G$42</f>
        <v>3009.0159235726906</v>
      </c>
      <c r="K10" s="38">
        <f>(D10*$K$5)-Budget!$G$42</f>
        <v>3517.0479235726907</v>
      </c>
    </row>
    <row r="11" spans="2:11" ht="16.5" customHeight="1">
      <c r="B11" s="138"/>
      <c r="C11" s="46" t="s">
        <v>16</v>
      </c>
      <c r="D11" s="47">
        <f>D9*110%</f>
        <v>2.4640000000000004</v>
      </c>
      <c r="E11" s="36">
        <f>(D11*$E$5)-Budget!$G$42</f>
        <v>638.1999235726903</v>
      </c>
      <c r="F11" s="37">
        <f>(D11*$F$5)-Budget!$G$42</f>
        <v>1170.42392357269</v>
      </c>
      <c r="G11" s="37">
        <f>(D11*$G$5)-Budget!$G$42</f>
        <v>1702.6479235726902</v>
      </c>
      <c r="H11" s="37">
        <f>(D11*$H$5)-Budget!$G$42</f>
        <v>2234.8719235726903</v>
      </c>
      <c r="I11" s="37">
        <f>(D11*$I$5)-Budget!$G$42</f>
        <v>2767.0959235726905</v>
      </c>
      <c r="J11" s="37">
        <f>(D11*$J$5)-Budget!$G$42</f>
        <v>3299.3199235726906</v>
      </c>
      <c r="K11" s="38">
        <f>(D11*$K$5)-Budget!$G$42</f>
        <v>3831.5439235726908</v>
      </c>
    </row>
    <row r="12" spans="2:11" ht="16.5" customHeight="1">
      <c r="B12" s="139"/>
      <c r="C12" s="49" t="s">
        <v>15</v>
      </c>
      <c r="D12" s="50">
        <f>D9*115%</f>
        <v>2.5760000000000001</v>
      </c>
      <c r="E12" s="40">
        <f>(D12*$E$5)-Budget!$G$42</f>
        <v>807.54392357268989</v>
      </c>
      <c r="F12" s="41">
        <f>(D12*$F$5)-Budget!$G$42</f>
        <v>1363.9599235726901</v>
      </c>
      <c r="G12" s="41">
        <f>(D12*$G$5)-Budget!$G$42</f>
        <v>1920.3759235726893</v>
      </c>
      <c r="H12" s="41">
        <f>(D12*$H$5)-Budget!$G$42</f>
        <v>2476.7919235726895</v>
      </c>
      <c r="I12" s="41">
        <f>(D12*$I$5)-Budget!$G$42</f>
        <v>3033.2079235726897</v>
      </c>
      <c r="J12" s="41">
        <f>(D12*$J$5)-Budget!$G$42</f>
        <v>3589.6239235726898</v>
      </c>
      <c r="K12" s="42">
        <f>(D12*$K$5)-Budget!$G$42</f>
        <v>4146.03992357269</v>
      </c>
    </row>
    <row r="13" spans="2:11" ht="16.5" customHeight="1">
      <c r="B13" s="31"/>
      <c r="C13" s="31"/>
      <c r="D13" s="31"/>
      <c r="E13" s="31"/>
      <c r="F13" s="31"/>
      <c r="G13" s="31"/>
      <c r="H13" s="31"/>
      <c r="I13" s="31"/>
      <c r="J13" s="31"/>
      <c r="K13" s="31"/>
    </row>
    <row r="14" spans="2:11" ht="16.5" customHeight="1">
      <c r="B14" s="136" t="s">
        <v>104</v>
      </c>
      <c r="C14" s="136"/>
      <c r="D14" s="136"/>
      <c r="E14" s="136"/>
      <c r="F14" s="136"/>
      <c r="G14" s="136"/>
      <c r="H14" s="136"/>
      <c r="I14" s="136"/>
      <c r="J14" s="136"/>
      <c r="K14" s="136"/>
    </row>
    <row r="15" spans="2:11" ht="16.5" customHeight="1">
      <c r="B15" s="126" t="s">
        <v>97</v>
      </c>
      <c r="C15" s="126"/>
      <c r="D15" s="126"/>
      <c r="E15" s="126"/>
      <c r="F15" s="126"/>
      <c r="G15" s="126"/>
      <c r="H15" s="126"/>
      <c r="I15" s="126"/>
      <c r="J15" s="126"/>
      <c r="K15" s="126"/>
    </row>
    <row r="16" spans="2:11" ht="16.5" customHeight="1">
      <c r="B16" s="8"/>
      <c r="C16" s="17"/>
      <c r="D16" s="17"/>
      <c r="E16" s="140" t="s">
        <v>2</v>
      </c>
      <c r="F16" s="141"/>
      <c r="G16" s="141"/>
      <c r="H16" s="141"/>
      <c r="I16" s="141"/>
      <c r="J16" s="141"/>
      <c r="K16" s="142"/>
    </row>
    <row r="17" spans="2:11" ht="16.5" customHeight="1">
      <c r="B17" s="12"/>
      <c r="C17" s="1"/>
      <c r="D17" s="3"/>
      <c r="E17" s="43" t="s">
        <v>21</v>
      </c>
      <c r="F17" s="44" t="s">
        <v>20</v>
      </c>
      <c r="G17" s="44" t="s">
        <v>19</v>
      </c>
      <c r="H17" s="44" t="s">
        <v>18</v>
      </c>
      <c r="I17" s="44" t="s">
        <v>17</v>
      </c>
      <c r="J17" s="44" t="s">
        <v>16</v>
      </c>
      <c r="K17" s="45" t="s">
        <v>15</v>
      </c>
    </row>
    <row r="18" spans="2:11" ht="16.5" customHeight="1">
      <c r="B18" s="143" t="s">
        <v>10</v>
      </c>
      <c r="C18" s="4"/>
      <c r="D18" s="55" t="s">
        <v>21</v>
      </c>
      <c r="E18" s="33">
        <f>(Budget!G6*0.85)-(Budget!G36*0.85)-Budget!G40</f>
        <v>1444.7379348226902</v>
      </c>
      <c r="F18" s="34">
        <f>(Budget!G6*0.9)-(Budget!G36*0.85)-Budget!G40</f>
        <v>1686.6579348226903</v>
      </c>
      <c r="G18" s="34">
        <f>(Budget!G6*0.95)-(Budget!G36*0.85)-Budget!G40</f>
        <v>1928.5779348226904</v>
      </c>
      <c r="H18" s="34">
        <f>Budget!G6-(Budget!G36*0.85)-Budget!G40</f>
        <v>2170.4979348226902</v>
      </c>
      <c r="I18" s="34">
        <f>(Budget!G6*1.05)-(Budget!G36*0.85)-Budget!G40</f>
        <v>2412.4179348226903</v>
      </c>
      <c r="J18" s="34">
        <f>(Budget!G6*1.1)-(Budget!G36*0.85)-Budget!G40</f>
        <v>2654.3379348226904</v>
      </c>
      <c r="K18" s="35">
        <f>(Budget!G6*1.15)-(Budget!G36*0.85)-Budget!G40</f>
        <v>2896.2579348226895</v>
      </c>
    </row>
    <row r="19" spans="2:11" ht="16.5" customHeight="1">
      <c r="B19" s="143"/>
      <c r="C19" s="4"/>
      <c r="D19" s="55" t="s">
        <v>20</v>
      </c>
      <c r="E19" s="36">
        <f>(Budget!G6*0.85)-(Budget!G36*0.9)-Budget!G40</f>
        <v>1304.9159310726902</v>
      </c>
      <c r="F19" s="37">
        <f>(Budget!G6*0.9)-(Budget!G36*0.9)-Budget!G40</f>
        <v>1546.8359310726903</v>
      </c>
      <c r="G19" s="37">
        <f>(Budget!G6*0.95)-(Budget!G36*0.9)-Budget!G40</f>
        <v>1788.7559310726904</v>
      </c>
      <c r="H19" s="37">
        <f>Budget!G6-(Budget!G36*0.9)-Budget!G40</f>
        <v>2030.6759310726904</v>
      </c>
      <c r="I19" s="37">
        <f>(Budget!G6*1.05)-(Budget!G36*0.9)-Budget!G40</f>
        <v>2272.5959310726903</v>
      </c>
      <c r="J19" s="37">
        <f>(Budget!G6*1.1)-(Budget!G36*0.9)-Budget!G40</f>
        <v>2514.5159310726904</v>
      </c>
      <c r="K19" s="38">
        <f>(Budget!G6*1.15)-(Budget!G36*0.9)-Budget!G40</f>
        <v>2756.4359310726895</v>
      </c>
    </row>
    <row r="20" spans="2:11" ht="16.5" customHeight="1" thickBot="1">
      <c r="B20" s="143"/>
      <c r="C20" s="4"/>
      <c r="D20" s="55" t="s">
        <v>19</v>
      </c>
      <c r="E20" s="36">
        <f>(Budget!G6*0.85)-(Budget!G36*0.95)-Budget!G40</f>
        <v>1165.0939273226902</v>
      </c>
      <c r="F20" s="37">
        <f>(Budget!G6*0.9)-(Budget!G36*0.95)-Budget!G40</f>
        <v>1407.0139273226903</v>
      </c>
      <c r="G20" s="37">
        <f>(Budget!G6*0.95)-(Budget!G36*0.95)-Budget!G40</f>
        <v>1648.9339273226904</v>
      </c>
      <c r="H20" s="37">
        <f>Budget!G6-(Budget!G36*0.95)-Budget!G40</f>
        <v>1890.8539273226904</v>
      </c>
      <c r="I20" s="37">
        <f>(Budget!G6*1.05)-(Budget!G36*0.95)-Budget!G40</f>
        <v>2132.7739273226903</v>
      </c>
      <c r="J20" s="37">
        <f>(Budget!G6*1.1)-(Budget!G36*0.95)-Budget!G40</f>
        <v>2374.6939273226903</v>
      </c>
      <c r="K20" s="38">
        <f>(Budget!G6*1.15)-(Budget!G36*0.95)-Budget!G40</f>
        <v>2616.6139273226895</v>
      </c>
    </row>
    <row r="21" spans="2:11" ht="16.5" customHeight="1" thickBot="1">
      <c r="B21" s="143"/>
      <c r="C21" s="4"/>
      <c r="D21" s="55" t="s">
        <v>18</v>
      </c>
      <c r="E21" s="36">
        <f>(Budget!G6*0.85)-Budget!G36-Budget!GG46</f>
        <v>1316.1999250000003</v>
      </c>
      <c r="F21" s="37">
        <f>(Budget!G6*0.9)-(Budget!G36)-Budget!G40</f>
        <v>1267.1919235726903</v>
      </c>
      <c r="G21" s="37">
        <f>(Budget!G6*0.95)-(Budget!G36)-Budget!G40</f>
        <v>1509.1119235726903</v>
      </c>
      <c r="H21" s="39">
        <f>Budget!G6-(Budget!G36)-Budget!G40</f>
        <v>1751.0319235726904</v>
      </c>
      <c r="I21" s="37">
        <f>(Budget!G6*1.05)-(Budget!G36)-Budget!G40</f>
        <v>1992.9519235726905</v>
      </c>
      <c r="J21" s="37">
        <f>(Budget!G6*1.1)-(Budget!G36)-Budget!G40</f>
        <v>2234.8719235726903</v>
      </c>
      <c r="K21" s="38">
        <f>(Budget!G6*1.15)-(Budget!G36)-Budget!G40</f>
        <v>2476.7919235726895</v>
      </c>
    </row>
    <row r="22" spans="2:11" ht="16.5" customHeight="1">
      <c r="B22" s="143"/>
      <c r="C22" s="4"/>
      <c r="D22" s="55" t="s">
        <v>17</v>
      </c>
      <c r="E22" s="36">
        <f>(Budget!G6*0.85)-(Budget!G36*1.05)-Budget!G40</f>
        <v>885.44991982269016</v>
      </c>
      <c r="F22" s="37">
        <f>(Budget!G6*0.9)-(Budget!G36*1.05)-Budget!G40</f>
        <v>1127.3699198226902</v>
      </c>
      <c r="G22" s="37">
        <f>(Budget!G6*0.95)-(Budget!G36*1.05)-Budget!G40</f>
        <v>1369.2899198226903</v>
      </c>
      <c r="H22" s="37">
        <f>Budget!G6-(Budget!G36*1.05)-Budget!G40</f>
        <v>1611.2099198226904</v>
      </c>
      <c r="I22" s="37">
        <f>(Budget!G6*1.05)-(Budget!G36*1.05)-Budget!G40</f>
        <v>1853.1299198226905</v>
      </c>
      <c r="J22" s="37">
        <f>(Budget!G6*1.1)-(Budget!G36*1.05)-Budget!G40</f>
        <v>2095.0499198226903</v>
      </c>
      <c r="K22" s="38">
        <f>(Budget!G6*1.15)-(Budget!G36*1.05)-Budget!G40</f>
        <v>2336.9699198226895</v>
      </c>
    </row>
    <row r="23" spans="2:11" ht="16.5" customHeight="1">
      <c r="B23" s="143"/>
      <c r="C23" s="4"/>
      <c r="D23" s="55" t="s">
        <v>16</v>
      </c>
      <c r="E23" s="36">
        <f>(Budget!G6*0.85)-(Budget!G36*1.1)-Budget!G40</f>
        <v>745.62791607269014</v>
      </c>
      <c r="F23" s="37">
        <f>(Budget!G6*0.9)-(Budget!G36*1.1)-Budget!G40</f>
        <v>987.54791607269021</v>
      </c>
      <c r="G23" s="37">
        <f>(Budget!G6*0.95)-(Budget!G36*1.1)-Budget!G40</f>
        <v>1229.4679160726903</v>
      </c>
      <c r="H23" s="37">
        <f>Budget!G6-(Budget!G36*1.1)-Budget!G40</f>
        <v>1471.3879160726904</v>
      </c>
      <c r="I23" s="37">
        <f>(Budget!G6*1.05)-(Budget!G36*1.1)-Budget!G40</f>
        <v>1713.3079160726904</v>
      </c>
      <c r="J23" s="37">
        <f>(Budget!G6*1.1)-(Budget!G36*1.1)-Budget!G40</f>
        <v>1955.2279160726905</v>
      </c>
      <c r="K23" s="38">
        <f>(Budget!G6*1.15)-(Budget!G36*1.1)-Budget!G40</f>
        <v>2197.1479160726894</v>
      </c>
    </row>
    <row r="24" spans="2:11" ht="16.5" customHeight="1">
      <c r="B24" s="144"/>
      <c r="C24" s="18"/>
      <c r="D24" s="56" t="s">
        <v>15</v>
      </c>
      <c r="E24" s="40">
        <f>(Budget!G6*0.85)-(Budget!G36*1.15)-Budget!G40</f>
        <v>605.80591232269057</v>
      </c>
      <c r="F24" s="41">
        <f>(Budget!G6*0.9)-(Budget!G36*1.15)-Budget!G40</f>
        <v>847.72591232269065</v>
      </c>
      <c r="G24" s="41">
        <f>(Budget!G6*0.95)-(Budget!G36*1.15)-Budget!G40</f>
        <v>1089.6459123226907</v>
      </c>
      <c r="H24" s="41">
        <f>Budget!G6-(Budget!G36*1.15)-Budget!G40</f>
        <v>1331.5659123226908</v>
      </c>
      <c r="I24" s="41">
        <f>(Budget!G6*1.05)-(Budget!G36*1.15)-Budget!G40</f>
        <v>1573.4859123226909</v>
      </c>
      <c r="J24" s="41">
        <f>(Budget!G6*1.1)-(Budget!G36*1.15)-Budget!G40</f>
        <v>1815.4059123226909</v>
      </c>
      <c r="K24" s="42">
        <f>(Budget!G6*1.15)-(Budget!G36*1.15)-Budget!G40</f>
        <v>2057.3259123226899</v>
      </c>
    </row>
    <row r="25" spans="2:11" ht="9" hidden="1" customHeight="1">
      <c r="B25" s="31"/>
      <c r="C25" s="31"/>
      <c r="D25" s="31"/>
      <c r="E25" s="31"/>
      <c r="F25" s="31"/>
      <c r="G25" s="31"/>
      <c r="H25" s="31"/>
      <c r="I25" s="31"/>
      <c r="J25" s="31"/>
      <c r="K25" s="31"/>
    </row>
    <row r="26" spans="2:11" ht="14.45" hidden="1" customHeight="1"/>
    <row r="28" spans="2:11" ht="32.1" hidden="1" customHeight="1"/>
    <row r="29" spans="2:11" ht="15.75" hidden="1">
      <c r="B29" s="137"/>
      <c r="C29" s="137"/>
      <c r="D29" s="137"/>
      <c r="E29" s="137"/>
      <c r="F29" s="137"/>
      <c r="G29" s="137"/>
      <c r="H29" s="137"/>
      <c r="I29" s="137"/>
      <c r="J29" s="137"/>
      <c r="K29" s="137"/>
    </row>
    <row r="30" spans="2:11" ht="15.75" hidden="1">
      <c r="B30" s="137"/>
      <c r="C30" s="137"/>
      <c r="D30" s="137"/>
      <c r="E30" s="137"/>
      <c r="F30" s="137"/>
      <c r="G30" s="137"/>
      <c r="H30" s="137"/>
      <c r="I30" s="137"/>
      <c r="J30" s="137"/>
      <c r="K30" s="137"/>
    </row>
    <row r="31" spans="2:11" ht="15.75" hidden="1">
      <c r="B31" s="32"/>
      <c r="C31" s="32"/>
      <c r="D31" s="32"/>
      <c r="E31" s="32"/>
      <c r="F31" s="32"/>
      <c r="G31" s="32"/>
      <c r="H31" s="32"/>
      <c r="I31" s="32"/>
      <c r="J31" s="32"/>
      <c r="K31" s="32"/>
    </row>
    <row r="32" spans="2:11" ht="15.75" hidden="1">
      <c r="G32" s="31"/>
      <c r="H32" s="31"/>
      <c r="I32" s="31"/>
      <c r="J32" s="31"/>
      <c r="K32" s="31"/>
    </row>
    <row r="33" spans="7:11" ht="15.75" hidden="1">
      <c r="G33" s="31"/>
      <c r="H33" s="31"/>
      <c r="I33" s="31"/>
      <c r="J33" s="31"/>
      <c r="K33" s="31"/>
    </row>
    <row r="34" spans="7:11" ht="15.75" hidden="1">
      <c r="G34" s="31"/>
      <c r="H34" s="31"/>
      <c r="I34" s="31"/>
      <c r="J34" s="31"/>
      <c r="K34" s="31"/>
    </row>
    <row r="35" spans="7:11" ht="15.75" hidden="1">
      <c r="G35" s="31"/>
      <c r="H35" s="31"/>
      <c r="I35" s="31"/>
      <c r="J35" s="31"/>
      <c r="K35" s="31"/>
    </row>
    <row r="36" spans="7:11" ht="15.75" hidden="1">
      <c r="G36" s="31"/>
      <c r="H36" s="31"/>
      <c r="I36" s="31"/>
      <c r="J36" s="31"/>
      <c r="K36" s="31"/>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9A0C41CD-FEE8-454C-910E-84BED6753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Staley, Clare (MU-Student)</cp:lastModifiedBy>
  <cp:revision/>
  <cp:lastPrinted>2025-08-06T14:58:12Z</cp:lastPrinted>
  <dcterms:created xsi:type="dcterms:W3CDTF">2020-07-30T17:48:44Z</dcterms:created>
  <dcterms:modified xsi:type="dcterms:W3CDTF">2025-10-06T19:33:42Z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