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Clare Staley 2025/High Tunnel Budgets Updated/"/>
    </mc:Choice>
  </mc:AlternateContent>
  <xr:revisionPtr revIDLastSave="1216" documentId="8_{167BCC06-40F6-4BDD-9967-199FE72D3A02}" xr6:coauthVersionLast="47" xr6:coauthVersionMax="47" xr10:uidLastSave="{499BB757-384D-4B80-85FB-22E53B5D066B}"/>
  <bookViews>
    <workbookView xWindow="57480" yWindow="-5280" windowWidth="29040" windowHeight="16440"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Budget!$B$2:$H$46,Budget!$B$47:$I$67</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F30" i="1"/>
  <c r="E3" i="4" l="1"/>
  <c r="G4" i="1" l="1"/>
  <c r="G36" i="1" s="1"/>
  <c r="G8" i="1" l="1"/>
  <c r="K67" i="1" l="1"/>
  <c r="E66" i="1"/>
  <c r="E67" i="1" s="1"/>
  <c r="F66" i="1"/>
  <c r="F67" i="1" s="1"/>
  <c r="D66" i="1"/>
  <c r="D67" i="1" s="1"/>
  <c r="G55" i="1"/>
  <c r="I55" i="1" s="1"/>
  <c r="G56" i="1"/>
  <c r="I56" i="1" s="1"/>
  <c r="G57" i="1"/>
  <c r="I57" i="1" s="1"/>
  <c r="G58" i="1"/>
  <c r="I58" i="1" s="1"/>
  <c r="G59" i="1"/>
  <c r="I59" i="1" s="1"/>
  <c r="G60" i="1"/>
  <c r="I60" i="1" s="1"/>
  <c r="G61" i="1"/>
  <c r="I61" i="1" s="1"/>
  <c r="G62" i="1"/>
  <c r="I62" i="1" s="1"/>
  <c r="G63" i="1"/>
  <c r="I63" i="1" s="1"/>
  <c r="G64" i="1"/>
  <c r="I64" i="1" s="1"/>
  <c r="G65" i="1"/>
  <c r="I65" i="1" s="1"/>
  <c r="G54" i="1"/>
  <c r="I54" i="1" s="1"/>
  <c r="G66" i="1" l="1"/>
  <c r="G67" i="1" s="1"/>
  <c r="I66" i="1"/>
  <c r="I67" i="1" l="1"/>
  <c r="F37" i="1"/>
  <c r="H32" i="1"/>
  <c r="G37" i="1" l="1"/>
  <c r="H37" i="1" s="1"/>
  <c r="G17" i="1"/>
  <c r="H17" i="1" s="1"/>
  <c r="G14" i="1"/>
  <c r="H14" i="1" s="1"/>
  <c r="G12" i="1"/>
  <c r="H12" i="1" s="1"/>
  <c r="G13" i="1"/>
  <c r="H13" i="1" s="1"/>
  <c r="G28" i="1"/>
  <c r="H28" i="1" s="1"/>
  <c r="G26" i="1"/>
  <c r="H26" i="1" s="1"/>
  <c r="G24" i="1"/>
  <c r="H24" i="1" s="1"/>
  <c r="G25" i="1"/>
  <c r="H25" i="1" s="1"/>
  <c r="G23" i="1"/>
  <c r="H23" i="1" s="1"/>
  <c r="G20" i="1"/>
  <c r="H20" i="1" s="1"/>
  <c r="G21" i="1"/>
  <c r="H21" i="1" s="1"/>
  <c r="G22" i="1"/>
  <c r="H22" i="1" s="1"/>
  <c r="G10" i="1"/>
  <c r="H10" i="1" s="1"/>
  <c r="H5" i="4" l="1"/>
  <c r="G16" i="1" l="1"/>
  <c r="H16" i="1" s="1"/>
  <c r="I5" i="4" l="1"/>
  <c r="D9" i="4"/>
  <c r="J5" i="4" l="1"/>
  <c r="K5" i="4"/>
  <c r="G5" i="4"/>
  <c r="F5" i="4"/>
  <c r="E5" i="4"/>
  <c r="D8" i="4"/>
  <c r="D10" i="4"/>
  <c r="D11" i="4"/>
  <c r="D7" i="4"/>
  <c r="D12" i="4"/>
  <c r="D6" i="4"/>
  <c r="G38" i="1" l="1"/>
  <c r="H38" i="1" s="1"/>
  <c r="G27" i="1" l="1"/>
  <c r="H27" i="1" s="1"/>
  <c r="G29" i="1"/>
  <c r="H29" i="1" s="1"/>
  <c r="G19" i="1"/>
  <c r="H19" i="1" s="1"/>
  <c r="G15" i="1"/>
  <c r="H15" i="1" s="1"/>
  <c r="G9" i="1"/>
  <c r="G5" i="1"/>
  <c r="H5" i="1" s="1"/>
  <c r="H9" i="1" l="1"/>
  <c r="G30" i="1"/>
  <c r="H30" i="1" s="1"/>
  <c r="G6" i="1"/>
  <c r="E31" i="1" l="1"/>
  <c r="G31" i="1" s="1"/>
  <c r="H31" i="1" s="1"/>
  <c r="G33" i="1" l="1"/>
  <c r="H33" i="1" s="1"/>
  <c r="G34" i="1" l="1"/>
  <c r="H34" i="1" s="1"/>
  <c r="I24" i="4"/>
  <c r="K21" i="4"/>
  <c r="J20" i="4"/>
  <c r="E19" i="4"/>
  <c r="H19" i="4"/>
  <c r="E18" i="4"/>
  <c r="J18" i="4"/>
  <c r="G23" i="4"/>
  <c r="F21" i="4"/>
  <c r="H23" i="4"/>
  <c r="H22" i="4"/>
  <c r="K23" i="4"/>
  <c r="J21" i="4"/>
  <c r="I23" i="4"/>
  <c r="F22" i="4"/>
  <c r="G20" i="4"/>
  <c r="K20" i="4"/>
  <c r="K24" i="4"/>
  <c r="J24" i="4"/>
  <c r="E24" i="4"/>
  <c r="H20" i="4"/>
  <c r="F18" i="4"/>
  <c r="G22" i="4"/>
  <c r="H24" i="4"/>
  <c r="F20" i="4"/>
  <c r="G19" i="4"/>
  <c r="G18" i="4"/>
  <c r="E20" i="4"/>
  <c r="J23" i="4"/>
  <c r="F23" i="4"/>
  <c r="I22" i="4"/>
  <c r="J19" i="4"/>
  <c r="K19" i="4"/>
  <c r="E23" i="4"/>
  <c r="K18" i="4"/>
  <c r="E22" i="4"/>
  <c r="H18" i="4"/>
  <c r="E21" i="4"/>
  <c r="I21" i="4"/>
  <c r="I20" i="4"/>
  <c r="F19" i="4"/>
  <c r="H21" i="4"/>
  <c r="J22" i="4"/>
  <c r="G24" i="4"/>
  <c r="I18" i="4"/>
  <c r="G21" i="4"/>
  <c r="I19" i="4"/>
  <c r="F24" i="4"/>
  <c r="K22" i="4"/>
  <c r="G40" i="1"/>
  <c r="G42" i="1"/>
  <c r="H42" i="1" s="1"/>
  <c r="H40" i="1" l="1"/>
  <c r="I9" i="4"/>
  <c r="H9" i="4"/>
  <c r="E9" i="4"/>
  <c r="J12" i="4"/>
  <c r="J8" i="4"/>
  <c r="F9" i="4"/>
  <c r="G12" i="4"/>
  <c r="G8" i="4"/>
  <c r="G9" i="4"/>
  <c r="E8" i="4"/>
  <c r="K9" i="4"/>
  <c r="I12" i="4"/>
  <c r="K11" i="4"/>
  <c r="I11" i="4"/>
  <c r="F11" i="4"/>
  <c r="G11" i="4"/>
  <c r="H11" i="4"/>
  <c r="J11" i="4"/>
  <c r="K7" i="4"/>
  <c r="H10" i="4"/>
  <c r="E10" i="4"/>
  <c r="H6" i="4"/>
  <c r="F6" i="4"/>
  <c r="F12" i="4"/>
  <c r="E11" i="4"/>
  <c r="F10" i="4"/>
  <c r="H8" i="4"/>
  <c r="H12" i="4"/>
  <c r="H7" i="4"/>
  <c r="E7" i="4"/>
  <c r="F7" i="4"/>
  <c r="J7" i="4"/>
  <c r="K6" i="4"/>
  <c r="I6" i="4"/>
  <c r="G10" i="4"/>
  <c r="E6" i="4"/>
  <c r="K12" i="4"/>
  <c r="I8" i="4"/>
  <c r="J9" i="4"/>
  <c r="G7" i="4"/>
  <c r="K10" i="4"/>
  <c r="J6" i="4"/>
  <c r="I10" i="4"/>
  <c r="G6" i="4"/>
  <c r="E12" i="4"/>
  <c r="I7" i="4"/>
  <c r="J10" i="4"/>
  <c r="K8" i="4"/>
  <c r="F8" i="4"/>
  <c r="G43" i="1"/>
  <c r="H4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<sst xmlns="http://schemas.openxmlformats.org/spreadsheetml/2006/main" count="150" uniqueCount="104">
  <si>
    <t>Updated: 1/2025</t>
  </si>
  <si>
    <t>This worksheet is for educational purposes only and the user assumes all risks associated with its use.</t>
  </si>
  <si>
    <t>Revenue</t>
  </si>
  <si>
    <t>Unit</t>
  </si>
  <si>
    <t xml:space="preserve"> Quantity</t>
  </si>
  <si>
    <t>each</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</si>
  <si>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</si>
  <si>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</si>
  <si>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</si>
  <si>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</si>
  <si>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</si>
  <si>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</si>
  <si>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</si>
  <si>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</si>
  <si>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</si>
  <si>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</si>
  <si>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</si>
  <si>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</si>
  <si>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</si>
  <si>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</si>
  <si>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</si>
  <si>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</si>
  <si>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</si>
  <si>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</si>
  <si>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</si>
  <si>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</si>
  <si>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 of sales</t>
  </si>
  <si>
    <t xml:space="preserve">For budget questions, contact: </t>
  </si>
  <si>
    <t>Ryan Milhollin, MU Extension</t>
  </si>
  <si>
    <t xml:space="preserve">For horticulture expertise, contact: </t>
  </si>
  <si>
    <t>MU Commercial Horticulture Team</t>
  </si>
  <si>
    <t>Price per unit</t>
  </si>
  <si>
    <t>Drip tape</t>
  </si>
  <si>
    <t>Labor</t>
  </si>
  <si>
    <t>Insecticide</t>
  </si>
  <si>
    <t>hour</t>
  </si>
  <si>
    <t xml:space="preserve">Marketing </t>
  </si>
  <si>
    <t>Miscellaneous</t>
  </si>
  <si>
    <t>Developed by: Peter Zimmel, FAPRI</t>
  </si>
  <si>
    <t>Dollars per
 sq. ft.</t>
  </si>
  <si>
    <t>Bell Pepper (High Tunnel) Enterprise Budget</t>
  </si>
  <si>
    <t>Bell peppers</t>
  </si>
  <si>
    <t>Transplants</t>
  </si>
  <si>
    <t>Soil test</t>
  </si>
  <si>
    <t>General</t>
  </si>
  <si>
    <t xml:space="preserve">Harvest </t>
  </si>
  <si>
    <t>Fertigation</t>
  </si>
  <si>
    <t>Lay beds</t>
  </si>
  <si>
    <t>Tilling</t>
  </si>
  <si>
    <t>Fertilizer spreading</t>
  </si>
  <si>
    <t>Planting</t>
  </si>
  <si>
    <t>Staking</t>
  </si>
  <si>
    <t>Weeding</t>
  </si>
  <si>
    <t>Irrigation (setup and maint.)</t>
  </si>
  <si>
    <t>IPM scouting/application</t>
  </si>
  <si>
    <t xml:space="preserve">Fertilizer </t>
  </si>
  <si>
    <t>total</t>
  </si>
  <si>
    <t>Water soluble fertilizer</t>
  </si>
  <si>
    <t>Compost fertilizer</t>
  </si>
  <si>
    <t>Plastic mulch</t>
  </si>
  <si>
    <t>Boxes and other supplies</t>
  </si>
  <si>
    <t>feet</t>
  </si>
  <si>
    <t>Stakes</t>
  </si>
  <si>
    <t>High tunnel building use</t>
  </si>
  <si>
    <t>month</t>
  </si>
  <si>
    <t>Component</t>
  </si>
  <si>
    <t>Machinery</t>
  </si>
  <si>
    <t>Materials</t>
  </si>
  <si>
    <t>Site evaluation and soil preparation</t>
  </si>
  <si>
    <t>Trenching and laying water pipes</t>
  </si>
  <si>
    <t>Inserting poles and setting posts</t>
  </si>
  <si>
    <t>Assembling the frame</t>
  </si>
  <si>
    <t>Treating and setting baseboards</t>
  </si>
  <si>
    <t>End and sidewall installation</t>
  </si>
  <si>
    <t>Pulling plastic</t>
  </si>
  <si>
    <t>Channel lock installation</t>
  </si>
  <si>
    <t>Shutter vents</t>
  </si>
  <si>
    <t>Trellis purlin installation</t>
  </si>
  <si>
    <t>Electrical</t>
  </si>
  <si>
    <t>Miscellaneous hardware and tools</t>
  </si>
  <si>
    <t>Total cost</t>
  </si>
  <si>
    <t>Useful life</t>
  </si>
  <si>
    <t>10-year cost</t>
  </si>
  <si>
    <t>pound</t>
  </si>
  <si>
    <t>Price per pound</t>
  </si>
  <si>
    <t xml:space="preserve">Bell Pepper (High Tunnel) Enterprise Budget for Missouri </t>
  </si>
  <si>
    <t>cubic yard</t>
  </si>
  <si>
    <t>Operating interest</t>
  </si>
  <si>
    <t>percent</t>
  </si>
  <si>
    <t>Cost per square foot</t>
  </si>
  <si>
    <t>High tunnel utilization</t>
  </si>
  <si>
    <t>Value</t>
  </si>
  <si>
    <t>High tunnel size (total area)</t>
  </si>
  <si>
    <t>square feet</t>
  </si>
  <si>
    <t>High tunnel area used for this crop</t>
  </si>
  <si>
    <t xml:space="preserve">Explore estimated annual returns over total costs under varying revenue and cost scenarios in full production. </t>
  </si>
  <si>
    <t>This budget models high tunnel bell pepper production under trickle irrigation. Marketing is assumed to be fresh markets. Develop a customized budget by adjusting the assumptions in gray cells to match the management practices and expected yields and prices for your farm.</t>
  </si>
  <si>
    <t xml:space="preserve">Budget created by Peter Zimmel, Food and Agricultural Policy Institute (FAPRI). Prices were updated January 2025. Access online at </t>
  </si>
  <si>
    <t xml:space="preserve">Explore annual profitability expectations (per square foot returns over total costs) under varying yield and price scenarios in full production and holding costs constant. </t>
  </si>
  <si>
    <t>This work is supported by the U.S. Department of Agriculture’s (USDA) Farm Service Agency through project award number FSA23CPT0012862. Its contents are solely the responsibility of the authors and do not necessarily represent the official views of the USDA.</t>
  </si>
  <si>
    <t>Table 2. Capital investments used in Missouri high tunnel bell pepper budget</t>
  </si>
  <si>
    <t>Table 3. Sensitivity analysis for Missouri high tunnel bell peppers budget, income over total costs</t>
  </si>
  <si>
    <t>Table 4. Sensitivity analysis for Missouri high tunnel bell peppers budget, operating costs and revenue</t>
  </si>
  <si>
    <t>https://extension.missouri.edu/programs/agricultural-business-and-policy-extension/missouri-crop-and-livestock-enterprise-budgets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</si>
</sst>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9">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i/>
      <sz val="10"/>
      <color theme="1"/>
      <name val="Aptos"/>
      <family val="2"/>
      <scheme val="minor"/>
    </font>
    <font>
      <sz val="10"/>
      <name val="Aptos"/>
      <family val="2"/>
      <scheme val="minor"/>
    </font>
    <font>
      <u/>
      <sz val="10"/>
      <color theme="10"/>
      <name val="Aptos"/>
      <family val="2"/>
      <scheme val="minor"/>
    </font>
    <font>
      <b/>
      <sz val="12"/>
      <color theme="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9" fillId="4" borderId="4" applyNumberFormat="0" applyAlignment="0" applyProtection="0"/>
    <xf numFmtId="0" fontId="1" fillId="0" borderId="0"/>
    <xf numFmtId="44" fontId="1" fillId="0" borderId="0" applyFont="0" applyFill="0" applyBorder="0" applyAlignment="0" applyProtection="0"/>
    <xf numFmtId="0" fontId="22" fillId="0" borderId="0" applyNumberFormat="0" applyFill="0" applyBorder="0" applyAlignment="0" applyProtection="0"/>
    <xf numFmtId="0" fontId="24" fillId="0" borderId="0"/>
  </cellStyleXfs>
  <cellXfs count="153">
    <xf numFmtId="0" fontId="0" fillId="0" borderId="0" xfId="0"/>
    <xf numFmtId="0" fontId="2" fillId="0" borderId="0" xfId="0" applyFont="1"/>
    <xf numFmtId="164" fontId="2" fillId="0" borderId="0" xfId="0" applyNumberFormat="1" applyFont="1"/>
    <xf numFmtId="0" fontId="4" fillId="0" borderId="0" xfId="0" applyFont="1"/>
    <xf numFmtId="0" fontId="0" fillId="5" borderId="0" xfId="0" applyFill="1"/>
    <xf numFmtId="0" fontId="12" fillId="5" borderId="0" xfId="0" applyFont="1" applyFill="1"/>
    <xf numFmtId="0" fontId="12" fillId="0" borderId="0" xfId="0" applyFont="1"/>
    <xf numFmtId="0" fontId="12" fillId="0" borderId="0" xfId="0" applyFont="1" applyAlignment="1">
      <alignment wrapText="1"/>
    </xf>
    <xf numFmtId="0" fontId="18" fillId="3" borderId="17" xfId="0" applyFont="1" applyFill="1" applyBorder="1" applyAlignment="1">
      <alignment horizontal="center" textRotation="90"/>
    </xf>
    <xf numFmtId="0" fontId="16" fillId="3" borderId="19" xfId="0" applyFont="1" applyFill="1" applyBorder="1"/>
    <xf numFmtId="3" fontId="12" fillId="0" borderId="11" xfId="0" applyNumberFormat="1" applyFont="1" applyBorder="1"/>
    <xf numFmtId="0" fontId="16" fillId="3" borderId="20" xfId="0" applyFont="1" applyFill="1" applyBorder="1"/>
    <xf numFmtId="3" fontId="12" fillId="0" borderId="1" xfId="0" applyNumberFormat="1" applyFont="1" applyBorder="1" applyAlignment="1">
      <alignment horizontal="right"/>
    </xf>
    <xf numFmtId="0" fontId="18" fillId="3" borderId="17" xfId="0" applyFont="1" applyFill="1" applyBorder="1" applyAlignment="1">
      <alignment horizontal="center" vertical="center" textRotation="90"/>
    </xf>
    <xf numFmtId="2" fontId="12" fillId="0" borderId="17" xfId="0" applyNumberFormat="1" applyFont="1" applyBorder="1" applyAlignment="1">
      <alignment horizontal="center"/>
    </xf>
    <xf numFmtId="164" fontId="12" fillId="2" borderId="0" xfId="4" applyNumberFormat="1" applyFont="1" applyFill="1" applyProtection="1">
      <protection locked="0"/>
    </xf>
    <xf numFmtId="165" fontId="12" fillId="2" borderId="0" xfId="0" applyNumberFormat="1" applyFont="1" applyFill="1" applyProtection="1">
      <protection locked="0"/>
    </xf>
    <xf numFmtId="9" fontId="12" fillId="2" borderId="0" xfId="1" applyFont="1" applyFill="1" applyProtection="1">
      <protection locked="0"/>
    </xf>
    <xf numFmtId="7" fontId="12" fillId="0" borderId="12" xfId="4" applyNumberFormat="1" applyFont="1" applyBorder="1" applyAlignment="1">
      <alignment horizontal="center"/>
    </xf>
    <xf numFmtId="0" fontId="12" fillId="3" borderId="16" xfId="0" applyFont="1" applyFill="1" applyBorder="1"/>
    <xf numFmtId="0" fontId="12" fillId="3" borderId="11" xfId="0" applyFont="1" applyFill="1" applyBorder="1"/>
    <xf numFmtId="0" fontId="12" fillId="3" borderId="12" xfId="0" applyFont="1" applyFill="1" applyBorder="1"/>
    <xf numFmtId="0" fontId="12" fillId="3" borderId="0" xfId="0" applyFont="1" applyFill="1"/>
    <xf numFmtId="0" fontId="17" fillId="5" borderId="0" xfId="0" applyFont="1" applyFill="1" applyAlignment="1">
      <alignment horizontal="right"/>
    </xf>
    <xf numFmtId="0" fontId="17" fillId="5" borderId="13" xfId="0" applyFont="1" applyFill="1" applyBorder="1" applyAlignment="1">
      <alignment horizontal="right"/>
    </xf>
    <xf numFmtId="0" fontId="18" fillId="3" borderId="12" xfId="0" applyFont="1" applyFill="1" applyBorder="1" applyAlignment="1">
      <alignment horizontal="center" textRotation="90"/>
    </xf>
    <xf numFmtId="3" fontId="12" fillId="0" borderId="18" xfId="0" applyNumberFormat="1" applyFont="1" applyBorder="1"/>
    <xf numFmtId="0" fontId="17" fillId="5" borderId="0" xfId="0" applyFont="1" applyFill="1" applyAlignment="1">
      <alignment horizontal="center" vertical="center"/>
    </xf>
    <xf numFmtId="9" fontId="17" fillId="5" borderId="0" xfId="0" applyNumberFormat="1" applyFont="1" applyFill="1" applyAlignment="1">
      <alignment horizontal="center" vertical="center"/>
    </xf>
    <xf numFmtId="0" fontId="17" fillId="5" borderId="2" xfId="0" applyFont="1" applyFill="1" applyBorder="1" applyAlignment="1">
      <alignment horizontal="center" vertical="center"/>
    </xf>
    <xf numFmtId="7" fontId="12" fillId="0" borderId="15" xfId="4" applyNumberFormat="1" applyFont="1" applyBorder="1" applyAlignment="1">
      <alignment horizontal="center"/>
    </xf>
    <xf numFmtId="0" fontId="12" fillId="3" borderId="18" xfId="0" applyFont="1" applyFill="1" applyBorder="1"/>
    <xf numFmtId="0" fontId="12" fillId="3" borderId="13" xfId="0" applyFont="1" applyFill="1" applyBorder="1"/>
    <xf numFmtId="0" fontId="18" fillId="3" borderId="15" xfId="0" applyFont="1" applyFill="1" applyBorder="1" applyAlignment="1">
      <alignment horizontal="center" textRotation="90"/>
    </xf>
    <xf numFmtId="0" fontId="18" fillId="3" borderId="2" xfId="0" applyFont="1" applyFill="1" applyBorder="1" applyAlignment="1">
      <alignment horizontal="center" textRotation="90"/>
    </xf>
    <xf numFmtId="6" fontId="17" fillId="0" borderId="16" xfId="4" applyNumberFormat="1" applyFont="1" applyBorder="1"/>
    <xf numFmtId="6" fontId="17" fillId="0" borderId="11" xfId="4" applyNumberFormat="1" applyFont="1" applyBorder="1"/>
    <xf numFmtId="6" fontId="17" fillId="0" borderId="18" xfId="4" applyNumberFormat="1" applyFont="1" applyBorder="1"/>
    <xf numFmtId="6" fontId="17" fillId="0" borderId="12" xfId="4" applyNumberFormat="1" applyFont="1" applyBorder="1"/>
    <xf numFmtId="6" fontId="17" fillId="0" borderId="0" xfId="4" applyNumberFormat="1" applyFont="1" applyBorder="1"/>
    <xf numFmtId="6" fontId="17" fillId="0" borderId="13" xfId="4" applyNumberFormat="1" applyFont="1" applyBorder="1"/>
    <xf numFmtId="6" fontId="17" fillId="0" borderId="21" xfId="4" applyNumberFormat="1" applyFont="1" applyBorder="1"/>
    <xf numFmtId="6" fontId="17" fillId="0" borderId="15" xfId="4" applyNumberFormat="1" applyFont="1" applyBorder="1"/>
    <xf numFmtId="6" fontId="17" fillId="0" borderId="2" xfId="4" applyNumberFormat="1" applyFont="1" applyBorder="1"/>
    <xf numFmtId="6" fontId="17" fillId="0" borderId="14" xfId="4" applyNumberFormat="1" applyFont="1" applyBorder="1"/>
    <xf numFmtId="3" fontId="12" fillId="0" borderId="22" xfId="0" applyNumberFormat="1" applyFont="1" applyBorder="1" applyAlignment="1">
      <alignment horizontal="right"/>
    </xf>
    <xf numFmtId="3" fontId="12" fillId="0" borderId="23" xfId="0" applyNumberFormat="1" applyFont="1" applyBorder="1" applyAlignment="1">
      <alignment horizontal="right"/>
    </xf>
    <xf numFmtId="0" fontId="12" fillId="3" borderId="27" xfId="0" applyFont="1" applyFill="1" applyBorder="1"/>
    <xf numFmtId="0" fontId="18" fillId="3" borderId="28" xfId="0" applyFont="1" applyFill="1" applyBorder="1" applyAlignment="1">
      <alignment horizontal="center" vertical="center" textRotation="90"/>
    </xf>
    <xf numFmtId="2" fontId="12" fillId="0" borderId="28" xfId="0" applyNumberFormat="1" applyFont="1" applyBorder="1" applyAlignment="1">
      <alignment horizontal="center"/>
    </xf>
    <xf numFmtId="0" fontId="2" fillId="5" borderId="0" xfId="0" applyFont="1" applyFill="1"/>
    <xf numFmtId="0" fontId="0" fillId="5" borderId="0" xfId="0" applyFill="1" applyAlignment="1">
      <alignment horizontal="right"/>
    </xf>
    <xf numFmtId="0" fontId="25" fillId="5" borderId="0" xfId="0" applyFont="1" applyFill="1" applyAlignment="1">
      <alignment horizontal="right"/>
    </xf>
    <xf numFmtId="164" fontId="0" fillId="5" borderId="0" xfId="0" applyNumberFormat="1" applyFill="1"/>
    <xf numFmtId="166" fontId="0" fillId="5" borderId="0" xfId="0" applyNumberFormat="1" applyFill="1"/>
    <xf numFmtId="0" fontId="5" fillId="0" borderId="0" xfId="0" applyFont="1"/>
    <xf numFmtId="0" fontId="6" fillId="0" borderId="0" xfId="0" applyFont="1"/>
    <xf numFmtId="0" fontId="17" fillId="0" borderId="0" xfId="0" applyFont="1"/>
    <xf numFmtId="0" fontId="14" fillId="0" borderId="0" xfId="0" applyFont="1"/>
    <xf numFmtId="0" fontId="15" fillId="5" borderId="1" xfId="6" applyFont="1" applyFill="1" applyBorder="1" applyAlignment="1">
      <alignment horizontal="left"/>
    </xf>
    <xf numFmtId="2" fontId="15" fillId="5" borderId="1" xfId="6" applyNumberFormat="1" applyFont="1" applyFill="1" applyBorder="1" applyAlignment="1">
      <alignment horizontal="right"/>
    </xf>
    <xf numFmtId="2" fontId="15" fillId="5" borderId="1" xfId="6" applyNumberFormat="1" applyFont="1" applyFill="1" applyBorder="1" applyAlignment="1">
      <alignment horizontal="right" wrapText="1"/>
    </xf>
    <xf numFmtId="0" fontId="8" fillId="0" borderId="0" xfId="0" applyFont="1"/>
    <xf numFmtId="164" fontId="12" fillId="0" borderId="2" xfId="0" applyNumberFormat="1" applyFont="1" applyBorder="1"/>
    <xf numFmtId="164" fontId="12" fillId="0" borderId="1" xfId="0" applyNumberFormat="1" applyFont="1" applyBorder="1"/>
    <xf numFmtId="0" fontId="5" fillId="0" borderId="0" xfId="0" applyFont="1" applyAlignment="1">
      <alignment horizontal="right"/>
    </xf>
    <xf numFmtId="164" fontId="12" fillId="0" borderId="0" xfId="0" applyNumberFormat="1" applyFont="1"/>
    <xf numFmtId="0" fontId="15" fillId="0" borderId="1" xfId="0" applyFont="1" applyBorder="1"/>
    <xf numFmtId="165" fontId="12" fillId="0" borderId="0" xfId="0" applyNumberFormat="1" applyFont="1"/>
    <xf numFmtId="164" fontId="12" fillId="0" borderId="0" xfId="4" applyNumberFormat="1" applyFont="1" applyProtection="1"/>
    <xf numFmtId="9" fontId="8" fillId="0" borderId="0" xfId="0" applyNumberFormat="1" applyFont="1" applyAlignment="1">
      <alignment horizontal="left"/>
    </xf>
    <xf numFmtId="3" fontId="12" fillId="0" borderId="0" xfId="0" applyNumberFormat="1" applyFont="1"/>
    <xf numFmtId="0" fontId="7" fillId="0" borderId="1" xfId="0" applyFont="1" applyBorder="1" applyAlignment="1">
      <alignment horizontal="left" wrapText="1"/>
    </xf>
    <xf numFmtId="0" fontId="2" fillId="0" borderId="2" xfId="0" applyFont="1" applyBorder="1"/>
    <xf numFmtId="0" fontId="0" fillId="0" borderId="2" xfId="0" applyBorder="1"/>
    <xf numFmtId="0" fontId="5" fillId="0" borderId="0" xfId="0" applyFont="1" applyAlignment="1">
      <alignment horizontal="left"/>
    </xf>
    <xf numFmtId="0" fontId="5" fillId="0" borderId="11" xfId="0" applyFont="1" applyBorder="1" applyAlignment="1">
      <alignment horizontal="left" wrapText="1"/>
    </xf>
    <xf numFmtId="0" fontId="12" fillId="0" borderId="11" xfId="0" applyFont="1" applyBorder="1"/>
    <xf numFmtId="164" fontId="12" fillId="0" borderId="11" xfId="0" applyNumberFormat="1" applyFont="1" applyBorder="1"/>
    <xf numFmtId="0" fontId="5" fillId="0" borderId="3" xfId="0" applyFont="1" applyBorder="1" applyAlignment="1">
      <alignment horizontal="left"/>
    </xf>
    <xf numFmtId="0" fontId="2" fillId="0" borderId="3" xfId="0" applyFont="1" applyBorder="1"/>
    <xf numFmtId="0" fontId="12" fillId="0" borderId="3" xfId="0" applyFont="1" applyBorder="1"/>
    <xf numFmtId="164" fontId="12" fillId="0" borderId="3" xfId="0" applyNumberFormat="1" applyFont="1" applyBorder="1"/>
    <xf numFmtId="0" fontId="8" fillId="5" borderId="1" xfId="0" applyFont="1" applyFill="1" applyBorder="1"/>
    <xf numFmtId="0" fontId="8" fillId="5" borderId="1" xfId="0" applyFont="1" applyFill="1" applyBorder="1" applyAlignment="1">
      <alignment horizontal="right"/>
    </xf>
    <xf numFmtId="164" fontId="8" fillId="5" borderId="1" xfId="0" applyNumberFormat="1" applyFont="1" applyFill="1" applyBorder="1" applyAlignment="1">
      <alignment horizontal="right"/>
    </xf>
    <xf numFmtId="164" fontId="8" fillId="5" borderId="0" xfId="1" applyNumberFormat="1" applyFont="1" applyFill="1" applyBorder="1" applyProtection="1"/>
    <xf numFmtId="164" fontId="8" fillId="5" borderId="0" xfId="0" applyNumberFormat="1" applyFont="1" applyFill="1"/>
    <xf numFmtId="164" fontId="8" fillId="5" borderId="2" xfId="1" applyNumberFormat="1" applyFont="1" applyFill="1" applyBorder="1" applyProtection="1"/>
    <xf numFmtId="164" fontId="8" fillId="5" borderId="2" xfId="0" applyNumberFormat="1" applyFont="1" applyFill="1" applyBorder="1"/>
    <xf numFmtId="0" fontId="8" fillId="5" borderId="2" xfId="0" applyFont="1" applyFill="1" applyBorder="1" applyAlignment="1">
      <alignment horizontal="right"/>
    </xf>
    <xf numFmtId="0" fontId="8" fillId="2" borderId="0" xfId="0" applyFont="1" applyFill="1" applyProtection="1">
      <protection locked="0"/>
    </xf>
    <xf numFmtId="0" fontId="12" fillId="2" borderId="0" xfId="0" applyFont="1" applyFill="1" applyProtection="1">
      <protection locked="0"/>
    </xf>
    <xf numFmtId="164" fontId="8" fillId="2" borderId="0" xfId="0" applyNumberFormat="1" applyFont="1" applyFill="1" applyProtection="1">
      <protection locked="0"/>
    </xf>
    <xf numFmtId="164" fontId="8" fillId="2" borderId="0" xfId="1" applyNumberFormat="1" applyFont="1" applyFill="1" applyBorder="1" applyProtection="1">
      <protection locked="0"/>
    </xf>
    <xf numFmtId="164" fontId="8" fillId="2" borderId="0" xfId="0" applyNumberFormat="1" applyFont="1" applyFill="1" applyAlignment="1" applyProtection="1">
      <alignment horizontal="right"/>
      <protection locked="0"/>
    </xf>
    <xf numFmtId="0" fontId="26" fillId="2" borderId="0" xfId="6" applyFont="1" applyFill="1" applyAlignment="1" applyProtection="1">
      <alignment horizontal="left"/>
      <protection locked="0"/>
    </xf>
    <xf numFmtId="164" fontId="8" fillId="2" borderId="2" xfId="0" applyNumberFormat="1" applyFont="1" applyFill="1" applyBorder="1" applyProtection="1">
      <protection locked="0"/>
    </xf>
    <xf numFmtId="3" fontId="8" fillId="2" borderId="0" xfId="0" applyNumberFormat="1" applyFont="1" applyFill="1" applyProtection="1">
      <protection locked="0"/>
    </xf>
    <xf numFmtId="3" fontId="8" fillId="2" borderId="2" xfId="0" applyNumberFormat="1" applyFont="1" applyFill="1" applyBorder="1" applyProtection="1">
      <protection locked="0"/>
    </xf>
    <xf numFmtId="164" fontId="12" fillId="2" borderId="0" xfId="0" applyNumberFormat="1" applyFont="1" applyFill="1" applyProtection="1">
      <protection locked="0"/>
    </xf>
    <xf numFmtId="10" fontId="12" fillId="2" borderId="0" xfId="0" applyNumberFormat="1" applyFont="1" applyFill="1" applyProtection="1">
      <protection locked="0"/>
    </xf>
    <xf numFmtId="164" fontId="8" fillId="0" borderId="2" xfId="0" applyNumberFormat="1" applyFont="1" applyBorder="1"/>
    <xf numFmtId="0" fontId="8" fillId="5" borderId="0" xfId="0" applyFont="1" applyFill="1" applyAlignment="1">
      <alignment horizontal="right"/>
    </xf>
    <xf numFmtId="0" fontId="8" fillId="5" borderId="0" xfId="0" applyFont="1" applyFill="1"/>
    <xf numFmtId="0" fontId="0" fillId="5" borderId="2" xfId="0" applyFill="1" applyBorder="1"/>
    <xf numFmtId="0" fontId="0" fillId="0" borderId="1" xfId="0" applyBorder="1"/>
    <xf numFmtId="3" fontId="0" fillId="2" borderId="0" xfId="0" applyNumberFormat="1" applyFill="1" applyProtection="1">
      <protection locked="0"/>
    </xf>
    <xf numFmtId="3" fontId="0" fillId="0" borderId="0" xfId="0" applyNumberFormat="1" applyProtection="1">
      <protection locked="0"/>
    </xf>
    <xf numFmtId="3" fontId="12" fillId="0" borderId="11" xfId="0" applyNumberFormat="1" applyFont="1" applyBorder="1" applyProtection="1">
      <protection locked="0"/>
    </xf>
    <xf numFmtId="7" fontId="12" fillId="0" borderId="12" xfId="4" applyNumberFormat="1" applyFont="1" applyFill="1" applyBorder="1" applyAlignment="1" applyProtection="1">
      <alignment horizontal="center"/>
      <protection locked="0"/>
    </xf>
    <xf numFmtId="0" fontId="10" fillId="0" borderId="0" xfId="0" applyFont="1"/>
    <xf numFmtId="0" fontId="10" fillId="0" borderId="0" xfId="0" applyFont="1" applyAlignment="1">
      <alignment horizontal="center"/>
    </xf>
    <xf numFmtId="0" fontId="5" fillId="0" borderId="0" xfId="0" applyFont="1" applyAlignment="1">
      <alignment horizontal="right" vertical="top" wrapText="1"/>
    </xf>
    <xf numFmtId="0" fontId="23" fillId="0" borderId="0" xfId="5" applyFont="1" applyFill="1" applyAlignment="1">
      <alignment horizontal="left" vertical="top" wrapText="1"/>
    </xf>
    <xf numFmtId="164" fontId="0" fillId="0" borderId="0" xfId="0" applyNumberFormat="1" applyAlignment="1">
      <alignment horizontal="right"/>
    </xf>
    <xf numFmtId="0" fontId="0" fillId="0" borderId="0" xfId="0" applyAlignment="1">
      <alignment horizontal="right"/>
    </xf>
    <xf numFmtId="0" fontId="3" fillId="5" borderId="0" xfId="0" applyFont="1" applyFill="1"/>
    <xf numFmtId="0" fontId="27" fillId="0" borderId="0" xfId="5" applyFont="1" applyAlignment="1"/>
    <xf numFmtId="0" fontId="8" fillId="0" borderId="0" xfId="0" applyFont="1" applyAlignment="1">
      <alignment wrapText="1"/>
    </xf>
    <xf numFmtId="0" fontId="28" fillId="5" borderId="0" xfId="2" applyFont="1" applyFill="1" applyBorder="1" applyAlignment="1">
      <alignment horizontal="center" wrapText="1"/>
    </xf>
    <xf numFmtId="0" fontId="5" fillId="0" borderId="0" xfId="0" applyFont="1" applyAlignment="1">
      <alignment horizontal="right" wrapText="1"/>
    </xf>
    <xf numFmtId="0" fontId="23" fillId="0" borderId="0" xfId="5" applyFont="1" applyFill="1" applyAlignment="1">
      <alignment horizontal="left" wrapText="1"/>
    </xf>
    <xf numFmtId="0" fontId="3" fillId="0" borderId="0" xfId="0" applyFont="1"/>
    <xf numFmtId="0" fontId="8" fillId="2" borderId="11" xfId="0" applyFont="1" applyFill="1" applyBorder="1" applyProtection="1">
      <protection locked="0"/>
    </xf>
    <xf numFmtId="0" fontId="26" fillId="2" borderId="0" xfId="6" applyFont="1" applyFill="1" applyProtection="1">
      <protection locked="0"/>
    </xf>
    <xf numFmtId="0" fontId="11" fillId="3" borderId="5" xfId="0" applyFont="1" applyFill="1" applyBorder="1"/>
    <xf numFmtId="0" fontId="11" fillId="3" borderId="6" xfId="0" applyFont="1" applyFill="1" applyBorder="1"/>
    <xf numFmtId="0" fontId="20" fillId="3" borderId="5" xfId="3" applyFont="1" applyFill="1" applyBorder="1" applyAlignment="1">
      <alignment horizontal="center"/>
    </xf>
    <xf numFmtId="0" fontId="20" fillId="3" borderId="6" xfId="3" applyFont="1" applyFill="1" applyBorder="1" applyAlignment="1">
      <alignment horizontal="center"/>
    </xf>
    <xf numFmtId="0" fontId="20" fillId="3" borderId="7" xfId="3" applyFont="1" applyFill="1" applyBorder="1" applyAlignment="1">
      <alignment horizontal="center"/>
    </xf>
    <xf numFmtId="0" fontId="12" fillId="0" borderId="0" xfId="0" applyFont="1" applyAlignment="1">
      <alignment horizontal="right"/>
    </xf>
    <xf numFmtId="0" fontId="13" fillId="4" borderId="8" xfId="2" applyFont="1" applyBorder="1" applyAlignment="1">
      <alignment horizontal="center" wrapText="1"/>
    </xf>
    <xf numFmtId="0" fontId="13" fillId="4" borderId="9" xfId="2" applyFont="1" applyBorder="1" applyAlignment="1">
      <alignment horizontal="center" wrapText="1"/>
    </xf>
    <xf numFmtId="0" fontId="13" fillId="4" borderId="10" xfId="2" applyFont="1" applyBorder="1" applyAlignment="1">
      <alignment horizontal="center" wrapText="1"/>
    </xf>
    <xf numFmtId="0" fontId="12" fillId="0" borderId="0" xfId="0" applyFont="1" applyAlignment="1">
      <alignment horizontal="left" vertical="top" wrapText="1"/>
    </xf>
    <xf numFmtId="0" fontId="0" fillId="0" borderId="0" xfId="0" applyAlignment="1">
      <alignment horizontal="left" wrapText="1"/>
    </xf>
    <xf numFmtId="0" fontId="19" fillId="3" borderId="12" xfId="0" applyFont="1" applyFill="1" applyBorder="1" applyAlignment="1">
      <alignment horizontal="center" wrapText="1"/>
    </xf>
    <xf numFmtId="0" fontId="19" fillId="3" borderId="0" xfId="0" applyFont="1" applyFill="1" applyAlignment="1">
      <alignment horizontal="center" wrapText="1"/>
    </xf>
    <xf numFmtId="0" fontId="17" fillId="0" borderId="2" xfId="0" applyFont="1" applyBorder="1" applyAlignment="1">
      <alignment horizontal="center" wrapText="1"/>
    </xf>
    <xf numFmtId="0" fontId="8" fillId="2" borderId="0" xfId="0" applyFont="1" applyFill="1" applyAlignment="1" applyProtection="1">
      <alignment horizontal="left"/>
      <protection locked="0"/>
    </xf>
    <xf numFmtId="0" fontId="27" fillId="0" borderId="0" xfId="5" applyFont="1" applyAlignment="1">
      <alignment horizontal="left"/>
    </xf>
    <xf numFmtId="0" fontId="8" fillId="2" borderId="2" xfId="0" applyFont="1" applyFill="1" applyBorder="1" applyAlignment="1" applyProtection="1">
      <alignment horizontal="left"/>
      <protection locked="0"/>
    </xf>
    <xf numFmtId="0" fontId="5" fillId="5" borderId="0" xfId="0" applyFont="1" applyFill="1" applyAlignment="1">
      <alignment horizontal="center"/>
    </xf>
    <xf numFmtId="0" fontId="12" fillId="0" borderId="0" xfId="0" applyFont="1" applyAlignment="1">
      <alignment horizontal="left"/>
    </xf>
    <xf numFmtId="0" fontId="21" fillId="3" borderId="25" xfId="0" applyFont="1" applyFill="1" applyBorder="1" applyAlignment="1">
      <alignment horizontal="center" vertical="center" textRotation="90"/>
    </xf>
    <xf numFmtId="0" fontId="21" fillId="3" borderId="26" xfId="0" applyFont="1" applyFill="1" applyBorder="1" applyAlignment="1">
      <alignment horizontal="center" vertical="center" textRotation="90"/>
    </xf>
    <xf numFmtId="0" fontId="21" fillId="3" borderId="24" xfId="0" applyFont="1" applyFill="1" applyBorder="1" applyAlignment="1">
      <alignment horizontal="center"/>
    </xf>
    <xf numFmtId="0" fontId="21" fillId="3" borderId="1" xfId="0" applyFont="1" applyFill="1" applyBorder="1" applyAlignment="1">
      <alignment horizontal="center"/>
    </xf>
    <xf numFmtId="0" fontId="21" fillId="3" borderId="23" xfId="0" applyFont="1" applyFill="1" applyBorder="1" applyAlignment="1">
      <alignment horizontal="center"/>
    </xf>
    <xf numFmtId="0" fontId="21" fillId="3" borderId="12" xfId="0" applyFont="1" applyFill="1" applyBorder="1" applyAlignment="1">
      <alignment horizontal="center" vertical="center" textRotation="90"/>
    </xf>
    <xf numFmtId="0" fontId="21" fillId="3" borderId="15" xfId="0" applyFont="1" applyFill="1" applyBorder="1" applyAlignment="1">
      <alignment horizontal="center" vertical="center" textRotation="90"/>
    </xf>
    <xf numFmtId="0" fontId="12" fillId="5" borderId="0" xfId="0" applyFont="1" applyFill="1" applyAlignment="1">
      <alignment horizontal="left" wrapText="1"/>
    </xf>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5">
    <dxf>
      <font>
        <color rgb="FFFF0000"/>
      </font>
    </dxf>
    <dxf>
      <font>
        <color rgb="FFFF0000"/>
      </font>
    </dxf>
    <dxf>
      <font>
        <strike val="0"/>
        <color theme="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University of Missouri - Extension and Food &amp; Agricultural Policy Research Institute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xtension.missouri.edu/programs/agricultural-business-and-policy-extension/missouri-crop-and-livestock-enterprise-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E27"/>
  <sheetViews>
    <sheetView showGridLines="0" tabSelected="1" workbookViewId="0">
      <selection activeCell="B5" sqref="B5"/>
    </sheetView>
  </sheetViews>
  <sheetFormatPr defaultColWidth="0" defaultRowHeight="16.5" customHeight="1" zeroHeight="1"/>
  <cols>
    <col min="1" max="1" width="2.83203125" style="111" customWidth="1"/>
    <col min="2" max="2" width="35.75" style="111" customWidth="1"/>
    <col min="3" max="3" width="34.58203125" style="111" customWidth="1"/>
    <col min="4" max="4" width="36.25" style="111" customWidth="1"/>
    <col min="5" max="5" width="3" style="111" customWidth="1"/>
    <col min="6" max="16384" width="9" style="111" hidden="1"/>
  </cols>
  <sheetData>
    <row r="1" spans="2:4" ht="17" thickBot="1">
      <c r="B1"/>
      <c r="C1"/>
      <c r="D1"/>
    </row>
    <row r="2" spans="2:4" ht="19.5" customHeight="1" thickBot="1">
      <c r="B2" s="128" t="s">
        <v>85</v>
      </c>
      <c r="C2" s="129"/>
      <c r="D2" s="130"/>
    </row>
    <row r="3" spans="2:4" ht="16.5" customHeight="1">
      <c r="B3" s="131" t="s">
        <v>0</v>
      </c>
      <c r="C3" s="131"/>
      <c r="D3" s="131"/>
    </row>
    <row r="4" spans="2:4">
      <c r="B4" s="123" t="s">
        <v>38</v>
      </c>
      <c r="C4"/>
      <c r="D4"/>
    </row>
    <row r="5" spans="2:4" ht="72" customHeight="1">
      <c r="B5" s="121" t="s">
        <v>27</v>
      </c>
      <c r="C5" s="122" t="s">
        <v>28</v>
      </c>
      <c r="D5" s="111" t="e" vm="1">
        <v>#VALUE!</v>
      </c>
    </row>
    <row r="6" spans="2:4" ht="16.5" customHeight="1">
      <c r="B6" s="113" t="s">
        <v>29</v>
      </c>
      <c r="C6" s="114" t="s">
        <v>30</v>
      </c>
    </row>
    <row r="7" spans="2:4" ht="16.5" customHeight="1">
      <c r="D7" s="112"/>
    </row>
    <row r="8" spans="2:4" ht="48.65" customHeight="1">
      <c r="B8" s="135" t="s">
        <v>96</v>
      </c>
      <c r="C8" s="135"/>
      <c r="D8" s="135"/>
    </row>
    <row r="9" spans="2:4" ht="16.5" customHeight="1">
      <c r="B9" s="6"/>
      <c r="C9" s="6"/>
      <c r="D9" s="6"/>
    </row>
    <row r="10" spans="2:4" ht="16.5" customHeight="1">
      <c r="B10" s="132" t="s">
        <v>1</v>
      </c>
      <c r="C10" s="133"/>
      <c r="D10" s="134"/>
    </row>
    <row r="11" spans="2:4" ht="16.5" customHeight="1">
      <c r="B11" s="120"/>
      <c r="C11" s="120"/>
      <c r="D11" s="120"/>
    </row>
    <row r="12" spans="2:4" ht="43.5" customHeight="1">
      <c r="B12" s="136" t="s">
        <v>99</v>
      </c>
      <c r="C12" s="136"/>
      <c r="D12" s="136"/>
    </row>
    <row r="13" spans="2:4" ht="17" thickBot="1">
      <c r="B13"/>
      <c r="C13"/>
      <c r="D13"/>
    </row>
    <row r="14" spans="2:4" ht="19" thickBot="1">
      <c r="B14" s="126"/>
      <c r="C14" s="127"/>
      <c r="D14" s="127"/>
    </row>
    <row r="15" spans="2:4" hidden="1"/>
    <row r="16" spans="2:4" hidden="1"/>
    <row r="17" hidden="1"/>
    <row r="18" hidden="1"/>
    <row r="19" hidden="1"/>
    <row r="20" hidden="1"/>
    <row r="21" hidden="1"/>
    <row r="22" hidden="1"/>
    <row r="23" hidden="1"/>
    <row r="24" hidden="1"/>
    <row r="25" hidden="1"/>
    <row r="26" hidden="1"/>
    <row r="27" ht="16.5" customHeight="1"/>
  </sheetData>
  <sheetProtection sheet="1" objects="1" scenarios="1"/>
  <mergeCells count="6">
    <mergeCell ref="B14:D14"/>
    <mergeCell ref="B2:D2"/>
    <mergeCell ref="B3:D3"/>
    <mergeCell ref="B10:D10"/>
    <mergeCell ref="B8:D8"/>
    <mergeCell ref="B12:D12"/>
  </mergeCells>
  <hyperlinks>
    <hyperlink ref="C6" r:id="rId1" xr:uid="{60F8126B-D46E-4ABD-986C-B44783A3E7CD}"/>
    <hyperlink ref="C5" r:id="rId2" xr:uid="{300DED1D-4F06-434C-AD94-7F2F434D14E3}"/>
  </hyperlinks>
  <pageMargins left="0.7" right="0.7" top="0.75" bottom="0.75" header="0.3" footer="0.3"/>
  <pageSetup scale="76"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L74"/>
  <sheetViews>
    <sheetView showGridLines="0" zoomScaleNormal="100" workbookViewId="0">
      <selection activeCell="G48" sqref="G48"/>
    </sheetView>
  </sheetViews>
  <sheetFormatPr defaultColWidth="0" defaultRowHeight="15.5" zeroHeight="1"/>
  <cols>
    <col min="1" max="1" width="3.08203125" style="1" customWidth="1"/>
    <col min="2" max="2" width="1.58203125" style="1" customWidth="1"/>
    <col min="3" max="3" width="30.83203125" style="1" customWidth="1"/>
    <col min="4" max="4" width="12.58203125" style="1" customWidth="1"/>
    <col min="5" max="5" width="11.58203125" style="1" customWidth="1"/>
    <col min="6" max="6" width="13" style="1" customWidth="1"/>
    <col min="7" max="7" width="12.58203125" style="1" customWidth="1"/>
    <col min="8" max="8" width="11.33203125" style="1" customWidth="1"/>
    <col min="9" max="9" width="10.58203125" style="1" customWidth="1"/>
    <col min="10" max="10" width="3.08203125" style="1" customWidth="1"/>
    <col min="11" max="11" width="10" style="1" hidden="1" customWidth="1"/>
    <col min="12" max="16384" width="9" style="1" hidden="1"/>
  </cols>
  <sheetData>
    <row r="1" spans="1:12" ht="16.5" customHeight="1">
      <c r="C1" s="55"/>
      <c r="D1"/>
      <c r="E1"/>
      <c r="F1"/>
      <c r="G1"/>
      <c r="H1"/>
    </row>
    <row r="2" spans="1:12" ht="21.75" customHeight="1">
      <c r="B2" s="137" t="s">
        <v>40</v>
      </c>
      <c r="C2" s="138"/>
      <c r="D2" s="138"/>
      <c r="E2" s="138"/>
      <c r="F2" s="138"/>
      <c r="G2" s="138"/>
      <c r="H2" s="138"/>
    </row>
    <row r="3" spans="1:12" ht="16" customHeight="1">
      <c r="C3" s="56"/>
      <c r="D3" s="56"/>
      <c r="E3" s="139"/>
      <c r="F3" s="139"/>
      <c r="G3" s="139"/>
      <c r="H3" s="57"/>
      <c r="L3" s="3"/>
    </row>
    <row r="4" spans="1:12" ht="33" customHeight="1">
      <c r="A4" s="58"/>
      <c r="B4" s="59" t="s">
        <v>8</v>
      </c>
      <c r="C4" s="59"/>
      <c r="D4" s="59" t="s">
        <v>3</v>
      </c>
      <c r="E4" s="60" t="s">
        <v>4</v>
      </c>
      <c r="F4" s="61" t="s">
        <v>31</v>
      </c>
      <c r="G4" s="61" t="str">
        <f>"Dollars per 
"&amp;FIXED(D50,0,FALSE)&amp;" sq. ft."</f>
        <v>Dollars per 
2,000 sq. ft.</v>
      </c>
      <c r="H4" s="61" t="s">
        <v>39</v>
      </c>
    </row>
    <row r="5" spans="1:12" ht="16" customHeight="1">
      <c r="A5" s="58"/>
      <c r="B5" s="6" t="s">
        <v>41</v>
      </c>
      <c r="C5" s="6"/>
      <c r="D5" s="62" t="s">
        <v>83</v>
      </c>
      <c r="E5" s="16">
        <v>3072</v>
      </c>
      <c r="F5" s="15">
        <v>1.61</v>
      </c>
      <c r="G5" s="63">
        <f>E5*F5</f>
        <v>4945.92</v>
      </c>
      <c r="H5" s="64">
        <f>G5/2000</f>
        <v>2.47296</v>
      </c>
    </row>
    <row r="6" spans="1:12" ht="16" customHeight="1">
      <c r="A6" s="58"/>
      <c r="B6" s="58"/>
      <c r="C6" s="65" t="s">
        <v>9</v>
      </c>
      <c r="D6"/>
      <c r="E6" s="6"/>
      <c r="F6" s="6"/>
      <c r="G6" s="66">
        <f>G5</f>
        <v>4945.92</v>
      </c>
      <c r="H6" s="66"/>
    </row>
    <row r="7" spans="1:12" ht="8.15" customHeight="1">
      <c r="A7" s="58"/>
      <c r="B7" s="58"/>
      <c r="C7" s="65"/>
      <c r="D7"/>
      <c r="E7" s="6"/>
      <c r="F7" s="6"/>
      <c r="G7" s="66"/>
      <c r="H7" s="66"/>
    </row>
    <row r="8" spans="1:12" ht="33" customHeight="1">
      <c r="A8" s="58"/>
      <c r="B8" s="67" t="s">
        <v>10</v>
      </c>
      <c r="C8" s="67"/>
      <c r="D8" s="59" t="s">
        <v>3</v>
      </c>
      <c r="E8" s="60" t="s">
        <v>4</v>
      </c>
      <c r="F8" s="60" t="s">
        <v>31</v>
      </c>
      <c r="G8" s="61" t="str">
        <f>G4</f>
        <v>Dollars per 
2,000 sq. ft.</v>
      </c>
      <c r="H8" s="61" t="s">
        <v>39</v>
      </c>
    </row>
    <row r="9" spans="1:12" ht="16" customHeight="1">
      <c r="A9" s="58"/>
      <c r="B9" s="6" t="s">
        <v>42</v>
      </c>
      <c r="C9" s="6"/>
      <c r="D9" s="62" t="s">
        <v>5</v>
      </c>
      <c r="E9" s="16">
        <v>512</v>
      </c>
      <c r="F9" s="15">
        <v>0.32</v>
      </c>
      <c r="G9" s="66">
        <f>E9*F9</f>
        <v>163.84</v>
      </c>
      <c r="H9" s="66">
        <f>G9/2000</f>
        <v>8.1920000000000007E-2</v>
      </c>
    </row>
    <row r="10" spans="1:12" ht="16" customHeight="1">
      <c r="A10" s="58"/>
      <c r="B10" s="6" t="s">
        <v>43</v>
      </c>
      <c r="C10" s="6"/>
      <c r="D10" s="62" t="s">
        <v>5</v>
      </c>
      <c r="E10" s="16">
        <v>1</v>
      </c>
      <c r="F10" s="15">
        <v>15</v>
      </c>
      <c r="G10" s="66">
        <f>E10*F10</f>
        <v>15</v>
      </c>
      <c r="H10" s="66">
        <f>G10/2000</f>
        <v>7.4999999999999997E-3</v>
      </c>
    </row>
    <row r="11" spans="1:12" ht="16" customHeight="1">
      <c r="A11" s="58"/>
      <c r="B11" s="6" t="s">
        <v>55</v>
      </c>
      <c r="C11" s="6"/>
      <c r="D11" s="62"/>
      <c r="E11" s="68"/>
      <c r="F11" s="69"/>
      <c r="G11" s="66"/>
      <c r="H11" s="66"/>
    </row>
    <row r="12" spans="1:12" ht="16" customHeight="1">
      <c r="A12" s="58"/>
      <c r="B12" s="6"/>
      <c r="C12" s="6" t="s">
        <v>58</v>
      </c>
      <c r="D12" s="91" t="s">
        <v>86</v>
      </c>
      <c r="E12" s="16">
        <v>6</v>
      </c>
      <c r="F12" s="15">
        <v>5.78</v>
      </c>
      <c r="G12" s="66">
        <f t="shared" ref="G12:G14" si="0">E12*F12</f>
        <v>34.68</v>
      </c>
      <c r="H12" s="66">
        <f t="shared" ref="H12:H43" si="1">G12/2000</f>
        <v>1.7340000000000001E-2</v>
      </c>
    </row>
    <row r="13" spans="1:12" ht="16" customHeight="1">
      <c r="A13" s="58"/>
      <c r="B13" s="6"/>
      <c r="C13" s="6" t="s">
        <v>57</v>
      </c>
      <c r="D13" s="91" t="s">
        <v>56</v>
      </c>
      <c r="E13" s="16">
        <v>1</v>
      </c>
      <c r="F13" s="15">
        <v>42.77</v>
      </c>
      <c r="G13" s="66">
        <f t="shared" si="0"/>
        <v>42.77</v>
      </c>
      <c r="H13" s="66">
        <f t="shared" si="1"/>
        <v>2.1385000000000001E-2</v>
      </c>
    </row>
    <row r="14" spans="1:12" ht="16" customHeight="1">
      <c r="A14" s="58"/>
      <c r="B14" s="6" t="s">
        <v>34</v>
      </c>
      <c r="C14" s="6"/>
      <c r="D14" s="91" t="s">
        <v>56</v>
      </c>
      <c r="E14" s="16">
        <v>1</v>
      </c>
      <c r="F14" s="15">
        <v>129.13999999999999</v>
      </c>
      <c r="G14" s="66">
        <f t="shared" si="0"/>
        <v>129.13999999999999</v>
      </c>
      <c r="H14" s="66">
        <f t="shared" si="1"/>
        <v>6.4569999999999989E-2</v>
      </c>
    </row>
    <row r="15" spans="1:12" ht="16" customHeight="1">
      <c r="A15" s="58"/>
      <c r="B15" s="6" t="s">
        <v>32</v>
      </c>
      <c r="C15" s="6"/>
      <c r="D15" s="62" t="s">
        <v>61</v>
      </c>
      <c r="E15" s="16">
        <v>400</v>
      </c>
      <c r="F15" s="15">
        <v>0.06</v>
      </c>
      <c r="G15" s="66">
        <f>E15*F15</f>
        <v>24</v>
      </c>
      <c r="H15" s="66">
        <f t="shared" si="1"/>
        <v>1.2E-2</v>
      </c>
    </row>
    <row r="16" spans="1:12" ht="16" customHeight="1">
      <c r="A16" s="58"/>
      <c r="B16" s="6" t="s">
        <v>59</v>
      </c>
      <c r="C16" s="6"/>
      <c r="D16" s="62" t="s">
        <v>61</v>
      </c>
      <c r="E16" s="16">
        <v>400</v>
      </c>
      <c r="F16" s="15">
        <v>0.06</v>
      </c>
      <c r="G16" s="66">
        <f>E16*F16</f>
        <v>24</v>
      </c>
      <c r="H16" s="66">
        <f t="shared" si="1"/>
        <v>1.2E-2</v>
      </c>
    </row>
    <row r="17" spans="1:11" ht="16" customHeight="1">
      <c r="A17" s="58"/>
      <c r="B17" s="6" t="s">
        <v>62</v>
      </c>
      <c r="C17" s="6"/>
      <c r="D17" s="62" t="s">
        <v>5</v>
      </c>
      <c r="E17" s="16">
        <v>512</v>
      </c>
      <c r="F17" s="15">
        <v>0.24</v>
      </c>
      <c r="G17" s="66">
        <f>E17*F17</f>
        <v>122.88</v>
      </c>
      <c r="H17" s="66">
        <f t="shared" si="1"/>
        <v>6.1439999999999995E-2</v>
      </c>
    </row>
    <row r="18" spans="1:11" ht="16" customHeight="1">
      <c r="A18" s="58"/>
      <c r="B18" s="6" t="s">
        <v>33</v>
      </c>
      <c r="C18" s="6"/>
      <c r="D18" s="62"/>
      <c r="E18" s="68"/>
      <c r="F18" s="6"/>
      <c r="G18" s="66"/>
      <c r="H18" s="66"/>
    </row>
    <row r="19" spans="1:11" ht="16" customHeight="1">
      <c r="A19" s="58"/>
      <c r="B19" s="58"/>
      <c r="C19" s="6" t="s">
        <v>44</v>
      </c>
      <c r="D19" s="62" t="s">
        <v>35</v>
      </c>
      <c r="E19" s="16">
        <v>48</v>
      </c>
      <c r="F19" s="15">
        <v>18</v>
      </c>
      <c r="G19" s="66">
        <f>E19*F19</f>
        <v>864</v>
      </c>
      <c r="H19" s="66">
        <f t="shared" si="1"/>
        <v>0.432</v>
      </c>
    </row>
    <row r="20" spans="1:11" ht="16" customHeight="1">
      <c r="A20" s="58"/>
      <c r="B20" s="58"/>
      <c r="C20" s="6" t="s">
        <v>49</v>
      </c>
      <c r="D20" s="62" t="s">
        <v>35</v>
      </c>
      <c r="E20" s="16">
        <v>3</v>
      </c>
      <c r="F20" s="15">
        <v>18</v>
      </c>
      <c r="G20" s="66">
        <f t="shared" ref="G20:G26" si="2">E20*F20</f>
        <v>54</v>
      </c>
      <c r="H20" s="66">
        <f t="shared" si="1"/>
        <v>2.7E-2</v>
      </c>
    </row>
    <row r="21" spans="1:11" ht="16" customHeight="1">
      <c r="A21" s="58"/>
      <c r="B21" s="58"/>
      <c r="C21" s="6" t="s">
        <v>48</v>
      </c>
      <c r="D21" s="62" t="s">
        <v>35</v>
      </c>
      <c r="E21" s="16">
        <v>1</v>
      </c>
      <c r="F21" s="15">
        <v>18</v>
      </c>
      <c r="G21" s="66">
        <f t="shared" si="2"/>
        <v>18</v>
      </c>
      <c r="H21" s="66">
        <f t="shared" si="1"/>
        <v>8.9999999999999993E-3</v>
      </c>
    </row>
    <row r="22" spans="1:11" ht="16" customHeight="1">
      <c r="A22" s="58"/>
      <c r="B22" s="58"/>
      <c r="C22" s="6" t="s">
        <v>47</v>
      </c>
      <c r="D22" s="62" t="s">
        <v>35</v>
      </c>
      <c r="E22" s="16">
        <v>3</v>
      </c>
      <c r="F22" s="15">
        <v>18</v>
      </c>
      <c r="G22" s="66">
        <f t="shared" si="2"/>
        <v>54</v>
      </c>
      <c r="H22" s="66">
        <f t="shared" si="1"/>
        <v>2.7E-2</v>
      </c>
    </row>
    <row r="23" spans="1:11" ht="16" customHeight="1">
      <c r="A23" s="58"/>
      <c r="B23" s="58"/>
      <c r="C23" s="6" t="s">
        <v>50</v>
      </c>
      <c r="D23" s="62" t="s">
        <v>35</v>
      </c>
      <c r="E23" s="16">
        <v>3</v>
      </c>
      <c r="F23" s="15">
        <v>18</v>
      </c>
      <c r="G23" s="66">
        <f t="shared" si="2"/>
        <v>54</v>
      </c>
      <c r="H23" s="66">
        <f t="shared" si="1"/>
        <v>2.7E-2</v>
      </c>
    </row>
    <row r="24" spans="1:11" ht="16" customHeight="1">
      <c r="A24" s="58"/>
      <c r="B24" s="58"/>
      <c r="C24" s="6" t="s">
        <v>51</v>
      </c>
      <c r="D24" s="62" t="s">
        <v>35</v>
      </c>
      <c r="E24" s="16">
        <v>12</v>
      </c>
      <c r="F24" s="15">
        <v>18</v>
      </c>
      <c r="G24" s="66">
        <f t="shared" si="2"/>
        <v>216</v>
      </c>
      <c r="H24" s="66">
        <f t="shared" si="1"/>
        <v>0.108</v>
      </c>
    </row>
    <row r="25" spans="1:11" ht="16" customHeight="1">
      <c r="A25" s="58"/>
      <c r="B25" s="58"/>
      <c r="C25" s="6" t="s">
        <v>52</v>
      </c>
      <c r="D25" s="62" t="s">
        <v>35</v>
      </c>
      <c r="E25" s="16">
        <v>4</v>
      </c>
      <c r="F25" s="15">
        <v>18</v>
      </c>
      <c r="G25" s="66">
        <f t="shared" si="2"/>
        <v>72</v>
      </c>
      <c r="H25" s="66">
        <f t="shared" si="1"/>
        <v>3.5999999999999997E-2</v>
      </c>
    </row>
    <row r="26" spans="1:11" ht="16" customHeight="1">
      <c r="A26" s="58"/>
      <c r="B26" s="58"/>
      <c r="C26" s="6" t="s">
        <v>53</v>
      </c>
      <c r="D26" s="62" t="s">
        <v>35</v>
      </c>
      <c r="E26" s="16">
        <v>4</v>
      </c>
      <c r="F26" s="15">
        <v>18</v>
      </c>
      <c r="G26" s="66">
        <f t="shared" si="2"/>
        <v>72</v>
      </c>
      <c r="H26" s="66">
        <f t="shared" si="1"/>
        <v>3.5999999999999997E-2</v>
      </c>
    </row>
    <row r="27" spans="1:11" ht="16" customHeight="1">
      <c r="A27" s="58"/>
      <c r="B27" s="58"/>
      <c r="C27" s="6" t="s">
        <v>46</v>
      </c>
      <c r="D27" s="62" t="s">
        <v>35</v>
      </c>
      <c r="E27" s="16">
        <v>2</v>
      </c>
      <c r="F27" s="15">
        <v>18</v>
      </c>
      <c r="G27" s="66">
        <f>E27*F27</f>
        <v>36</v>
      </c>
      <c r="H27" s="66">
        <f t="shared" si="1"/>
        <v>1.7999999999999999E-2</v>
      </c>
    </row>
    <row r="28" spans="1:11" ht="16" customHeight="1">
      <c r="A28" s="58"/>
      <c r="B28" s="58"/>
      <c r="C28" s="6" t="s">
        <v>54</v>
      </c>
      <c r="D28" s="62" t="s">
        <v>35</v>
      </c>
      <c r="E28" s="16">
        <v>12</v>
      </c>
      <c r="F28" s="15">
        <v>18</v>
      </c>
      <c r="G28" s="66">
        <f>E28*F28</f>
        <v>216</v>
      </c>
      <c r="H28" s="66">
        <f t="shared" si="1"/>
        <v>0.108</v>
      </c>
    </row>
    <row r="29" spans="1:11" ht="16" customHeight="1">
      <c r="A29" s="58"/>
      <c r="C29" s="6" t="s">
        <v>45</v>
      </c>
      <c r="D29" s="62" t="s">
        <v>35</v>
      </c>
      <c r="E29" s="16">
        <v>48</v>
      </c>
      <c r="F29" s="15">
        <v>18</v>
      </c>
      <c r="G29" s="66">
        <f>E29*F29</f>
        <v>864</v>
      </c>
      <c r="H29" s="66">
        <f t="shared" si="1"/>
        <v>0.432</v>
      </c>
      <c r="J29" s="2"/>
      <c r="K29" s="2"/>
    </row>
    <row r="30" spans="1:11" ht="16" customHeight="1">
      <c r="A30" s="58"/>
      <c r="B30" s="6" t="s">
        <v>60</v>
      </c>
      <c r="C30" s="6"/>
      <c r="D30" s="62" t="s">
        <v>5</v>
      </c>
      <c r="E30" s="16">
        <f>ROUNDUP(E5/20,0)</f>
        <v>154</v>
      </c>
      <c r="F30" s="15">
        <f>550/250</f>
        <v>2.2000000000000002</v>
      </c>
      <c r="G30" s="66">
        <f>E30*F30</f>
        <v>338.8</v>
      </c>
      <c r="H30" s="66">
        <f>G30/2000</f>
        <v>0.1694</v>
      </c>
      <c r="J30" s="2"/>
      <c r="K30" s="2"/>
    </row>
    <row r="31" spans="1:11" ht="16" customHeight="1">
      <c r="A31" s="58"/>
      <c r="B31" s="6" t="s">
        <v>36</v>
      </c>
      <c r="C31" s="6"/>
      <c r="D31" s="70" t="s">
        <v>26</v>
      </c>
      <c r="E31" s="68">
        <f>G6</f>
        <v>4945.92</v>
      </c>
      <c r="F31" s="17">
        <v>0.1</v>
      </c>
      <c r="G31" s="66">
        <f>E31*F31</f>
        <v>494.59200000000004</v>
      </c>
      <c r="H31" s="66">
        <f t="shared" si="1"/>
        <v>0.24729600000000002</v>
      </c>
      <c r="J31" s="2"/>
      <c r="K31" s="2"/>
    </row>
    <row r="32" spans="1:11" ht="16" customHeight="1">
      <c r="A32" s="58"/>
      <c r="B32" s="6" t="s">
        <v>37</v>
      </c>
      <c r="D32" s="62" t="s">
        <v>56</v>
      </c>
      <c r="G32" s="100">
        <v>0</v>
      </c>
      <c r="H32" s="66">
        <f t="shared" si="1"/>
        <v>0</v>
      </c>
      <c r="J32" s="2"/>
      <c r="K32" s="2"/>
    </row>
    <row r="33" spans="1:11" ht="16" customHeight="1">
      <c r="A33" s="58"/>
      <c r="B33" s="6" t="s">
        <v>87</v>
      </c>
      <c r="D33" s="62" t="s">
        <v>88</v>
      </c>
      <c r="E33" s="101">
        <v>7.7499999999999999E-2</v>
      </c>
      <c r="G33" s="63">
        <f>SUM(G9:G32)*$E$33*6/12</f>
        <v>151.50095250000001</v>
      </c>
      <c r="H33" s="63">
        <f t="shared" si="1"/>
        <v>7.5750476250000004E-2</v>
      </c>
      <c r="J33" s="2"/>
      <c r="K33" s="2"/>
    </row>
    <row r="34" spans="1:11" ht="16" customHeight="1">
      <c r="A34" s="58"/>
      <c r="C34" s="65" t="s">
        <v>11</v>
      </c>
      <c r="D34" s="62"/>
      <c r="E34" s="71"/>
      <c r="F34" s="6"/>
      <c r="G34" s="66">
        <f>SUM(G9:G33)</f>
        <v>4061.2029525000003</v>
      </c>
      <c r="H34" s="66">
        <f t="shared" si="1"/>
        <v>2.0306014762500002</v>
      </c>
      <c r="J34" s="2"/>
      <c r="K34" s="2"/>
    </row>
    <row r="35" spans="1:11" ht="8.15" customHeight="1">
      <c r="A35" s="58"/>
      <c r="C35" s="65"/>
      <c r="D35" s="62"/>
      <c r="E35" s="71"/>
      <c r="F35" s="6"/>
      <c r="G35" s="66"/>
      <c r="H35" s="66"/>
      <c r="J35" s="2"/>
      <c r="K35" s="2"/>
    </row>
    <row r="36" spans="1:11" ht="33" customHeight="1">
      <c r="A36" s="58"/>
      <c r="B36" s="67" t="s">
        <v>12</v>
      </c>
      <c r="C36" s="67"/>
      <c r="D36" s="72" t="s">
        <v>3</v>
      </c>
      <c r="E36" s="60" t="s">
        <v>4</v>
      </c>
      <c r="F36" s="60" t="s">
        <v>31</v>
      </c>
      <c r="G36" s="61" t="str">
        <f>G4</f>
        <v>Dollars per 
2,000 sq. ft.</v>
      </c>
      <c r="H36" s="61" t="s">
        <v>39</v>
      </c>
    </row>
    <row r="37" spans="1:11" ht="16" customHeight="1">
      <c r="A37" s="58"/>
      <c r="B37" s="6" t="s">
        <v>63</v>
      </c>
      <c r="C37" s="6"/>
      <c r="D37" s="62" t="s">
        <v>64</v>
      </c>
      <c r="E37" s="92">
        <v>4</v>
      </c>
      <c r="F37" s="66">
        <f>I66/(10*12)*(D50/D49)</f>
        <v>145.46400071365511</v>
      </c>
      <c r="G37" s="64">
        <f>E37*F37</f>
        <v>581.85600285462044</v>
      </c>
      <c r="H37" s="64">
        <f t="shared" si="1"/>
        <v>0.29092800142731023</v>
      </c>
    </row>
    <row r="38" spans="1:11" ht="16" customHeight="1">
      <c r="C38" s="65" t="s">
        <v>13</v>
      </c>
      <c r="D38"/>
      <c r="E38" s="6"/>
      <c r="F38" s="6"/>
      <c r="G38" s="66">
        <f>SUM(G37:G37)</f>
        <v>581.85600285462044</v>
      </c>
      <c r="H38" s="66">
        <f t="shared" si="1"/>
        <v>0.29092800142731023</v>
      </c>
    </row>
    <row r="39" spans="1:11" ht="8.15" customHeight="1">
      <c r="C39" s="65"/>
      <c r="D39"/>
      <c r="E39" s="6"/>
      <c r="F39" s="6"/>
      <c r="G39" s="66"/>
      <c r="H39" s="66"/>
    </row>
    <row r="40" spans="1:11" ht="16" customHeight="1">
      <c r="C40" s="65" t="s">
        <v>6</v>
      </c>
      <c r="D40"/>
      <c r="E40" s="6"/>
      <c r="F40" s="6"/>
      <c r="G40" s="66">
        <f>G34+G38</f>
        <v>4643.0589553546206</v>
      </c>
      <c r="H40" s="66">
        <f t="shared" si="1"/>
        <v>2.3215294776773101</v>
      </c>
    </row>
    <row r="41" spans="1:11" ht="16" customHeight="1">
      <c r="B41" s="73"/>
      <c r="C41" s="65"/>
      <c r="D41" s="74"/>
      <c r="E41" s="6"/>
      <c r="F41" s="6"/>
      <c r="G41" s="66"/>
      <c r="H41" s="63"/>
    </row>
    <row r="42" spans="1:11" ht="16" customHeight="1">
      <c r="B42" s="75" t="s">
        <v>14</v>
      </c>
      <c r="C42" s="76"/>
      <c r="E42" s="77"/>
      <c r="F42" s="77"/>
      <c r="G42" s="78">
        <f>G6-G34</f>
        <v>884.71704749999981</v>
      </c>
      <c r="H42" s="66">
        <f t="shared" si="1"/>
        <v>0.4423585237499999</v>
      </c>
    </row>
    <row r="43" spans="1:11" ht="16" customHeight="1" thickBot="1">
      <c r="B43" s="79" t="s">
        <v>7</v>
      </c>
      <c r="C43" s="79"/>
      <c r="D43" s="80"/>
      <c r="E43" s="81"/>
      <c r="F43" s="81"/>
      <c r="G43" s="82">
        <f>G6-G40</f>
        <v>302.86104464537948</v>
      </c>
      <c r="H43" s="82">
        <f t="shared" si="1"/>
        <v>0.15143052232268975</v>
      </c>
    </row>
    <row r="44" spans="1:11" ht="16" customHeight="1" thickTop="1">
      <c r="B44" s="62" t="s">
        <v>97</v>
      </c>
      <c r="C44" s="119"/>
      <c r="D44" s="119"/>
      <c r="E44" s="119"/>
      <c r="F44" s="119"/>
      <c r="G44" s="119"/>
      <c r="H44" s="119"/>
    </row>
    <row r="45" spans="1:11" ht="11" customHeight="1">
      <c r="B45" s="141" t="s">
        <v>103</v>
      </c>
      <c r="C45" s="141"/>
      <c r="D45" s="141"/>
      <c r="E45" s="141"/>
      <c r="F45" s="141"/>
      <c r="G45" s="141"/>
      <c r="H45" s="141"/>
    </row>
    <row r="46" spans="1:11" ht="16" customHeight="1">
      <c r="B46" s="118"/>
      <c r="C46" s="118"/>
      <c r="D46" s="118"/>
      <c r="E46" s="118"/>
      <c r="F46" s="118"/>
      <c r="G46" s="118"/>
      <c r="H46" s="118"/>
    </row>
    <row r="47" spans="1:11" ht="16" customHeight="1">
      <c r="B47" s="4" t="s">
        <v>90</v>
      </c>
      <c r="C47"/>
      <c r="D47"/>
      <c r="E47"/>
      <c r="F47"/>
      <c r="G47"/>
      <c r="H47"/>
    </row>
    <row r="48" spans="1:11" ht="16" customHeight="1">
      <c r="B48" s="106"/>
      <c r="C48" s="106"/>
      <c r="D48" s="106" t="s">
        <v>91</v>
      </c>
      <c r="E48" s="106" t="s">
        <v>3</v>
      </c>
      <c r="F48"/>
      <c r="G48"/>
      <c r="H48"/>
    </row>
    <row r="49" spans="1:9" ht="16" customHeight="1">
      <c r="B49" t="s">
        <v>92</v>
      </c>
      <c r="C49"/>
      <c r="D49" s="107">
        <v>2000</v>
      </c>
      <c r="E49" s="62" t="s">
        <v>93</v>
      </c>
      <c r="F49"/>
      <c r="G49"/>
      <c r="H49"/>
    </row>
    <row r="50" spans="1:9" s="50" customFormat="1" ht="16" customHeight="1">
      <c r="B50" t="s">
        <v>94</v>
      </c>
      <c r="C50"/>
      <c r="D50" s="107">
        <v>2000</v>
      </c>
      <c r="E50" s="62" t="s">
        <v>93</v>
      </c>
      <c r="F50"/>
      <c r="G50"/>
      <c r="H50"/>
    </row>
    <row r="51" spans="1:9" s="50" customFormat="1" ht="16" customHeight="1">
      <c r="B51"/>
      <c r="C51"/>
      <c r="D51" s="108"/>
      <c r="E51" s="62"/>
      <c r="F51"/>
      <c r="G51"/>
      <c r="H51"/>
    </row>
    <row r="52" spans="1:9" s="50" customFormat="1" ht="16" customHeight="1">
      <c r="B52" s="117" t="s">
        <v>100</v>
      </c>
      <c r="C52" s="4"/>
      <c r="D52" s="4"/>
      <c r="E52" s="51"/>
      <c r="F52" s="115"/>
      <c r="G52" s="115"/>
      <c r="H52" s="116"/>
    </row>
    <row r="53" spans="1:9" s="50" customFormat="1" ht="16" customHeight="1">
      <c r="B53" s="83" t="s">
        <v>65</v>
      </c>
      <c r="C53" s="83"/>
      <c r="D53" s="84" t="s">
        <v>33</v>
      </c>
      <c r="E53" s="84" t="s">
        <v>66</v>
      </c>
      <c r="F53" s="85" t="s">
        <v>67</v>
      </c>
      <c r="G53" s="85" t="s">
        <v>80</v>
      </c>
      <c r="H53" s="84" t="s">
        <v>81</v>
      </c>
      <c r="I53" s="84" t="s">
        <v>82</v>
      </c>
    </row>
    <row r="54" spans="1:9" s="50" customFormat="1" ht="16" customHeight="1">
      <c r="B54" s="124" t="s">
        <v>68</v>
      </c>
      <c r="C54" s="124"/>
      <c r="D54" s="93">
        <v>393.2978984857732</v>
      </c>
      <c r="E54" s="93">
        <v>86.064129503346848</v>
      </c>
      <c r="F54" s="94">
        <v>0</v>
      </c>
      <c r="G54" s="86">
        <f>SUM(D54:F54)</f>
        <v>479.36202798912007</v>
      </c>
      <c r="H54" s="98">
        <v>10</v>
      </c>
      <c r="I54" s="87">
        <f>G54/(H54/10)</f>
        <v>479.36202798912007</v>
      </c>
    </row>
    <row r="55" spans="1:9" s="50" customFormat="1" ht="16" customHeight="1">
      <c r="A55" s="4"/>
      <c r="B55" s="140" t="s">
        <v>69</v>
      </c>
      <c r="C55" s="140"/>
      <c r="D55" s="93">
        <v>17.849751209722509</v>
      </c>
      <c r="E55" s="93">
        <v>0</v>
      </c>
      <c r="F55" s="93">
        <v>133.34510624228753</v>
      </c>
      <c r="G55" s="86">
        <f t="shared" ref="G55:G66" si="3">SUM(D55:F55)</f>
        <v>151.19485745201004</v>
      </c>
      <c r="H55" s="98">
        <v>10</v>
      </c>
      <c r="I55" s="87">
        <f t="shared" ref="I55:I65" si="4">G55/(H55/10)</f>
        <v>151.19485745201004</v>
      </c>
    </row>
    <row r="56" spans="1:9" s="50" customFormat="1" ht="16" customHeight="1">
      <c r="A56" s="4"/>
      <c r="B56" s="140" t="s">
        <v>70</v>
      </c>
      <c r="C56" s="140"/>
      <c r="D56" s="93">
        <v>356.89446221580391</v>
      </c>
      <c r="E56" s="93">
        <v>196.20403696654191</v>
      </c>
      <c r="F56" s="95">
        <v>281.62486438371127</v>
      </c>
      <c r="G56" s="86">
        <f t="shared" si="3"/>
        <v>834.72336356605706</v>
      </c>
      <c r="H56" s="98">
        <v>10</v>
      </c>
      <c r="I56" s="87">
        <f t="shared" si="4"/>
        <v>834.72336356605706</v>
      </c>
    </row>
    <row r="57" spans="1:9" s="50" customFormat="1" ht="16" customHeight="1">
      <c r="A57" s="4"/>
      <c r="B57" s="140" t="s">
        <v>71</v>
      </c>
      <c r="C57" s="140"/>
      <c r="D57" s="93">
        <v>356.89446221580391</v>
      </c>
      <c r="E57" s="93">
        <v>0</v>
      </c>
      <c r="F57" s="93">
        <v>9399.2298488063643</v>
      </c>
      <c r="G57" s="86">
        <f t="shared" si="3"/>
        <v>9756.1243110221676</v>
      </c>
      <c r="H57" s="98">
        <v>10</v>
      </c>
      <c r="I57" s="87">
        <f t="shared" si="4"/>
        <v>9756.1243110221676</v>
      </c>
    </row>
    <row r="58" spans="1:9" s="50" customFormat="1" ht="16" customHeight="1">
      <c r="A58" s="4"/>
      <c r="B58" s="140" t="s">
        <v>72</v>
      </c>
      <c r="C58" s="140"/>
      <c r="D58" s="93">
        <v>118.9648207386013</v>
      </c>
      <c r="E58" s="93">
        <v>0</v>
      </c>
      <c r="F58" s="93">
        <v>159.53408510827282</v>
      </c>
      <c r="G58" s="86">
        <f t="shared" si="3"/>
        <v>278.4989058468741</v>
      </c>
      <c r="H58" s="98">
        <v>10</v>
      </c>
      <c r="I58" s="87">
        <f t="shared" si="4"/>
        <v>278.4989058468741</v>
      </c>
    </row>
    <row r="59" spans="1:9" s="50" customFormat="1" ht="16" customHeight="1">
      <c r="A59" s="4"/>
      <c r="B59" s="140" t="s">
        <v>73</v>
      </c>
      <c r="C59" s="140"/>
      <c r="D59" s="93">
        <v>594.82410369300646</v>
      </c>
      <c r="E59" s="93">
        <v>0</v>
      </c>
      <c r="F59" s="93">
        <v>449.37300803650896</v>
      </c>
      <c r="G59" s="86">
        <f t="shared" si="3"/>
        <v>1044.1971117295154</v>
      </c>
      <c r="H59" s="98">
        <v>10</v>
      </c>
      <c r="I59" s="87">
        <f t="shared" si="4"/>
        <v>1044.1971117295154</v>
      </c>
    </row>
    <row r="60" spans="1:9" s="50" customFormat="1" ht="16" customHeight="1">
      <c r="A60" s="4"/>
      <c r="B60" s="140" t="s">
        <v>74</v>
      </c>
      <c r="C60" s="140"/>
      <c r="D60" s="93">
        <v>118.9648207386013</v>
      </c>
      <c r="E60" s="93">
        <v>0</v>
      </c>
      <c r="F60" s="93">
        <v>874.74389694940623</v>
      </c>
      <c r="G60" s="86">
        <f t="shared" si="3"/>
        <v>993.70871768800748</v>
      </c>
      <c r="H60" s="98">
        <v>3</v>
      </c>
      <c r="I60" s="87">
        <f t="shared" si="4"/>
        <v>3312.3623922933584</v>
      </c>
    </row>
    <row r="61" spans="1:9" s="50" customFormat="1" ht="16" customHeight="1">
      <c r="A61" s="4"/>
      <c r="B61" s="140" t="s">
        <v>75</v>
      </c>
      <c r="C61" s="140"/>
      <c r="D61" s="93">
        <v>29.741205184650326</v>
      </c>
      <c r="E61" s="93">
        <v>0</v>
      </c>
      <c r="F61" s="93">
        <v>0</v>
      </c>
      <c r="G61" s="86">
        <f t="shared" si="3"/>
        <v>29.741205184650326</v>
      </c>
      <c r="H61" s="98">
        <v>10</v>
      </c>
      <c r="I61" s="87">
        <f t="shared" si="4"/>
        <v>29.741205184650326</v>
      </c>
    </row>
    <row r="62" spans="1:9" s="50" customFormat="1" ht="16" customHeight="1">
      <c r="A62" s="4"/>
      <c r="B62" s="140" t="s">
        <v>76</v>
      </c>
      <c r="C62" s="140"/>
      <c r="D62" s="93">
        <v>0</v>
      </c>
      <c r="E62" s="95">
        <v>0</v>
      </c>
      <c r="F62" s="93">
        <v>816.0720502027998</v>
      </c>
      <c r="G62" s="86">
        <f t="shared" si="3"/>
        <v>816.0720502027998</v>
      </c>
      <c r="H62" s="98">
        <v>10</v>
      </c>
      <c r="I62" s="87">
        <f t="shared" si="4"/>
        <v>816.0720502027998</v>
      </c>
    </row>
    <row r="63" spans="1:9" s="50" customFormat="1" ht="16" customHeight="1">
      <c r="A63" s="4"/>
      <c r="B63" s="96" t="s">
        <v>77</v>
      </c>
      <c r="C63" s="96"/>
      <c r="D63" s="93">
        <v>178.44723110790196</v>
      </c>
      <c r="E63" s="93">
        <v>0</v>
      </c>
      <c r="F63" s="93">
        <v>295.09272011418238</v>
      </c>
      <c r="G63" s="86">
        <f t="shared" si="3"/>
        <v>473.53995122208437</v>
      </c>
      <c r="H63" s="98">
        <v>10</v>
      </c>
      <c r="I63" s="87">
        <f t="shared" si="4"/>
        <v>473.53995122208437</v>
      </c>
    </row>
    <row r="64" spans="1:9" s="50" customFormat="1" ht="16" customHeight="1">
      <c r="A64" s="4"/>
      <c r="B64" s="125" t="s">
        <v>78</v>
      </c>
      <c r="C64" s="125"/>
      <c r="D64" s="93">
        <v>146.51880288769411</v>
      </c>
      <c r="E64" s="93">
        <v>0</v>
      </c>
      <c r="F64" s="93">
        <v>0</v>
      </c>
      <c r="G64" s="86">
        <f t="shared" si="3"/>
        <v>146.51880288769411</v>
      </c>
      <c r="H64" s="98">
        <v>10</v>
      </c>
      <c r="I64" s="87">
        <f t="shared" si="4"/>
        <v>146.51880288769411</v>
      </c>
    </row>
    <row r="65" spans="1:11" s="50" customFormat="1" ht="16" customHeight="1">
      <c r="A65" s="4"/>
      <c r="B65" s="142" t="s">
        <v>79</v>
      </c>
      <c r="C65" s="142"/>
      <c r="D65" s="97">
        <v>0</v>
      </c>
      <c r="E65" s="97">
        <v>0</v>
      </c>
      <c r="F65" s="97">
        <v>133.34510624228753</v>
      </c>
      <c r="G65" s="88">
        <f t="shared" si="3"/>
        <v>133.34510624228753</v>
      </c>
      <c r="H65" s="99">
        <v>10</v>
      </c>
      <c r="I65" s="89">
        <f t="shared" si="4"/>
        <v>133.34510624228753</v>
      </c>
    </row>
    <row r="66" spans="1:11" s="50" customFormat="1" ht="16" customHeight="1">
      <c r="A66" s="4"/>
      <c r="C66" s="103" t="s">
        <v>80</v>
      </c>
      <c r="D66" s="87">
        <f>SUM(D54:D65)</f>
        <v>2312.397558477559</v>
      </c>
      <c r="E66" s="87">
        <f t="shared" ref="E66:F66" si="5">SUM(E54:E65)</f>
        <v>282.26816646988874</v>
      </c>
      <c r="F66" s="87">
        <f t="shared" si="5"/>
        <v>12542.360686085822</v>
      </c>
      <c r="G66" s="86">
        <f t="shared" si="3"/>
        <v>15137.02641103327</v>
      </c>
      <c r="H66" s="104"/>
      <c r="I66" s="87">
        <f>SUM(I54:I65)</f>
        <v>17455.680085638614</v>
      </c>
    </row>
    <row r="67" spans="1:11" s="50" customFormat="1" ht="16" customHeight="1">
      <c r="A67" s="4"/>
      <c r="B67" s="105"/>
      <c r="C67" s="90" t="s">
        <v>89</v>
      </c>
      <c r="D67" s="102">
        <f>D66/$D$49</f>
        <v>1.1561987792387796</v>
      </c>
      <c r="E67" s="102">
        <f t="shared" ref="E67:I67" si="6">E66/$D$49</f>
        <v>0.14113408323494436</v>
      </c>
      <c r="F67" s="102">
        <f t="shared" si="6"/>
        <v>6.2711803430429107</v>
      </c>
      <c r="G67" s="102">
        <f t="shared" si="6"/>
        <v>7.5685132055166351</v>
      </c>
      <c r="H67" s="102"/>
      <c r="I67" s="102">
        <f t="shared" si="6"/>
        <v>8.7278400428193077</v>
      </c>
      <c r="J67"/>
      <c r="K67" s="102">
        <f>K66/2000</f>
        <v>0</v>
      </c>
    </row>
    <row r="68" spans="1:11" s="50" customFormat="1" ht="16" hidden="1" customHeight="1">
      <c r="A68" s="4"/>
      <c r="D68" s="52"/>
      <c r="E68" s="52"/>
      <c r="F68" s="52"/>
      <c r="G68" s="52"/>
      <c r="H68" s="52"/>
    </row>
    <row r="69" spans="1:11" s="50" customFormat="1" ht="16" hidden="1" customHeight="1">
      <c r="A69" s="4"/>
      <c r="C69" s="4"/>
      <c r="D69" s="53"/>
      <c r="E69" s="4"/>
      <c r="F69" s="54"/>
      <c r="G69" s="54"/>
      <c r="H69" s="54"/>
    </row>
    <row r="70" spans="1:11" s="50" customFormat="1" ht="16" hidden="1" customHeight="1">
      <c r="A70" s="4"/>
    </row>
    <row r="71" spans="1:11" s="50" customFormat="1" ht="16" hidden="1" customHeight="1">
      <c r="A71" s="4"/>
    </row>
    <row r="72" spans="1:11" ht="16" hidden="1" customHeight="1">
      <c r="A72"/>
    </row>
    <row r="73" spans="1:11" ht="16" hidden="1" customHeight="1">
      <c r="A73"/>
    </row>
    <row r="74" spans="1:11" ht="16" hidden="1" customHeight="1"/>
  </sheetData>
  <sheetProtection sheet="1" objects="1" scenarios="1"/>
  <mergeCells count="12">
    <mergeCell ref="B62:C62"/>
    <mergeCell ref="B65:C65"/>
    <mergeCell ref="B56:C56"/>
    <mergeCell ref="B57:C57"/>
    <mergeCell ref="B58:C58"/>
    <mergeCell ref="B59:C59"/>
    <mergeCell ref="B60:C60"/>
    <mergeCell ref="B2:H2"/>
    <mergeCell ref="E3:G3"/>
    <mergeCell ref="B55:C55"/>
    <mergeCell ref="B45:H45"/>
    <mergeCell ref="B61:C61"/>
  </mergeCells>
  <conditionalFormatting sqref="E4">
    <cfRule type="expression" dxfId="4" priority="3">
      <formula>$G$1="no"</formula>
    </cfRule>
  </conditionalFormatting>
  <conditionalFormatting sqref="E8">
    <cfRule type="expression" dxfId="3" priority="2">
      <formula>$G$1="no"</formula>
    </cfRule>
  </conditionalFormatting>
  <conditionalFormatting sqref="E36">
    <cfRule type="expression" dxfId="2" priority="1">
      <formula>$G$1="no"</formula>
    </cfRule>
  </conditionalFormatting>
  <hyperlinks>
    <hyperlink ref="B45" r:id="rId1" xr:uid="{D0B75AD9-B759-4C97-9C45-548ADC7C60C8}"/>
  </hyperlinks>
  <pageMargins left="0.7" right="0.7" top="0.75" bottom="0.75" header="0.3" footer="0.3"/>
  <pageSetup scale="83"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6"/>
  <sheetViews>
    <sheetView workbookViewId="0">
      <selection activeCell="B15" sqref="B15:K15"/>
    </sheetView>
  </sheetViews>
  <sheetFormatPr defaultColWidth="0" defaultRowHeight="14.5" zeroHeight="1"/>
  <cols>
    <col min="1" max="1" width="3.08203125" customWidth="1"/>
    <col min="2" max="2" width="8.58203125" customWidth="1"/>
    <col min="3" max="3" width="10.08203125" customWidth="1"/>
    <col min="4" max="4" width="10.33203125" customWidth="1"/>
    <col min="5" max="5" width="11.83203125" customWidth="1"/>
    <col min="6" max="6" width="9.75" bestFit="1" customWidth="1"/>
    <col min="7" max="7" width="9.08203125" bestFit="1" customWidth="1"/>
    <col min="8" max="8" width="9.83203125" customWidth="1"/>
    <col min="9" max="9" width="11" customWidth="1"/>
    <col min="10" max="10" width="10" bestFit="1" customWidth="1"/>
    <col min="11" max="11" width="10.08203125" customWidth="1"/>
    <col min="12" max="12" width="3.08203125" customWidth="1"/>
    <col min="13" max="16384" width="8.58203125" hidden="1"/>
  </cols>
  <sheetData>
    <row r="1" spans="1:12" ht="16">
      <c r="A1" s="4"/>
      <c r="B1" s="143" t="s">
        <v>101</v>
      </c>
      <c r="C1" s="143"/>
      <c r="D1" s="143"/>
      <c r="E1" s="143"/>
      <c r="F1" s="143"/>
      <c r="G1" s="143"/>
      <c r="H1" s="143"/>
      <c r="I1" s="143"/>
      <c r="J1" s="143"/>
      <c r="K1" s="143"/>
      <c r="L1" s="4"/>
    </row>
    <row r="2" spans="1:12" ht="34" customHeight="1">
      <c r="A2" s="4"/>
      <c r="B2" s="152" t="s">
        <v>98</v>
      </c>
      <c r="C2" s="152"/>
      <c r="D2" s="152"/>
      <c r="E2" s="152"/>
      <c r="F2" s="152"/>
      <c r="G2" s="152"/>
      <c r="H2" s="152"/>
      <c r="I2" s="152"/>
      <c r="J2" s="152"/>
      <c r="K2" s="152"/>
      <c r="L2" s="4"/>
    </row>
    <row r="3" spans="1:12" ht="16.5" customHeight="1">
      <c r="A3" s="4"/>
      <c r="B3" s="19"/>
      <c r="C3" s="20"/>
      <c r="D3" s="31"/>
      <c r="E3" s="148" t="str">
        <f>"Pounds per 
"&amp;FIXED(Budget!D50,0,FALSE)&amp;" square feet"</f>
        <v>Pounds per 
2,000 square feet</v>
      </c>
      <c r="F3" s="148"/>
      <c r="G3" s="148"/>
      <c r="H3" s="148"/>
      <c r="I3" s="148"/>
      <c r="J3" s="148"/>
      <c r="K3" s="149"/>
      <c r="L3" s="4"/>
    </row>
    <row r="4" spans="1:12" ht="16.5" customHeight="1">
      <c r="A4" s="4"/>
      <c r="B4" s="21"/>
      <c r="C4" s="22"/>
      <c r="D4" s="32"/>
      <c r="E4" s="23" t="s">
        <v>25</v>
      </c>
      <c r="F4" s="23" t="s">
        <v>24</v>
      </c>
      <c r="G4" s="23" t="s">
        <v>20</v>
      </c>
      <c r="H4" s="23" t="s">
        <v>18</v>
      </c>
      <c r="I4" s="23" t="s">
        <v>16</v>
      </c>
      <c r="J4" s="23" t="s">
        <v>22</v>
      </c>
      <c r="K4" s="24" t="s">
        <v>23</v>
      </c>
      <c r="L4" s="4"/>
    </row>
    <row r="5" spans="1:12" ht="16.5" customHeight="1">
      <c r="A5" s="4"/>
      <c r="B5" s="33"/>
      <c r="C5" s="34"/>
      <c r="D5" s="9"/>
      <c r="E5" s="10">
        <f>H5*70%</f>
        <v>2150.3999999999996</v>
      </c>
      <c r="F5" s="10">
        <f>H5*80%</f>
        <v>2457.6000000000004</v>
      </c>
      <c r="G5" s="10">
        <f>H5*90%</f>
        <v>2764.8</v>
      </c>
      <c r="H5" s="109">
        <f>Budget!E5</f>
        <v>3072</v>
      </c>
      <c r="I5" s="10">
        <f>H5*110%</f>
        <v>3379.2000000000003</v>
      </c>
      <c r="J5" s="10">
        <f>H5*120%</f>
        <v>3686.3999999999996</v>
      </c>
      <c r="K5" s="26">
        <f>H5*130%</f>
        <v>3993.6000000000004</v>
      </c>
      <c r="L5" s="4"/>
    </row>
    <row r="6" spans="1:12" ht="16.5" customHeight="1">
      <c r="A6" s="4"/>
      <c r="B6" s="145" t="s">
        <v>84</v>
      </c>
      <c r="C6" s="27" t="s">
        <v>21</v>
      </c>
      <c r="D6" s="18">
        <f>D9*85%</f>
        <v>1.3685</v>
      </c>
      <c r="E6" s="35">
        <f>(D6*$E$5)-Budget!$G$40</f>
        <v>-1700.236555354621</v>
      </c>
      <c r="F6" s="36">
        <f>(D6*$F$5)-Budget!$G$40</f>
        <v>-1279.8333553546199</v>
      </c>
      <c r="G6" s="36">
        <f>(D6*$G$5)-Budget!$G$40</f>
        <v>-859.43015535462018</v>
      </c>
      <c r="H6" s="36">
        <f>(D6*$H$5)-Budget!$G$40</f>
        <v>-439.02695535462044</v>
      </c>
      <c r="I6" s="36">
        <f>(D6*$I$5)-Budget!$G$40</f>
        <v>-18.623755354619789</v>
      </c>
      <c r="J6" s="36">
        <f>(D6*$J$5)-Budget!$G$40</f>
        <v>401.77944464537904</v>
      </c>
      <c r="K6" s="37">
        <f>(D6*$K$5)-Budget!$G$40</f>
        <v>822.1826446453797</v>
      </c>
      <c r="L6" s="4"/>
    </row>
    <row r="7" spans="1:12" ht="16.5" customHeight="1">
      <c r="A7" s="4"/>
      <c r="B7" s="145"/>
      <c r="C7" s="27" t="s">
        <v>20</v>
      </c>
      <c r="D7" s="18">
        <f>D9*90%</f>
        <v>1.4490000000000001</v>
      </c>
      <c r="E7" s="38">
        <f>(D7*$E$5)-Budget!$G$40</f>
        <v>-1527.1293553546211</v>
      </c>
      <c r="F7" s="39">
        <f>(D7*$F$5)-Budget!$G$40</f>
        <v>-1081.9965553546199</v>
      </c>
      <c r="G7" s="39">
        <f>(D7*$G$5)-Budget!$G$40</f>
        <v>-636.86375535462003</v>
      </c>
      <c r="H7" s="39">
        <f>(D7*$H$5)-Budget!$G$40</f>
        <v>-191.73095535462016</v>
      </c>
      <c r="I7" s="39">
        <f>(D7*$I$5)-Budget!$G$40</f>
        <v>253.40184464538015</v>
      </c>
      <c r="J7" s="39">
        <f>(D7*$J$5)-Budget!$G$40</f>
        <v>698.53464464537956</v>
      </c>
      <c r="K7" s="40">
        <f>(D7*$K$5)-Budget!$G$40</f>
        <v>1143.6674446453799</v>
      </c>
      <c r="L7" s="4"/>
    </row>
    <row r="8" spans="1:12" ht="16.5" customHeight="1" thickBot="1">
      <c r="A8" s="4"/>
      <c r="B8" s="145"/>
      <c r="C8" s="28" t="s">
        <v>19</v>
      </c>
      <c r="D8" s="18">
        <f>D9*0.95</f>
        <v>1.5295000000000001</v>
      </c>
      <c r="E8" s="38">
        <f>(D8*$E$5)-Budget!$G$40</f>
        <v>-1354.0221553546212</v>
      </c>
      <c r="F8" s="39">
        <f>(D8*$F$5)-Budget!$G$40</f>
        <v>-884.15975535461985</v>
      </c>
      <c r="G8" s="39">
        <f>(D8*$G$5)-Budget!$G$40</f>
        <v>-414.29735535461987</v>
      </c>
      <c r="H8" s="39">
        <f>(D8*$H$5)-Budget!$G$40</f>
        <v>55.565044645379203</v>
      </c>
      <c r="I8" s="39">
        <f>(D8*$I$5)-Budget!$G$40</f>
        <v>525.42744464538009</v>
      </c>
      <c r="J8" s="39">
        <f>(D8*$J$5)-Budget!$G$40</f>
        <v>995.28984464537916</v>
      </c>
      <c r="K8" s="40">
        <f>(D8*$K$5)-Budget!$G$40</f>
        <v>1465.1522446453801</v>
      </c>
      <c r="L8" s="4"/>
    </row>
    <row r="9" spans="1:12" ht="16.5" customHeight="1" thickBot="1">
      <c r="A9" s="4"/>
      <c r="B9" s="145"/>
      <c r="C9" s="27" t="s">
        <v>18</v>
      </c>
      <c r="D9" s="110">
        <f>Budget!F5</f>
        <v>1.61</v>
      </c>
      <c r="E9" s="38">
        <f>(D9*$E$5)-Budget!$G$40</f>
        <v>-1180.9149553546208</v>
      </c>
      <c r="F9" s="39">
        <f>(D9*$F$5)-Budget!$G$40</f>
        <v>-686.32295535461981</v>
      </c>
      <c r="G9" s="39">
        <f>(D9*$G$5)-Budget!$G$40</f>
        <v>-191.73095535462016</v>
      </c>
      <c r="H9" s="41">
        <f>(D9*$H$5)-Budget!$G$40</f>
        <v>302.86104464537948</v>
      </c>
      <c r="I9" s="39">
        <f>(D9*$I$5)-Budget!$G$40</f>
        <v>797.45304464538003</v>
      </c>
      <c r="J9" s="39">
        <f>(D9*$J$5)-Budget!$G$40</f>
        <v>1292.0450446453788</v>
      </c>
      <c r="K9" s="40">
        <f>(D9*$K$5)-Budget!$G$40</f>
        <v>1786.6370446453802</v>
      </c>
      <c r="L9" s="4"/>
    </row>
    <row r="10" spans="1:12" ht="16.5" customHeight="1">
      <c r="A10" s="4"/>
      <c r="B10" s="145"/>
      <c r="C10" s="27" t="s">
        <v>17</v>
      </c>
      <c r="D10" s="18">
        <f>D9*105%</f>
        <v>1.6905000000000001</v>
      </c>
      <c r="E10" s="38">
        <f>(D10*$E$5)-Budget!$G$40</f>
        <v>-1007.8077553546209</v>
      </c>
      <c r="F10" s="39">
        <f>(D10*$F$5)-Budget!$G$40</f>
        <v>-488.48615535461977</v>
      </c>
      <c r="G10" s="39">
        <f>(D10*$G$5)-Budget!$G$40</f>
        <v>30.835444645380448</v>
      </c>
      <c r="H10" s="39">
        <f>(D10*$H$5)-Budget!$G$40</f>
        <v>550.15704464537976</v>
      </c>
      <c r="I10" s="39">
        <f>(D10*$I$5)-Budget!$G$40</f>
        <v>1069.47864464538</v>
      </c>
      <c r="J10" s="39">
        <f>(D10*$J$5)-Budget!$G$40</f>
        <v>1588.8002446453793</v>
      </c>
      <c r="K10" s="40">
        <f>(D10*$K$5)-Budget!$G$40</f>
        <v>2108.1218446453804</v>
      </c>
      <c r="L10" s="4"/>
    </row>
    <row r="11" spans="1:12" ht="16.5" customHeight="1">
      <c r="A11" s="4"/>
      <c r="B11" s="145"/>
      <c r="C11" s="27" t="s">
        <v>16</v>
      </c>
      <c r="D11" s="18">
        <f>D9*110%</f>
        <v>1.7710000000000004</v>
      </c>
      <c r="E11" s="38">
        <f>(D11*$E$5)-Budget!$G$40</f>
        <v>-834.70055535462052</v>
      </c>
      <c r="F11" s="39">
        <f>(D11*$F$5)-Budget!$G$40</f>
        <v>-290.64935535461882</v>
      </c>
      <c r="G11" s="39">
        <f>(D11*$G$5)-Budget!$G$40</f>
        <v>253.40184464538106</v>
      </c>
      <c r="H11" s="39">
        <f>(D11*$H$5)-Budget!$G$40</f>
        <v>797.45304464538003</v>
      </c>
      <c r="I11" s="39">
        <f>(D11*$I$5)-Budget!$G$40</f>
        <v>1341.5042446453808</v>
      </c>
      <c r="J11" s="39">
        <f>(D11*$J$5)-Budget!$G$40</f>
        <v>1885.5554446453798</v>
      </c>
      <c r="K11" s="40">
        <f>(D11*$K$5)-Budget!$G$40</f>
        <v>2429.6066446453815</v>
      </c>
      <c r="L11" s="4"/>
    </row>
    <row r="12" spans="1:12" ht="16.5" customHeight="1">
      <c r="A12" s="4"/>
      <c r="B12" s="146"/>
      <c r="C12" s="29" t="s">
        <v>15</v>
      </c>
      <c r="D12" s="30">
        <f>D9*115%</f>
        <v>1.8514999999999999</v>
      </c>
      <c r="E12" s="42">
        <f>(D12*$E$5)-Budget!$G$40</f>
        <v>-661.59335535462151</v>
      </c>
      <c r="F12" s="43">
        <f>(D12*$F$5)-Budget!$G$40</f>
        <v>-92.81255535461969</v>
      </c>
      <c r="G12" s="43">
        <f>(D12*$G$5)-Budget!$G$40</f>
        <v>475.96824464537985</v>
      </c>
      <c r="H12" s="43">
        <f>(D12*$H$5)-Budget!$G$40</f>
        <v>1044.7490446453794</v>
      </c>
      <c r="I12" s="43">
        <f>(D12*$I$5)-Budget!$G$40</f>
        <v>1613.5298446453799</v>
      </c>
      <c r="J12" s="43">
        <f>(D12*$J$5)-Budget!$G$40</f>
        <v>2182.3106446453785</v>
      </c>
      <c r="K12" s="44">
        <f>(D12*$K$5)-Budget!$G$40</f>
        <v>2751.0914446453799</v>
      </c>
      <c r="L12" s="4"/>
    </row>
    <row r="13" spans="1:12" s="4" customFormat="1" ht="16.5" customHeight="1">
      <c r="B13" s="5"/>
      <c r="C13" s="5"/>
      <c r="D13" s="5"/>
      <c r="E13" s="5"/>
      <c r="F13" s="5"/>
      <c r="G13" s="5"/>
      <c r="H13" s="5"/>
      <c r="I13" s="5"/>
      <c r="J13" s="5"/>
      <c r="K13" s="5"/>
    </row>
    <row r="14" spans="1:12" s="4" customFormat="1" ht="16.5" customHeight="1">
      <c r="B14" s="143" t="s">
        <v>102</v>
      </c>
      <c r="C14" s="143"/>
      <c r="D14" s="143"/>
      <c r="E14" s="143"/>
      <c r="F14" s="143"/>
      <c r="G14" s="143"/>
      <c r="H14" s="143"/>
      <c r="I14" s="143"/>
      <c r="J14" s="143"/>
      <c r="K14" s="143"/>
    </row>
    <row r="15" spans="1:12" s="4" customFormat="1" ht="16.5" customHeight="1">
      <c r="B15" s="152" t="s">
        <v>95</v>
      </c>
      <c r="C15" s="152"/>
      <c r="D15" s="152"/>
      <c r="E15" s="152"/>
      <c r="F15" s="152"/>
      <c r="G15" s="152"/>
      <c r="H15" s="152"/>
      <c r="I15" s="152"/>
      <c r="J15" s="152"/>
      <c r="K15" s="152"/>
    </row>
    <row r="16" spans="1:12" ht="16.5" customHeight="1">
      <c r="A16" s="4"/>
      <c r="B16" s="19"/>
      <c r="C16" s="47"/>
      <c r="D16" s="47"/>
      <c r="E16" s="147" t="s">
        <v>2</v>
      </c>
      <c r="F16" s="148"/>
      <c r="G16" s="148"/>
      <c r="H16" s="148"/>
      <c r="I16" s="148"/>
      <c r="J16" s="148"/>
      <c r="K16" s="149"/>
      <c r="L16" s="4"/>
    </row>
    <row r="17" spans="1:12" ht="16.5" customHeight="1">
      <c r="A17" s="4"/>
      <c r="B17" s="25"/>
      <c r="C17" s="8"/>
      <c r="D17" s="11"/>
      <c r="E17" s="45" t="s">
        <v>21</v>
      </c>
      <c r="F17" s="12" t="s">
        <v>20</v>
      </c>
      <c r="G17" s="12" t="s">
        <v>19</v>
      </c>
      <c r="H17" s="12" t="s">
        <v>18</v>
      </c>
      <c r="I17" s="12" t="s">
        <v>17</v>
      </c>
      <c r="J17" s="12" t="s">
        <v>16</v>
      </c>
      <c r="K17" s="46" t="s">
        <v>15</v>
      </c>
      <c r="L17" s="4"/>
    </row>
    <row r="18" spans="1:12" ht="16.5" customHeight="1">
      <c r="A18" s="4"/>
      <c r="B18" s="150" t="s">
        <v>10</v>
      </c>
      <c r="C18" s="13"/>
      <c r="D18" s="14" t="s">
        <v>21</v>
      </c>
      <c r="E18" s="35">
        <f>(Budget!G6*0.85)-(Budget!G34*0.85)-Budget!G38</f>
        <v>170.1534875203796</v>
      </c>
      <c r="F18" s="36">
        <f>(Budget!G6*0.9)-(Budget!G34*0.85)-Budget!G38</f>
        <v>417.44948752037988</v>
      </c>
      <c r="G18" s="36">
        <f>(Budget!G6*0.95)-(Budget!G34*0.85)-Budget!G38</f>
        <v>664.74548752037924</v>
      </c>
      <c r="H18" s="36">
        <f>Budget!G6-(Budget!G34*0.85)-Budget!G38</f>
        <v>912.04148752037952</v>
      </c>
      <c r="I18" s="36">
        <f>(Budget!G6*1.05)-(Budget!G34*0.85)-Budget!G38</f>
        <v>1159.3374875203799</v>
      </c>
      <c r="J18" s="36">
        <f>(Budget!G6*1.1)-(Budget!G34*0.85)-Budget!G38</f>
        <v>1406.6334875203802</v>
      </c>
      <c r="K18" s="37">
        <f>(Budget!G6*1.15)-(Budget!G34*0.85)-Budget!G38</f>
        <v>1653.9294875203796</v>
      </c>
      <c r="L18" s="4"/>
    </row>
    <row r="19" spans="1:12" ht="16.5" customHeight="1">
      <c r="A19" s="4"/>
      <c r="B19" s="150"/>
      <c r="C19" s="13"/>
      <c r="D19" s="14" t="s">
        <v>20</v>
      </c>
      <c r="E19" s="38">
        <f>(Budget!G6*0.85)-(Budget!G34*0.9)-Budget!G38</f>
        <v>-32.906660104620755</v>
      </c>
      <c r="F19" s="39">
        <f>(Budget!G6*0.9)-(Budget!G34*0.9)-Budget!G38</f>
        <v>214.38933989537952</v>
      </c>
      <c r="G19" s="39">
        <f>(Budget!G6*0.95)-(Budget!G34*0.9)-Budget!G38</f>
        <v>461.68533989537889</v>
      </c>
      <c r="H19" s="39">
        <f>Budget!G6-(Budget!G34*0.9)-Budget!G38</f>
        <v>708.98133989537916</v>
      </c>
      <c r="I19" s="39">
        <f>(Budget!G6*1.05)-(Budget!G34*0.9)-Budget!G38</f>
        <v>956.27733989537944</v>
      </c>
      <c r="J19" s="39">
        <f>(Budget!G6*1.1)-(Budget!G34*0.9)-Budget!G38</f>
        <v>1203.5733398953798</v>
      </c>
      <c r="K19" s="40">
        <f>(Budget!G6*1.15)-(Budget!G34*0.9)-Budget!G38</f>
        <v>1450.8693398953792</v>
      </c>
      <c r="L19" s="4"/>
    </row>
    <row r="20" spans="1:12" ht="16.5" customHeight="1" thickBot="1">
      <c r="A20" s="4"/>
      <c r="B20" s="150"/>
      <c r="C20" s="13"/>
      <c r="D20" s="14" t="s">
        <v>19</v>
      </c>
      <c r="E20" s="38">
        <f>(Budget!G6*0.85)-(Budget!G34*0.95)-Budget!G38</f>
        <v>-235.9668077296202</v>
      </c>
      <c r="F20" s="39">
        <f>(Budget!G6*0.9)-(Budget!G34*0.95)-Budget!G38</f>
        <v>11.329192270380076</v>
      </c>
      <c r="G20" s="39">
        <f>(Budget!G6*0.95)-(Budget!G34*0.95)-Budget!G38</f>
        <v>258.62519227037944</v>
      </c>
      <c r="H20" s="39">
        <f>Budget!G6-(Budget!G34*0.95)-Budget!G38</f>
        <v>505.92119227037972</v>
      </c>
      <c r="I20" s="39">
        <f>(Budget!G6*1.05)-(Budget!G34*0.95)-Budget!G38</f>
        <v>753.21719227038</v>
      </c>
      <c r="J20" s="39">
        <f>(Budget!G6*1.1)-(Budget!G34*0.95)-Budget!G38</f>
        <v>1000.5131922703803</v>
      </c>
      <c r="K20" s="40">
        <f>(Budget!G6*1.15)-(Budget!G34*0.95)-Budget!G38</f>
        <v>1247.8091922703798</v>
      </c>
      <c r="L20" s="4"/>
    </row>
    <row r="21" spans="1:12" ht="16.5" customHeight="1" thickBot="1">
      <c r="A21" s="4"/>
      <c r="B21" s="150"/>
      <c r="C21" s="13"/>
      <c r="D21" s="14" t="s">
        <v>18</v>
      </c>
      <c r="E21" s="38">
        <f>(Budget!G6*0.85)-Budget!G34-Budget!GG44</f>
        <v>142.82904749999989</v>
      </c>
      <c r="F21" s="39">
        <f>(Budget!G6*0.9)-(Budget!G34)-Budget!G38</f>
        <v>-191.73095535462028</v>
      </c>
      <c r="G21" s="39">
        <f>(Budget!G6*0.95)-(Budget!G34)-Budget!G38</f>
        <v>55.565044645379089</v>
      </c>
      <c r="H21" s="41">
        <f>Budget!G6-(Budget!G34)-Budget!G38</f>
        <v>302.86104464537937</v>
      </c>
      <c r="I21" s="39">
        <f>(Budget!G6*1.05)-(Budget!G34)-Budget!G38</f>
        <v>550.15704464537964</v>
      </c>
      <c r="J21" s="39">
        <f>(Budget!G6*1.1)-(Budget!G34)-Budget!G38</f>
        <v>797.45304464537992</v>
      </c>
      <c r="K21" s="40">
        <f>(Budget!G6*1.15)-(Budget!G34)-Budget!G38</f>
        <v>1044.7490446453794</v>
      </c>
      <c r="L21" s="4"/>
    </row>
    <row r="22" spans="1:12" ht="16.5" customHeight="1">
      <c r="A22" s="4"/>
      <c r="B22" s="150"/>
      <c r="C22" s="13"/>
      <c r="D22" s="14" t="s">
        <v>17</v>
      </c>
      <c r="E22" s="38">
        <f>(Budget!G6*0.85)-(Budget!G34*1.05)-Budget!G38</f>
        <v>-642.08710297962045</v>
      </c>
      <c r="F22" s="39">
        <f>(Budget!G6*0.9)-(Budget!G34*1.05)-Budget!G38</f>
        <v>-394.79110297962018</v>
      </c>
      <c r="G22" s="39">
        <f>(Budget!G6*0.95)-(Budget!G34*1.05)-Budget!G38</f>
        <v>-147.49510297962081</v>
      </c>
      <c r="H22" s="39">
        <f>Budget!G6-(Budget!G34*1.05)-Budget!G38</f>
        <v>99.800897020379466</v>
      </c>
      <c r="I22" s="39">
        <f>(Budget!G6*1.05)-(Budget!G34*1.05)-Budget!G38</f>
        <v>347.09689702037974</v>
      </c>
      <c r="J22" s="39">
        <f>(Budget!G6*1.1)-(Budget!G34*1.05)-Budget!G38</f>
        <v>594.39289702038002</v>
      </c>
      <c r="K22" s="40">
        <f>(Budget!G6*1.15)-(Budget!G34*1.05)-Budget!G38</f>
        <v>841.68889702037939</v>
      </c>
      <c r="L22" s="4"/>
    </row>
    <row r="23" spans="1:12" ht="16.5" customHeight="1">
      <c r="A23" s="4"/>
      <c r="B23" s="150"/>
      <c r="C23" s="13"/>
      <c r="D23" s="14" t="s">
        <v>16</v>
      </c>
      <c r="E23" s="38">
        <f>(Budget!G6*0.85)-(Budget!G34*1.1)-Budget!G38</f>
        <v>-845.14725060462081</v>
      </c>
      <c r="F23" s="39">
        <f>(Budget!G6*0.9)-(Budget!G34*1.1)-Budget!G38</f>
        <v>-597.85125060462053</v>
      </c>
      <c r="G23" s="39">
        <f>(Budget!G6*0.95)-(Budget!G34*1.1)-Budget!G38</f>
        <v>-350.55525060462116</v>
      </c>
      <c r="H23" s="39">
        <f>Budget!G6-(Budget!G34*1.1)-Budget!G38</f>
        <v>-103.25925060462089</v>
      </c>
      <c r="I23" s="39">
        <f>(Budget!G6*1.05)-(Budget!G34*1.1)-Budget!G38</f>
        <v>144.03674939537939</v>
      </c>
      <c r="J23" s="39">
        <f>(Budget!G6*1.1)-(Budget!G34*1.1)-Budget!G38</f>
        <v>391.33274939537966</v>
      </c>
      <c r="K23" s="40">
        <f>(Budget!G6*1.15)-(Budget!G34*1.1)-Budget!G38</f>
        <v>638.62874939537903</v>
      </c>
      <c r="L23" s="4"/>
    </row>
    <row r="24" spans="1:12" ht="16.5" customHeight="1">
      <c r="A24" s="4"/>
      <c r="B24" s="151"/>
      <c r="C24" s="48"/>
      <c r="D24" s="49" t="s">
        <v>15</v>
      </c>
      <c r="E24" s="42">
        <f>(Budget!G6*0.85)-(Budget!G34*1.15)-Budget!G38</f>
        <v>-1048.2073982296201</v>
      </c>
      <c r="F24" s="43">
        <f>(Budget!G6*0.9)-(Budget!G34*1.15)-Budget!G38</f>
        <v>-800.91139822961998</v>
      </c>
      <c r="G24" s="43">
        <f>(Budget!G6*0.95)-(Budget!G34*1.15)-Budget!G38</f>
        <v>-553.61539822962061</v>
      </c>
      <c r="H24" s="43">
        <f>Budget!G6-(Budget!G34*1.15)-Budget!G38</f>
        <v>-306.31939822962033</v>
      </c>
      <c r="I24" s="43">
        <f>(Budget!G6*1.05)-(Budget!G34*1.15)-Budget!G38</f>
        <v>-59.023398229620057</v>
      </c>
      <c r="J24" s="43">
        <f>(Budget!G6*1.1)-(Budget!G34*1.15)-Budget!G38</f>
        <v>188.27260177038022</v>
      </c>
      <c r="K24" s="44">
        <f>(Budget!G6*1.15)-(Budget!G34*1.15)-Budget!G38</f>
        <v>435.56860177037959</v>
      </c>
      <c r="L24" s="4"/>
    </row>
    <row r="25" spans="1:12" ht="9" hidden="1" customHeight="1">
      <c r="A25" s="4"/>
      <c r="B25" s="6"/>
      <c r="C25" s="6"/>
      <c r="D25" s="6"/>
      <c r="E25" s="6"/>
      <c r="F25" s="6"/>
      <c r="G25" s="6"/>
      <c r="H25" s="6"/>
      <c r="I25" s="6"/>
      <c r="J25" s="6"/>
      <c r="K25" s="6"/>
    </row>
    <row r="26" spans="1:12" ht="14.5" hidden="1" customHeight="1">
      <c r="B26" s="4"/>
      <c r="C26" s="4"/>
      <c r="D26" s="4"/>
      <c r="E26" s="4"/>
      <c r="F26" s="4"/>
      <c r="G26" s="4"/>
      <c r="H26" s="4"/>
      <c r="I26" s="4"/>
      <c r="J26" s="4"/>
      <c r="K26" s="4"/>
    </row>
    <row r="28" spans="1:12" ht="32.15" hidden="1" customHeight="1"/>
    <row r="29" spans="1:12" ht="16" hidden="1">
      <c r="B29" s="144"/>
      <c r="C29" s="144"/>
      <c r="D29" s="144"/>
      <c r="E29" s="144"/>
      <c r="F29" s="144"/>
      <c r="G29" s="144"/>
      <c r="H29" s="144"/>
      <c r="I29" s="144"/>
      <c r="J29" s="144"/>
      <c r="K29" s="144"/>
    </row>
    <row r="30" spans="1:12" ht="16" hidden="1">
      <c r="B30" s="144"/>
      <c r="C30" s="144"/>
      <c r="D30" s="144"/>
      <c r="E30" s="144"/>
      <c r="F30" s="144"/>
      <c r="G30" s="144"/>
      <c r="H30" s="144"/>
      <c r="I30" s="144"/>
      <c r="J30" s="144"/>
      <c r="K30" s="144"/>
    </row>
    <row r="31" spans="1:12" ht="16" hidden="1">
      <c r="B31" s="7"/>
      <c r="C31" s="7"/>
      <c r="D31" s="7"/>
      <c r="E31" s="7"/>
      <c r="F31" s="7"/>
      <c r="G31" s="7"/>
      <c r="H31" s="7"/>
      <c r="I31" s="7"/>
      <c r="J31" s="7"/>
      <c r="K31" s="7"/>
    </row>
    <row r="32" spans="1:12" ht="16" hidden="1">
      <c r="G32" s="6"/>
      <c r="H32" s="6"/>
      <c r="I32" s="6"/>
      <c r="J32" s="6"/>
      <c r="K32" s="6"/>
    </row>
    <row r="33" spans="7:11" ht="16" hidden="1">
      <c r="G33" s="6"/>
      <c r="H33" s="6"/>
      <c r="I33" s="6"/>
      <c r="J33" s="6"/>
      <c r="K33" s="6"/>
    </row>
    <row r="34" spans="7:11" ht="16" hidden="1">
      <c r="G34" s="6"/>
      <c r="H34" s="6"/>
      <c r="I34" s="6"/>
      <c r="J34" s="6"/>
      <c r="K34" s="6"/>
    </row>
    <row r="35" spans="7:11" ht="16" hidden="1">
      <c r="G35" s="6"/>
      <c r="H35" s="6"/>
      <c r="I35" s="6"/>
      <c r="J35" s="6"/>
      <c r="K35" s="6"/>
    </row>
    <row r="36" spans="7:11" ht="16" hidden="1">
      <c r="G36" s="6"/>
      <c r="H36" s="6"/>
      <c r="I36" s="6"/>
      <c r="J36" s="6"/>
      <c r="K36" s="6"/>
    </row>
  </sheetData>
  <sheetProtection sheet="1" objects="1" scenarios="1"/>
  <mergeCells count="10">
    <mergeCell ref="B1:K1"/>
    <mergeCell ref="B14:K14"/>
    <mergeCell ref="B29:K29"/>
    <mergeCell ref="B30:K30"/>
    <mergeCell ref="B6:B12"/>
    <mergeCell ref="E16:K16"/>
    <mergeCell ref="B18:B24"/>
    <mergeCell ref="B2:K2"/>
    <mergeCell ref="B15:K15"/>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2.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 ds:uri="efba6830-88fc-4660-8252-66421c0ed606"/>
    <ds:schemaRef ds:uri="68029b82-de8b-4bb8-a3ab-fd0183ed5d77"/>
  </ds:schemaRefs>
</ds:datastoreItem>
</file>

<file path=customXml/itemProps3.xml><?xml version="1.0" encoding="utf-8"?>
<ds:datastoreItem xmlns:ds="http://schemas.openxmlformats.org/officeDocument/2006/customXml" ds:itemID="{41072926-08D6-4EA7-8E86-623078153D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Rahe, Mallory</cp:lastModifiedBy>
  <cp:revision/>
  <cp:lastPrinted>2025-08-08T18:46:29Z</cp:lastPrinted>
  <dcterms:created xsi:type="dcterms:W3CDTF">2020-07-30T17:48:44Z</dcterms:created>
  <dcterms:modified xsi:type="dcterms:W3CDTF">2025-10-07T13:34:02Z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