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2026 BUDGETS/3-Final/g691_revised_102025/"/>
    </mc:Choice>
  </mc:AlternateContent>
  <xr:revisionPtr revIDLastSave="25" documentId="8_{8B4A4DA2-327C-4D99-B630-8D341DC56327}" xr6:coauthVersionLast="47" xr6:coauthVersionMax="47" xr10:uidLastSave="{13C735D8-5FBB-42C7-A357-255EB4034A4E}"/>
  <bookViews>
    <workbookView xWindow="2265" yWindow="0" windowWidth="24630" windowHeight="15480" tabRatio="760" xr2:uid="{00000000-000D-0000-FFFF-FFFF00000000}"/>
  </bookViews>
  <sheets>
    <sheet name="Introduction" sheetId="9" r:id="rId1"/>
    <sheet name="Budget" sheetId="5" r:id="rId2"/>
    <sheet name="Cost assumptions" sheetId="1" r:id="rId3"/>
    <sheet name="Flock assumptions" sheetId="2" r:id="rId4"/>
    <sheet name="Feed assumptions" sheetId="3" r:id="rId5"/>
    <sheet name="Other assumptions" sheetId="7" r:id="rId6"/>
    <sheet name="Buildings &amp; machinery" sheetId="4" r:id="rId7"/>
  </sheets>
  <definedNames>
    <definedName name="_xlnm.Print_Area" localSheetId="1">Budget!$B$2:$L$1048576,Budget!$N$5:$XFD$34</definedName>
    <definedName name="_xlnm.Print_Area" localSheetId="6">'Buildings &amp; machinery'!$B$2:$L$1048576</definedName>
    <definedName name="_xlnm.Print_Area" localSheetId="2">'Cost assumptions'!$B$2:$G$1048576</definedName>
    <definedName name="_xlnm.Print_Area" localSheetId="4">'Feed assumptions'!$B$2:$P$1048576</definedName>
    <definedName name="_xlnm.Print_Area" localSheetId="3">'Flock assumptions'!$B$2:$J$40</definedName>
    <definedName name="_xlnm.Print_Area" localSheetId="5">'Other assumptions'!$B$2:$L$1048576</definedName>
    <definedName name="solver_adj" localSheetId="2" hidden="1">'Cost assumptions'!$D$13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ng" localSheetId="3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um" localSheetId="2" hidden="1">0</definedName>
    <definedName name="solver_num" localSheetId="3" hidden="1">0</definedName>
    <definedName name="solver_nwt" localSheetId="2" hidden="1">1</definedName>
    <definedName name="solver_opt" localSheetId="2" hidden="1">'Cost assumptions'!$F$13</definedName>
    <definedName name="solver_opt" localSheetId="3" hidden="1">'Flock assumptions'!$S$26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typ" localSheetId="3" hidden="1">1</definedName>
    <definedName name="solver_val" localSheetId="2" hidden="1">5.25</definedName>
    <definedName name="solver_val" localSheetId="3" hidden="1">0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5" l="1"/>
  <c r="J44" i="5"/>
  <c r="J38" i="5"/>
  <c r="J40" i="5" l="1"/>
  <c r="L24" i="2" l="1"/>
  <c r="L23" i="2"/>
  <c r="E53" i="4"/>
  <c r="E38" i="4"/>
  <c r="D29" i="1" l="1"/>
  <c r="H6" i="2"/>
  <c r="D38" i="2"/>
  <c r="I14" i="2" s="1"/>
  <c r="D36" i="2"/>
  <c r="D35" i="2"/>
  <c r="D37" i="2" s="1"/>
  <c r="D34" i="2"/>
  <c r="G35" i="5" l="1"/>
  <c r="G28" i="5"/>
  <c r="J24" i="5"/>
  <c r="G23" i="5"/>
  <c r="D24" i="4" l="1"/>
  <c r="D25" i="4"/>
  <c r="D26" i="4"/>
  <c r="D27" i="4"/>
  <c r="D28" i="4"/>
  <c r="D29" i="4"/>
  <c r="D30" i="4"/>
  <c r="D31" i="4"/>
  <c r="D32" i="4"/>
  <c r="E22" i="1"/>
  <c r="B29" i="3"/>
  <c r="B26" i="3"/>
  <c r="B25" i="3"/>
  <c r="B24" i="3"/>
  <c r="B19" i="3"/>
  <c r="B18" i="3"/>
  <c r="B17" i="3"/>
  <c r="B13" i="3"/>
  <c r="B12" i="3"/>
  <c r="H32" i="4" l="1"/>
  <c r="H31" i="4"/>
  <c r="H30" i="4"/>
  <c r="H29" i="4"/>
  <c r="H28" i="4"/>
  <c r="G32" i="2" l="1"/>
  <c r="I20" i="2" l="1"/>
  <c r="I21" i="2" l="1"/>
  <c r="C24" i="4"/>
  <c r="D38" i="4" s="1"/>
  <c r="C27" i="4" l="1"/>
  <c r="C18" i="4" l="1"/>
  <c r="E27" i="4"/>
  <c r="E41" i="4" s="1"/>
  <c r="C41" i="4"/>
  <c r="G27" i="4"/>
  <c r="F27" i="4"/>
  <c r="C36" i="3" l="1"/>
  <c r="C35" i="3"/>
  <c r="F10" i="7"/>
  <c r="F11" i="7"/>
  <c r="F12" i="7"/>
  <c r="F13" i="7"/>
  <c r="F9" i="7"/>
  <c r="H12" i="4" l="1"/>
  <c r="I12" i="4" l="1"/>
  <c r="H27" i="4"/>
  <c r="D14" i="2"/>
  <c r="C32" i="4"/>
  <c r="I31" i="4"/>
  <c r="I45" i="4" s="1"/>
  <c r="H44" i="4"/>
  <c r="I29" i="4"/>
  <c r="E32" i="4"/>
  <c r="E31" i="4"/>
  <c r="E30" i="4"/>
  <c r="E29" i="4"/>
  <c r="E28" i="4"/>
  <c r="E26" i="4"/>
  <c r="E25" i="4"/>
  <c r="E24" i="4"/>
  <c r="J32" i="2" l="1"/>
  <c r="I30" i="4"/>
  <c r="I44" i="4" s="1"/>
  <c r="H45" i="4"/>
  <c r="I15" i="5"/>
  <c r="G10" i="5"/>
  <c r="I10" i="5"/>
  <c r="I8" i="5"/>
  <c r="I7" i="5"/>
  <c r="I9" i="5"/>
  <c r="G9" i="5"/>
  <c r="G8" i="5"/>
  <c r="G7" i="5"/>
  <c r="I15" i="2"/>
  <c r="J14" i="5" s="1"/>
  <c r="K14" i="5" s="1"/>
  <c r="I9" i="2" l="1"/>
  <c r="F10" i="5" l="1"/>
  <c r="E14" i="2" l="1"/>
  <c r="E23" i="1" l="1"/>
  <c r="E24" i="1" s="1"/>
  <c r="E15" i="2"/>
  <c r="E16" i="2" s="1"/>
  <c r="P14" i="3"/>
  <c r="G16" i="3"/>
  <c r="F32" i="7"/>
  <c r="I22" i="2"/>
  <c r="C25" i="4"/>
  <c r="F16" i="3"/>
  <c r="G30" i="3" l="1"/>
  <c r="R13" i="5" l="1"/>
  <c r="R12" i="5"/>
  <c r="R11" i="5"/>
  <c r="R6" i="5"/>
  <c r="R7" i="5"/>
  <c r="R8" i="5"/>
  <c r="F63" i="4" l="1"/>
  <c r="T32" i="5" s="1"/>
  <c r="F62" i="4"/>
  <c r="T31" i="5" s="1"/>
  <c r="R24" i="5"/>
  <c r="Q24" i="5"/>
  <c r="T23" i="5"/>
  <c r="R20" i="5"/>
  <c r="Q20" i="5"/>
  <c r="F17" i="1" l="1"/>
  <c r="F16" i="1"/>
  <c r="F15" i="1"/>
  <c r="F14" i="1"/>
  <c r="F13" i="1"/>
  <c r="F12" i="1"/>
  <c r="L27" i="3" l="1"/>
  <c r="F26" i="7" l="1"/>
  <c r="J15" i="5" s="1"/>
  <c r="D26" i="7"/>
  <c r="K15" i="5" l="1"/>
  <c r="K30" i="3"/>
  <c r="L30" i="3"/>
  <c r="E30" i="3"/>
  <c r="H9" i="2" l="1"/>
  <c r="H8" i="2"/>
  <c r="H7" i="2"/>
  <c r="G7" i="2"/>
  <c r="G6" i="2"/>
  <c r="J9" i="2" l="1"/>
  <c r="J10" i="5" s="1"/>
  <c r="K10" i="5" s="1"/>
  <c r="E61" i="4" l="1"/>
  <c r="I9" i="3"/>
  <c r="I31" i="2"/>
  <c r="J31" i="2" s="1"/>
  <c r="D35" i="3" s="1"/>
  <c r="I19" i="5"/>
  <c r="E30" i="7"/>
  <c r="F30" i="7" s="1"/>
  <c r="M16" i="3"/>
  <c r="E16" i="3"/>
  <c r="F30" i="3"/>
  <c r="H16" i="3"/>
  <c r="H30" i="3" s="1"/>
  <c r="J16" i="3"/>
  <c r="D16" i="3"/>
  <c r="B48" i="3"/>
  <c r="P9" i="3" l="1"/>
  <c r="P16" i="3" s="1"/>
  <c r="P10" i="3"/>
  <c r="H31" i="2"/>
  <c r="D36" i="3"/>
  <c r="J30" i="3"/>
  <c r="R30" i="5"/>
  <c r="P17" i="3"/>
  <c r="M30" i="3"/>
  <c r="P20" i="3"/>
  <c r="T20" i="5"/>
  <c r="E14" i="3"/>
  <c r="F14" i="3"/>
  <c r="G14" i="3"/>
  <c r="H14" i="3"/>
  <c r="I14" i="3"/>
  <c r="J14" i="3"/>
  <c r="M14" i="3"/>
  <c r="D14" i="3"/>
  <c r="F27" i="3" l="1"/>
  <c r="G27" i="3"/>
  <c r="H27" i="3"/>
  <c r="I27" i="3"/>
  <c r="J27" i="3"/>
  <c r="M27" i="3"/>
  <c r="D27" i="3"/>
  <c r="E27" i="3"/>
  <c r="F20" i="3"/>
  <c r="G20" i="3"/>
  <c r="H20" i="3"/>
  <c r="I20" i="3"/>
  <c r="J20" i="3"/>
  <c r="M20" i="3"/>
  <c r="D20" i="3"/>
  <c r="E20" i="3"/>
  <c r="R9" i="5" l="1"/>
  <c r="E35" i="3" l="1"/>
  <c r="F35" i="3" s="1"/>
  <c r="E36" i="3"/>
  <c r="F36" i="3" s="1"/>
  <c r="I32" i="2"/>
  <c r="F37" i="3" l="1"/>
  <c r="K6" i="7" s="1"/>
  <c r="G63" i="4"/>
  <c r="G62" i="4"/>
  <c r="U31" i="5" s="1"/>
  <c r="B62" i="4"/>
  <c r="J16" i="5" l="1"/>
  <c r="U32" i="5"/>
  <c r="I16" i="5"/>
  <c r="P12" i="3"/>
  <c r="D10" i="3"/>
  <c r="K16" i="5" l="1"/>
  <c r="I14" i="5"/>
  <c r="I8" i="2"/>
  <c r="F9" i="5" s="1"/>
  <c r="F29" i="7"/>
  <c r="F14" i="5" l="1"/>
  <c r="F41" i="4" l="1"/>
  <c r="C31" i="4"/>
  <c r="C30" i="4"/>
  <c r="C29" i="4"/>
  <c r="C28" i="4"/>
  <c r="C46" i="4"/>
  <c r="C26" i="4"/>
  <c r="F29" i="4"/>
  <c r="F43" i="4" s="1"/>
  <c r="H46" i="4"/>
  <c r="F32" i="4"/>
  <c r="F46" i="4" s="1"/>
  <c r="F31" i="4"/>
  <c r="F45" i="4" s="1"/>
  <c r="F30" i="4"/>
  <c r="F44" i="4" s="1"/>
  <c r="F28" i="4"/>
  <c r="F42" i="4" s="1"/>
  <c r="F26" i="4"/>
  <c r="F40" i="4" s="1"/>
  <c r="F25" i="4"/>
  <c r="F39" i="4" s="1"/>
  <c r="F24" i="4"/>
  <c r="G31" i="4"/>
  <c r="G30" i="4"/>
  <c r="G29" i="4"/>
  <c r="G28" i="4"/>
  <c r="G42" i="4" s="1"/>
  <c r="G41" i="4"/>
  <c r="G26" i="4"/>
  <c r="G40" i="4" s="1"/>
  <c r="G53" i="4" s="1"/>
  <c r="J26" i="5" s="1"/>
  <c r="K26" i="5" s="1"/>
  <c r="G25" i="4"/>
  <c r="G39" i="4" s="1"/>
  <c r="G24" i="4"/>
  <c r="G38" i="4" s="1"/>
  <c r="E45" i="4"/>
  <c r="E44" i="4"/>
  <c r="E43" i="4"/>
  <c r="G32" i="4"/>
  <c r="E46" i="4"/>
  <c r="E40" i="4"/>
  <c r="E39" i="4"/>
  <c r="B46" i="4"/>
  <c r="B45" i="4"/>
  <c r="B44" i="4"/>
  <c r="B43" i="4"/>
  <c r="B42" i="4"/>
  <c r="B41" i="4"/>
  <c r="B40" i="4"/>
  <c r="B39" i="4"/>
  <c r="B38" i="4"/>
  <c r="B32" i="4"/>
  <c r="B31" i="4"/>
  <c r="B30" i="4"/>
  <c r="B29" i="4"/>
  <c r="B28" i="4"/>
  <c r="B27" i="4"/>
  <c r="B26" i="4"/>
  <c r="B25" i="4"/>
  <c r="B24" i="4"/>
  <c r="F54" i="4" l="1"/>
  <c r="C45" i="4"/>
  <c r="C42" i="4"/>
  <c r="L24" i="4"/>
  <c r="G46" i="4"/>
  <c r="G44" i="4"/>
  <c r="J30" i="4"/>
  <c r="G43" i="4"/>
  <c r="J29" i="4"/>
  <c r="G45" i="4"/>
  <c r="J31" i="4"/>
  <c r="I28" i="4"/>
  <c r="I42" i="4" s="1"/>
  <c r="H41" i="4"/>
  <c r="L29" i="4"/>
  <c r="L27" i="4"/>
  <c r="F38" i="4"/>
  <c r="F53" i="4" s="1"/>
  <c r="L30" i="4"/>
  <c r="L25" i="4"/>
  <c r="L26" i="4"/>
  <c r="C33" i="4"/>
  <c r="H43" i="4"/>
  <c r="H33" i="4"/>
  <c r="H42" i="4"/>
  <c r="I27" i="4"/>
  <c r="J27" i="4" s="1"/>
  <c r="D39" i="4"/>
  <c r="C40" i="4"/>
  <c r="L31" i="4"/>
  <c r="C39" i="4"/>
  <c r="C44" i="4"/>
  <c r="D43" i="4"/>
  <c r="D44" i="4"/>
  <c r="D40" i="4"/>
  <c r="D41" i="4"/>
  <c r="C38" i="4"/>
  <c r="C43" i="4"/>
  <c r="E42" i="4"/>
  <c r="E54" i="4" s="1"/>
  <c r="G33" i="4"/>
  <c r="E33" i="4"/>
  <c r="F33" i="4"/>
  <c r="I32" i="4"/>
  <c r="I46" i="4" s="1"/>
  <c r="D53" i="4" l="1"/>
  <c r="C54" i="4"/>
  <c r="E47" i="4"/>
  <c r="J28" i="4"/>
  <c r="J32" i="4"/>
  <c r="I43" i="4"/>
  <c r="D46" i="4"/>
  <c r="L32" i="4"/>
  <c r="D42" i="4"/>
  <c r="L28" i="4"/>
  <c r="C53" i="4"/>
  <c r="I16" i="3"/>
  <c r="I16" i="2"/>
  <c r="J21" i="5" s="1"/>
  <c r="K21" i="5" s="1"/>
  <c r="E12" i="2"/>
  <c r="E13" i="2"/>
  <c r="J33" i="2"/>
  <c r="J10" i="3"/>
  <c r="F15" i="5"/>
  <c r="I41" i="4"/>
  <c r="G54" i="4" s="1"/>
  <c r="J25" i="5" s="1"/>
  <c r="K25" i="5" s="1"/>
  <c r="I33" i="4"/>
  <c r="D33" i="4"/>
  <c r="D45" i="4"/>
  <c r="F31" i="7"/>
  <c r="K24" i="5" s="1"/>
  <c r="F34" i="7"/>
  <c r="G20" i="7"/>
  <c r="G18" i="7"/>
  <c r="F27" i="7"/>
  <c r="J22" i="5" s="1"/>
  <c r="K22" i="5" s="1"/>
  <c r="G17" i="7"/>
  <c r="G19" i="7"/>
  <c r="F33" i="7"/>
  <c r="J32" i="5" s="1"/>
  <c r="K32" i="5" s="1"/>
  <c r="E23" i="2" l="1"/>
  <c r="E22" i="2" s="1"/>
  <c r="I7" i="2"/>
  <c r="I6" i="2" s="1"/>
  <c r="D54" i="4"/>
  <c r="G8" i="7"/>
  <c r="I30" i="3"/>
  <c r="P19" i="3" s="1"/>
  <c r="S20" i="5"/>
  <c r="U20" i="5" s="1"/>
  <c r="G16" i="5"/>
  <c r="D37" i="3" l="1"/>
  <c r="F10" i="3" l="1"/>
  <c r="G10" i="3"/>
  <c r="H10" i="3"/>
  <c r="I10" i="3"/>
  <c r="D44" i="3" l="1"/>
  <c r="D54" i="3"/>
  <c r="Q23" i="5" s="1"/>
  <c r="D51" i="3"/>
  <c r="D49" i="3"/>
  <c r="D50" i="3"/>
  <c r="D45" i="3"/>
  <c r="D43" i="3"/>
  <c r="E10" i="3"/>
  <c r="B54" i="3"/>
  <c r="B36" i="3"/>
  <c r="B43" i="3"/>
  <c r="B44" i="3"/>
  <c r="B45" i="3"/>
  <c r="B49" i="3"/>
  <c r="B50" i="3"/>
  <c r="B51" i="3"/>
  <c r="B35" i="3"/>
  <c r="D52" i="3" l="1"/>
  <c r="D46" i="3"/>
  <c r="Q21" i="5" s="1"/>
  <c r="D18" i="4"/>
  <c r="Q22" i="5" l="1"/>
  <c r="D55" i="3"/>
  <c r="S24" i="5"/>
  <c r="G9" i="7"/>
  <c r="G13" i="7"/>
  <c r="G10" i="7"/>
  <c r="G11" i="7"/>
  <c r="G12" i="7"/>
  <c r="C47" i="4"/>
  <c r="C48" i="4" s="1"/>
  <c r="F47" i="4"/>
  <c r="F48" i="4" s="1"/>
  <c r="E48" i="4"/>
  <c r="G21" i="7" l="1"/>
  <c r="J20" i="5" s="1"/>
  <c r="K20" i="5" s="1"/>
  <c r="G27" i="5"/>
  <c r="G47" i="4"/>
  <c r="G48" i="4" s="1"/>
  <c r="F56" i="4"/>
  <c r="J33" i="5" s="1"/>
  <c r="K33" i="5" s="1"/>
  <c r="E56" i="4"/>
  <c r="J34" i="5" s="1"/>
  <c r="K34" i="5" s="1"/>
  <c r="K9" i="7" l="1"/>
  <c r="I47" i="4"/>
  <c r="I48" i="4" s="1"/>
  <c r="D47" i="4"/>
  <c r="D48" i="4" s="1"/>
  <c r="H47" i="4"/>
  <c r="H48" i="4" s="1"/>
  <c r="G56" i="4" l="1"/>
  <c r="K8" i="7" s="1"/>
  <c r="E9" i="2" l="1"/>
  <c r="E6" i="2"/>
  <c r="E8" i="2" s="1"/>
  <c r="L10" i="3" l="1"/>
  <c r="E11" i="2"/>
  <c r="E37" i="3" l="1"/>
  <c r="F48" i="3"/>
  <c r="L9" i="2"/>
  <c r="J8" i="2"/>
  <c r="J9" i="5" s="1"/>
  <c r="K9" i="5" s="1"/>
  <c r="F22" i="2" l="1"/>
  <c r="E48" i="3"/>
  <c r="G48" i="3"/>
  <c r="H48" i="3" s="1"/>
  <c r="M10" i="3"/>
  <c r="L8" i="2"/>
  <c r="E51" i="3" l="1"/>
  <c r="F49" i="3"/>
  <c r="F8" i="5"/>
  <c r="H32" i="2"/>
  <c r="J7" i="2"/>
  <c r="J8" i="5" s="1"/>
  <c r="K8" i="5" s="1"/>
  <c r="F54" i="3"/>
  <c r="E54" i="3"/>
  <c r="F51" i="3"/>
  <c r="G51" i="3" s="1"/>
  <c r="H51" i="3" s="1"/>
  <c r="F50" i="3"/>
  <c r="G50" i="3" s="1"/>
  <c r="H50" i="3" s="1"/>
  <c r="E49" i="3"/>
  <c r="E50" i="3"/>
  <c r="F44" i="3"/>
  <c r="G44" i="3" s="1"/>
  <c r="H44" i="3" s="1"/>
  <c r="F45" i="3"/>
  <c r="G45" i="3" s="1"/>
  <c r="H45" i="3" s="1"/>
  <c r="F43" i="3"/>
  <c r="G43" i="3" s="1"/>
  <c r="H43" i="3" s="1"/>
  <c r="E43" i="3"/>
  <c r="E45" i="3"/>
  <c r="E44" i="3"/>
  <c r="G62" i="3"/>
  <c r="F7" i="5" l="1"/>
  <c r="R10" i="5"/>
  <c r="J6" i="2"/>
  <c r="J7" i="5" s="1"/>
  <c r="K7" i="5" s="1"/>
  <c r="F23" i="2"/>
  <c r="L7" i="2"/>
  <c r="S23" i="5"/>
  <c r="R23" i="5"/>
  <c r="G54" i="3"/>
  <c r="G19" i="5"/>
  <c r="E52" i="3"/>
  <c r="G49" i="3"/>
  <c r="H49" i="3" s="1"/>
  <c r="F52" i="3"/>
  <c r="F46" i="3"/>
  <c r="G63" i="3"/>
  <c r="K11" i="5" l="1"/>
  <c r="D24" i="2"/>
  <c r="J10" i="2"/>
  <c r="E28" i="7" s="1"/>
  <c r="F28" i="7" s="1"/>
  <c r="F35" i="7" s="1"/>
  <c r="K10" i="7" s="1"/>
  <c r="L6" i="2"/>
  <c r="L10" i="2" s="1"/>
  <c r="S21" i="5"/>
  <c r="S22" i="5"/>
  <c r="R22" i="5"/>
  <c r="G17" i="5"/>
  <c r="G18" i="5"/>
  <c r="H54" i="3"/>
  <c r="J19" i="5" s="1"/>
  <c r="K19" i="5" s="1"/>
  <c r="F55" i="3"/>
  <c r="G52" i="3"/>
  <c r="C50" i="3"/>
  <c r="E46" i="3"/>
  <c r="R21" i="5" s="1"/>
  <c r="C44" i="3"/>
  <c r="C45" i="3"/>
  <c r="C43" i="3"/>
  <c r="G46" i="3"/>
  <c r="C51" i="3"/>
  <c r="C49" i="3"/>
  <c r="C48" i="3"/>
  <c r="J11" i="5" l="1"/>
  <c r="T21" i="5"/>
  <c r="U23" i="5"/>
  <c r="T22" i="5"/>
  <c r="E59" i="3"/>
  <c r="F59" i="3" s="1"/>
  <c r="F60" i="3"/>
  <c r="G60" i="3" s="1"/>
  <c r="I18" i="5" s="1"/>
  <c r="G55" i="3"/>
  <c r="E55" i="3"/>
  <c r="H52" i="3"/>
  <c r="J18" i="5" s="1"/>
  <c r="K18" i="5" s="1"/>
  <c r="C46" i="3"/>
  <c r="C52" i="3"/>
  <c r="H46" i="3"/>
  <c r="J17" i="5" s="1"/>
  <c r="J23" i="5" l="1"/>
  <c r="K23" i="5" s="1"/>
  <c r="K17" i="5"/>
  <c r="U21" i="5"/>
  <c r="U22" i="5"/>
  <c r="H55" i="3"/>
  <c r="K7" i="7" s="1"/>
  <c r="G59" i="3"/>
  <c r="K11" i="7" l="1"/>
  <c r="K13" i="7" s="1"/>
  <c r="I17" i="5"/>
  <c r="J28" i="5" l="1"/>
  <c r="K28" i="5" s="1"/>
  <c r="I23" i="2"/>
  <c r="D55" i="4" s="1"/>
  <c r="D56" i="4" l="1"/>
  <c r="C55" i="4"/>
  <c r="C56" i="4" s="1"/>
  <c r="D61" i="4"/>
  <c r="J35" i="5" l="1"/>
  <c r="K35" i="5" s="1"/>
  <c r="F61" i="4"/>
  <c r="S30" i="5"/>
  <c r="J36" i="5"/>
  <c r="K36" i="5" l="1"/>
  <c r="G61" i="4"/>
  <c r="T30" i="5"/>
  <c r="F64" i="4"/>
  <c r="T33" i="5" s="1"/>
  <c r="U30" i="5" l="1"/>
  <c r="G64" i="4"/>
  <c r="U33" i="5" s="1"/>
  <c r="F22" i="1"/>
  <c r="T24" i="5"/>
  <c r="I27" i="5"/>
  <c r="F23" i="1"/>
  <c r="F24" i="1" l="1"/>
  <c r="U24" i="5" s="1"/>
  <c r="J27" i="5" l="1"/>
  <c r="J29" i="5" s="1"/>
  <c r="K27" i="5" l="1"/>
  <c r="K29" i="5" s="1"/>
  <c r="K39" i="5" s="1"/>
  <c r="K38" i="5" s="1"/>
  <c r="K40" i="5" s="1"/>
  <c r="J41" i="5"/>
  <c r="K41" i="5" s="1"/>
  <c r="J39" i="5"/>
  <c r="J42" i="5" l="1"/>
  <c r="K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Milhollin, Ryan</author>
    <author>Milhollin, Ryan K.</author>
  </authors>
  <commentList>
    <comment ref="B7" authorId="0" shapeId="0" xr:uid="{7C33ABD8-3567-4B72-8A6D-D14C8EAFE4A7}">
      <text>
        <r>
          <rPr>
            <sz val="10"/>
            <color indexed="81"/>
            <rFont val="Aptos"/>
            <family val="2"/>
            <scheme val="minor"/>
          </rPr>
          <t>Rent + grazed forage related costs, e.g. fertilizer, weed control, etc.</t>
        </r>
      </text>
    </comment>
    <comment ref="B9" authorId="0" shapeId="0" xr:uid="{1FBDD5E3-4617-4CD1-9432-ED63CBCC6EC9}">
      <text>
        <r>
          <rPr>
            <sz val="10"/>
            <color indexed="81"/>
            <rFont val="Aptos"/>
            <family val="2"/>
            <scheme val="minor"/>
          </rPr>
          <t>Use market value for hay. Budget assumes hay is purchased.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84C5B817-6240-49D0-97FA-AD6877A02016}">
      <text>
        <r>
          <rPr>
            <sz val="10"/>
            <color indexed="81"/>
            <rFont val="Aptos"/>
            <family val="2"/>
            <scheme val="minor"/>
          </rPr>
          <t>soyhulls, corn gluten, corn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1" shapeId="0" xr:uid="{662BAFFB-6A70-4DA2-8227-798F6D932350}">
      <text>
        <r>
          <rPr>
            <sz val="10"/>
            <color indexed="81"/>
            <rFont val="Aptos"/>
            <family val="2"/>
            <scheme val="minor"/>
          </rPr>
          <t xml:space="preserve">Diesel fed &amp; state excise tax ~ $0.41/gal
</t>
        </r>
      </text>
    </comment>
  </commentList>
</comments>
</file>

<file path=xl/sharedStrings.xml><?xml version="1.0" encoding="utf-8"?>
<sst xmlns="http://schemas.openxmlformats.org/spreadsheetml/2006/main" count="580" uniqueCount="378">
  <si>
    <t>$ per ton</t>
  </si>
  <si>
    <t>Description</t>
  </si>
  <si>
    <t>Fuel, off-road</t>
  </si>
  <si>
    <t>Fuel, highway</t>
  </si>
  <si>
    <t>Units</t>
  </si>
  <si>
    <t>$ per hour</t>
  </si>
  <si>
    <t>$ per gallon</t>
  </si>
  <si>
    <t>per unit</t>
  </si>
  <si>
    <t>Fuel</t>
  </si>
  <si>
    <t>Operating rate</t>
  </si>
  <si>
    <t>$ per head</t>
  </si>
  <si>
    <t>Sell price</t>
  </si>
  <si>
    <t>Replacement</t>
  </si>
  <si>
    <t>Total</t>
  </si>
  <si>
    <t>Value</t>
  </si>
  <si>
    <t>Sell or transfer</t>
  </si>
  <si>
    <t>Fraction</t>
  </si>
  <si>
    <t>Hay</t>
  </si>
  <si>
    <t>Purchase</t>
  </si>
  <si>
    <t>Salvage</t>
  </si>
  <si>
    <t>Lube</t>
  </si>
  <si>
    <t>Repair</t>
  </si>
  <si>
    <t>Enterprise</t>
  </si>
  <si>
    <t>Stock trailer, 16 ft.</t>
  </si>
  <si>
    <t>TIH</t>
  </si>
  <si>
    <t>Deprec</t>
  </si>
  <si>
    <t>Interest on</t>
  </si>
  <si>
    <t>Oper. $ per</t>
  </si>
  <si>
    <t>hr or mile</t>
  </si>
  <si>
    <t>Oppor.</t>
  </si>
  <si>
    <t>life</t>
  </si>
  <si>
    <t>factor</t>
  </si>
  <si>
    <t>allocation</t>
  </si>
  <si>
    <t>Econ.</t>
  </si>
  <si>
    <t xml:space="preserve"> </t>
  </si>
  <si>
    <t>Share of farm capital related cost allocated</t>
  </si>
  <si>
    <t>Machinery and equipment</t>
  </si>
  <si>
    <t>Operating costs</t>
  </si>
  <si>
    <t>Marketing</t>
  </si>
  <si>
    <t>Ownership costs</t>
  </si>
  <si>
    <t>TIH*</t>
  </si>
  <si>
    <t>number of head</t>
  </si>
  <si>
    <t>Adult death loss</t>
  </si>
  <si>
    <t>$ per lb</t>
  </si>
  <si>
    <t>Flushing</t>
  </si>
  <si>
    <t>Late</t>
  </si>
  <si>
    <t>Lactating</t>
  </si>
  <si>
    <t>days</t>
  </si>
  <si>
    <t>lbs/hd/day</t>
  </si>
  <si>
    <t>Feeder</t>
  </si>
  <si>
    <t>Early</t>
  </si>
  <si>
    <t>gestation</t>
  </si>
  <si>
    <t>creep</t>
  </si>
  <si>
    <t>Days in group</t>
  </si>
  <si>
    <t>Confined</t>
  </si>
  <si>
    <t>num. of head</t>
  </si>
  <si>
    <t>no-graze days</t>
  </si>
  <si>
    <t>$ fed</t>
  </si>
  <si>
    <t>days of grazing</t>
  </si>
  <si>
    <t>Guard dogs</t>
  </si>
  <si>
    <t>years</t>
  </si>
  <si>
    <t>Guard dog longevity</t>
  </si>
  <si>
    <t>Breeding stock</t>
  </si>
  <si>
    <t>Check</t>
  </si>
  <si>
    <t>Check hay feeding days</t>
  </si>
  <si>
    <t>Days</t>
  </si>
  <si>
    <t>Dog food</t>
  </si>
  <si>
    <t>per year</t>
  </si>
  <si>
    <t>$ per</t>
  </si>
  <si>
    <t>Adult</t>
  </si>
  <si>
    <t>Veterinarian trip</t>
  </si>
  <si>
    <t>Table 2. Flock production and stock investment values</t>
  </si>
  <si>
    <t>CDT vac</t>
  </si>
  <si>
    <t>VetMed supplies</t>
  </si>
  <si>
    <t>Line-item</t>
  </si>
  <si>
    <t>Unit</t>
  </si>
  <si>
    <t>Bedding</t>
  </si>
  <si>
    <t>Utilities</t>
  </si>
  <si>
    <t>enterprise</t>
  </si>
  <si>
    <t>whole-farm</t>
  </si>
  <si>
    <t>Miscellaneous</t>
  </si>
  <si>
    <t>Sum of other items</t>
  </si>
  <si>
    <t>Breeding supplies</t>
  </si>
  <si>
    <t>Professional fees, dues</t>
  </si>
  <si>
    <t>2.1. Production parameters</t>
  </si>
  <si>
    <t>Validation checks for table 4.1</t>
  </si>
  <si>
    <t>Number</t>
  </si>
  <si>
    <t>of units</t>
  </si>
  <si>
    <t xml:space="preserve"> years</t>
  </si>
  <si>
    <t>Operating loan term</t>
  </si>
  <si>
    <t>Operating interest</t>
  </si>
  <si>
    <t>Pasture</t>
  </si>
  <si>
    <t>per acre</t>
  </si>
  <si>
    <t>acres</t>
  </si>
  <si>
    <t>On-farm</t>
  </si>
  <si>
    <t>Supplement</t>
  </si>
  <si>
    <t>Mineral</t>
  </si>
  <si>
    <t>Working system, pens, feeders, water</t>
  </si>
  <si>
    <t>VetMed</t>
  </si>
  <si>
    <t>waste</t>
  </si>
  <si>
    <t>gal per hp hour</t>
  </si>
  <si>
    <t xml:space="preserve">   Tractor usage</t>
  </si>
  <si>
    <t>DIRTI</t>
  </si>
  <si>
    <t>ATV (hr)</t>
  </si>
  <si>
    <t>Pickup (mi)</t>
  </si>
  <si>
    <t>Guard dog replacement</t>
  </si>
  <si>
    <t>Other custom hire</t>
  </si>
  <si>
    <t>Capital operations</t>
  </si>
  <si>
    <t>Hay, supp., mineral</t>
  </si>
  <si>
    <t>hr or mi</t>
  </si>
  <si>
    <t>Purchase value of guard dog</t>
  </si>
  <si>
    <t>lb</t>
  </si>
  <si>
    <t>acre</t>
  </si>
  <si>
    <t>Flock</t>
  </si>
  <si>
    <t>lbs per dog/day</t>
  </si>
  <si>
    <t>General stock supplies</t>
  </si>
  <si>
    <t>Animals in group</t>
  </si>
  <si>
    <t>Corn equiv.</t>
  </si>
  <si>
    <t>hd</t>
  </si>
  <si>
    <t>Days derived to feed hay</t>
  </si>
  <si>
    <t>gross 'sales'</t>
  </si>
  <si>
    <t>Budget</t>
  </si>
  <si>
    <t>Buildings and facilities</t>
  </si>
  <si>
    <t>$ per unit</t>
  </si>
  <si>
    <t>Machinery, equipment, pickup</t>
  </si>
  <si>
    <t>Weighted</t>
  </si>
  <si>
    <t>price</t>
  </si>
  <si>
    <t>Percent of</t>
  </si>
  <si>
    <t>lbs per hd</t>
  </si>
  <si>
    <t>% of weaned</t>
  </si>
  <si>
    <t>$ as-fed</t>
  </si>
  <si>
    <t>per head,</t>
  </si>
  <si>
    <t>Salt-trace mineral mix</t>
  </si>
  <si>
    <t>Weighted average price of hay fed</t>
  </si>
  <si>
    <t>Weighted average price of supplement fed</t>
  </si>
  <si>
    <t>Ton</t>
  </si>
  <si>
    <t>Milk replacer</t>
  </si>
  <si>
    <t>$ per cwt</t>
  </si>
  <si>
    <t xml:space="preserve">Fed to </t>
  </si>
  <si>
    <t>Fed to</t>
  </si>
  <si>
    <t>Cwt.</t>
  </si>
  <si>
    <t>Head per</t>
  </si>
  <si>
    <t>--</t>
  </si>
  <si>
    <t>Quantity</t>
  </si>
  <si>
    <t>Breeding stock unit</t>
  </si>
  <si>
    <t>Pasture validation check</t>
  </si>
  <si>
    <t>2.4 Stock investment values</t>
  </si>
  <si>
    <t>2.3 Pasture allocation</t>
  </si>
  <si>
    <t>2.6 Annual stock cost calculations</t>
  </si>
  <si>
    <t>2.2 Enterprise prices*</t>
  </si>
  <si>
    <t>feed category</t>
  </si>
  <si>
    <t>hour</t>
  </si>
  <si>
    <t>Qty.</t>
  </si>
  <si>
    <t>%</t>
  </si>
  <si>
    <t>Labor</t>
  </si>
  <si>
    <t>$/tn</t>
  </si>
  <si>
    <t>$/bu</t>
  </si>
  <si>
    <t>Supplement and mineral fed: Daily lbs per head averaged for each period</t>
  </si>
  <si>
    <t>Open</t>
  </si>
  <si>
    <t>% of sale $</t>
  </si>
  <si>
    <t>Rotary mower, 8 ft.</t>
  </si>
  <si>
    <t>Jan-Dec</t>
  </si>
  <si>
    <t>pasture acres</t>
  </si>
  <si>
    <t xml:space="preserve">Note: Building and machinery investment for the farm is allocated across multiple enterprises. </t>
  </si>
  <si>
    <t>Line to add optional facility</t>
  </si>
  <si>
    <t>Line to add optional equipment</t>
  </si>
  <si>
    <t>Instructions:</t>
  </si>
  <si>
    <t>Built-in assumptions:</t>
  </si>
  <si>
    <t xml:space="preserve">2. Number of breeding females is held constant across years and within the year. That is, </t>
  </si>
  <si>
    <t>5.5 Enterprise land and capital investment</t>
  </si>
  <si>
    <t>4.1. Health program</t>
  </si>
  <si>
    <t xml:space="preserve">4.2. Other line-item enterprise costs </t>
  </si>
  <si>
    <t>3.1. Daily feed by group</t>
  </si>
  <si>
    <t>3.2 Pasture cost allocation</t>
  </si>
  <si>
    <t>3.3 Enterprise hay and supplement</t>
  </si>
  <si>
    <t>3.4 Internal calculations</t>
  </si>
  <si>
    <t>Doe numbers, start of breeding season</t>
  </si>
  <si>
    <t>% of mature does</t>
  </si>
  <si>
    <t>Cull doe</t>
  </si>
  <si>
    <t>% of exposed does</t>
  </si>
  <si>
    <t>% of bred does</t>
  </si>
  <si>
    <t>$ per doe year</t>
  </si>
  <si>
    <t>Replacement doe value</t>
  </si>
  <si>
    <t>2.7. Breeding stock investment per doe-unit</t>
  </si>
  <si>
    <t>doe</t>
  </si>
  <si>
    <t>Breeding doe market value, young</t>
  </si>
  <si>
    <t>Breeding doe market value, mid age</t>
  </si>
  <si>
    <t>Breeding doe market value, aged</t>
  </si>
  <si>
    <t>Market value of replacement doe</t>
  </si>
  <si>
    <t>per doe</t>
  </si>
  <si>
    <t>Does bred per exposure</t>
  </si>
  <si>
    <t>Doe</t>
  </si>
  <si>
    <t>Computed kid crop born</t>
  </si>
  <si>
    <t>% of kid crop</t>
  </si>
  <si>
    <t>Pasture acres allocated per weaned feeder kid, per year</t>
  </si>
  <si>
    <t>Cull buck</t>
  </si>
  <si>
    <t>Does culled per year</t>
  </si>
  <si>
    <t>Bucks for breeding</t>
  </si>
  <si>
    <t>Buck longevity as breeder</t>
  </si>
  <si>
    <t>Kid death loss, pre-weaning</t>
  </si>
  <si>
    <t>Kid death loss, post-weaning</t>
  </si>
  <si>
    <t>Kiding rate per bred doe</t>
  </si>
  <si>
    <t>Buck</t>
  </si>
  <si>
    <t>Pasture acres allocated per adult goat, per year</t>
  </si>
  <si>
    <t>Pasture alloc. for adult goats</t>
  </si>
  <si>
    <t>Purchase value of bucks</t>
  </si>
  <si>
    <t>Bucks</t>
  </si>
  <si>
    <t>(kidding)</t>
  </si>
  <si>
    <t>Age of kids sold from enterprise</t>
  </si>
  <si>
    <t>Days feeder kids fed forage, graze or hay</t>
  </si>
  <si>
    <t>Days derived to feed hay to feeder kids</t>
  </si>
  <si>
    <t>Hay feeding days accounted for feeder kids</t>
  </si>
  <si>
    <t>Kid</t>
  </si>
  <si>
    <t>Est. doe-days grazing</t>
  </si>
  <si>
    <t>Est. pasture cost per doe-day</t>
  </si>
  <si>
    <t>does</t>
  </si>
  <si>
    <t>Total days on farm accounted for does</t>
  </si>
  <si>
    <t>Grazing days accounted for does</t>
  </si>
  <si>
    <t>Days derived to feed hay to does</t>
  </si>
  <si>
    <t>Hay feeding days accounted for does</t>
  </si>
  <si>
    <t>kids</t>
  </si>
  <si>
    <t>$ per doe</t>
  </si>
  <si>
    <t>bales per doe</t>
  </si>
  <si>
    <t>4.3. Operating loan estimates per doe</t>
  </si>
  <si>
    <t>Doe labor</t>
  </si>
  <si>
    <t>Feeder kid labor</t>
  </si>
  <si>
    <t>Adult dose</t>
  </si>
  <si>
    <t>Kid dose</t>
  </si>
  <si>
    <t>5.4 Annual capital related costs per doe</t>
  </si>
  <si>
    <t>Buildings for kidding and storage</t>
  </si>
  <si>
    <t xml:space="preserve">  1. Wether kids:  </t>
  </si>
  <si>
    <t xml:space="preserve">  3. Cull does:  </t>
  </si>
  <si>
    <t>Kid crop (live birth per exposed)</t>
  </si>
  <si>
    <t>Kid crop (raised to sale weight)</t>
  </si>
  <si>
    <t>Dewormer Albendazole</t>
  </si>
  <si>
    <t>Dewormer Fenbendazole</t>
  </si>
  <si>
    <t>Other (Table 4.2)</t>
  </si>
  <si>
    <t>Meat Goat Budget for Missouri</t>
  </si>
  <si>
    <t xml:space="preserve">1. The budget generator assumes one kidding per doe per year. </t>
  </si>
  <si>
    <t xml:space="preserve"> mature does are culled at the same time replacements transfer into the breeding herd.</t>
  </si>
  <si>
    <t>3. Doe kids are bred to first-kid at one year of age.</t>
  </si>
  <si>
    <t>Jun</t>
  </si>
  <si>
    <t>Mar-Jun</t>
  </si>
  <si>
    <t>Mar-Apr</t>
  </si>
  <si>
    <t>Per doe</t>
  </si>
  <si>
    <t>Total costs</t>
  </si>
  <si>
    <t>Buck cost (buck depreciation)</t>
  </si>
  <si>
    <t>Calc. weighted avg. kid price, $ per lb</t>
  </si>
  <si>
    <t>* Budgeted returns are weighted based on weaning rate and determined singles or twins</t>
  </si>
  <si>
    <t>Nov-Jan</t>
  </si>
  <si>
    <t>Oct</t>
  </si>
  <si>
    <t>Feb-Mar</t>
  </si>
  <si>
    <t>Jun-Oct</t>
  </si>
  <si>
    <t>Jun-Dec</t>
  </si>
  <si>
    <t>Dewormer Rumatel</t>
  </si>
  <si>
    <t>Tractor-loader, 55 Hp TWD (hr)</t>
  </si>
  <si>
    <t>Capital interest rate</t>
  </si>
  <si>
    <t>Repair &amp;</t>
  </si>
  <si>
    <t xml:space="preserve">This budget tool will accommodate a breeding meat goat herd, with or without a kid growout phase. </t>
  </si>
  <si>
    <t>This worksheet is for educational purposes only and the user assumes all risks associated with its use.</t>
  </si>
  <si>
    <t>Developed by:</t>
  </si>
  <si>
    <t>Jennifer Lutes</t>
  </si>
  <si>
    <t>University of Missouri Extension</t>
  </si>
  <si>
    <t>Income</t>
  </si>
  <si>
    <t>Total income</t>
  </si>
  <si>
    <t>Total operating costs</t>
  </si>
  <si>
    <t>Total ownership costs</t>
  </si>
  <si>
    <t>Per enterprise</t>
  </si>
  <si>
    <t>$/unit</t>
  </si>
  <si>
    <t>Hd./doe</t>
  </si>
  <si>
    <t>adults</t>
  </si>
  <si>
    <t>units</t>
  </si>
  <si>
    <t>total ($)</t>
  </si>
  <si>
    <t>($ per doe)</t>
  </si>
  <si>
    <t xml:space="preserve">Total </t>
  </si>
  <si>
    <t>per doe, per year</t>
  </si>
  <si>
    <t xml:space="preserve">Lactation days </t>
  </si>
  <si>
    <t>Kiddings</t>
  </si>
  <si>
    <t>Lbs. of goat</t>
  </si>
  <si>
    <t>2.5 Enterprise income estimates</t>
  </si>
  <si>
    <t>Heavy kids (singles in crop)</t>
  </si>
  <si>
    <t>Light kids (twins in crop)</t>
  </si>
  <si>
    <t>weight, lbs./head</t>
  </si>
  <si>
    <t xml:space="preserve">  Price check</t>
  </si>
  <si>
    <t>annual % rate</t>
  </si>
  <si>
    <t>$ per acre/year</t>
  </si>
  <si>
    <t>lbs as-fed</t>
  </si>
  <si>
    <t>doe unit</t>
  </si>
  <si>
    <r>
      <t xml:space="preserve">Wage rate </t>
    </r>
    <r>
      <rPr>
        <sz val="10"/>
        <color theme="1"/>
        <rFont val="Aptos"/>
        <family val="2"/>
        <scheme val="minor"/>
      </rPr>
      <t>(paid and unpaid labor)</t>
    </r>
  </si>
  <si>
    <t>Heavy kids</t>
  </si>
  <si>
    <t>Light kids</t>
  </si>
  <si>
    <t>Culled does</t>
  </si>
  <si>
    <t>Culled bucks</t>
  </si>
  <si>
    <t>Doe replacement</t>
  </si>
  <si>
    <t>Buck cost, breeding supplies</t>
  </si>
  <si>
    <t>Animal health</t>
  </si>
  <si>
    <t>Guard dog replacement and food</t>
  </si>
  <si>
    <t>Bedding and stock supplies</t>
  </si>
  <si>
    <t>Custom hire</t>
  </si>
  <si>
    <t>Machinery fuel, lube, repair</t>
  </si>
  <si>
    <t>Facility maintenance</t>
  </si>
  <si>
    <t>Operator and hired labor</t>
  </si>
  <si>
    <t>Business overhead (pro fees, utilities, misc.)</t>
  </si>
  <si>
    <t>Property taxes and insurance</t>
  </si>
  <si>
    <t>Economic depreciation, facility and equipment</t>
  </si>
  <si>
    <t>Interest on capital investment</t>
  </si>
  <si>
    <t>Table 1. Budgeted production rates</t>
  </si>
  <si>
    <t>Table 2. Enterprise feed and labor estimates</t>
  </si>
  <si>
    <t>Table 3. Enterprise land and capital investment estimates</t>
  </si>
  <si>
    <t>1.1 Feed items</t>
  </si>
  <si>
    <t>1.3 Farm fuel</t>
  </si>
  <si>
    <t>1.4 Interest rates</t>
  </si>
  <si>
    <t>Head/year</t>
  </si>
  <si>
    <t>all year</t>
  </si>
  <si>
    <t>Months of the year</t>
  </si>
  <si>
    <t>period</t>
  </si>
  <si>
    <t>Category</t>
  </si>
  <si>
    <t xml:space="preserve">Protein supplement </t>
  </si>
  <si>
    <t>Gold shading indicates calculated line-items traceable to the budget page.</t>
  </si>
  <si>
    <t>Make entries or edit shaded gray cells.Tab or click cells to navigate.</t>
  </si>
  <si>
    <t>Meat Goat Planning Budget</t>
  </si>
  <si>
    <t>Farm price</t>
  </si>
  <si>
    <t>Timber pasture</t>
  </si>
  <si>
    <t>Fair pasture</t>
  </si>
  <si>
    <t>Alfalfa mix hay</t>
  </si>
  <si>
    <t>Mixed hay</t>
  </si>
  <si>
    <t>Fescue hay</t>
  </si>
  <si>
    <t>Commercial mix (pellet)</t>
  </si>
  <si>
    <t>Subtotal</t>
  </si>
  <si>
    <t xml:space="preserve">Subtotal </t>
  </si>
  <si>
    <r>
      <t xml:space="preserve">Seasonal periods     </t>
    </r>
    <r>
      <rPr>
        <b/>
        <i/>
        <sz val="12"/>
        <color rgb="FFF1B82D"/>
        <rFont val="Aptos"/>
        <family val="2"/>
        <scheme val="minor"/>
      </rPr>
      <t>(Enter 'Days in group' first)</t>
    </r>
  </si>
  <si>
    <r>
      <t xml:space="preserve">                                                     Hay fed: Average daily lbs per head </t>
    </r>
    <r>
      <rPr>
        <b/>
        <sz val="12"/>
        <color theme="1"/>
        <rFont val="Aptos"/>
        <family val="2"/>
        <scheme val="minor"/>
      </rPr>
      <t>(hay days derived from grazing days)</t>
    </r>
  </si>
  <si>
    <r>
      <t xml:space="preserve">Days on pasture for each period   </t>
    </r>
    <r>
      <rPr>
        <b/>
        <i/>
        <sz val="12"/>
        <color rgb="FFF1B82D"/>
        <rFont val="Aptos"/>
        <family val="2"/>
        <scheme val="minor"/>
      </rPr>
      <t>(Enter 'days of grazing' second)</t>
    </r>
  </si>
  <si>
    <t>Enter</t>
  </si>
  <si>
    <t>Total $ per doe</t>
  </si>
  <si>
    <t>$ per year</t>
  </si>
  <si>
    <t>hrs per hd</t>
  </si>
  <si>
    <t>Hours</t>
  </si>
  <si>
    <t>1.2 Labor cost</t>
  </si>
  <si>
    <t>gal/hr or mi</t>
  </si>
  <si>
    <r>
      <t xml:space="preserve">value, </t>
    </r>
    <r>
      <rPr>
        <sz val="12"/>
        <rFont val="Aptos"/>
        <family val="2"/>
        <scheme val="minor"/>
      </rPr>
      <t>%</t>
    </r>
  </si>
  <si>
    <r>
      <t>price</t>
    </r>
    <r>
      <rPr>
        <sz val="12"/>
        <rFont val="Aptos"/>
        <family val="2"/>
        <scheme val="minor"/>
      </rPr>
      <t>, $</t>
    </r>
  </si>
  <si>
    <t>Use/year</t>
  </si>
  <si>
    <t>5.2. Bldg, mach, equip related costs for farm</t>
  </si>
  <si>
    <t>5.3. Bldg, mach, equip related costs for enterprise</t>
  </si>
  <si>
    <t>interest</t>
  </si>
  <si>
    <t>operating</t>
  </si>
  <si>
    <t>Pound</t>
  </si>
  <si>
    <t>Feed Cost Estimates</t>
  </si>
  <si>
    <t>B.  Whole enterprise per year</t>
  </si>
  <si>
    <t>A. Planned prevention per instance (dose)</t>
  </si>
  <si>
    <t>$ per dose</t>
  </si>
  <si>
    <t>Other Assumptions</t>
  </si>
  <si>
    <t>A. Buildings and facilities</t>
  </si>
  <si>
    <t>B. Machinery and equipment</t>
  </si>
  <si>
    <t xml:space="preserve">Facilities, Machinery and Equipment </t>
  </si>
  <si>
    <t>5.1. Facilities, machinery and equipment cost estimates</t>
  </si>
  <si>
    <t>capital</t>
  </si>
  <si>
    <t>total</t>
  </si>
  <si>
    <t>* TIH refers to taxes, insurance and housing</t>
  </si>
  <si>
    <t>dollar</t>
  </si>
  <si>
    <t>Parameter</t>
  </si>
  <si>
    <t>Return category</t>
  </si>
  <si>
    <t>Income over operating costs</t>
  </si>
  <si>
    <t>Income over total costs</t>
  </si>
  <si>
    <t>Items</t>
  </si>
  <si>
    <t>Cost Assumptions</t>
  </si>
  <si>
    <t>Late in March-April, sell kids in January.</t>
  </si>
  <si>
    <t>Updated: 10/2025</t>
  </si>
  <si>
    <t>Kiddings per doe per year</t>
  </si>
  <si>
    <t>($ per unit)</t>
  </si>
  <si>
    <t>Machinery, equipment and pickup</t>
  </si>
  <si>
    <t>Total cash-based costs</t>
  </si>
  <si>
    <t>Income over cash-based costs</t>
  </si>
  <si>
    <t>Kid price needed to cover operating costs, all else equal, $ per lb</t>
  </si>
  <si>
    <t>Kid price needed to cover total costs, all else equal, $ per lb</t>
  </si>
  <si>
    <t>For more information:</t>
  </si>
  <si>
    <t>MU Extension publication G691, Meat Goat Planning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</si>
</sst>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0.0"/>
    <numFmt numFmtId="167" formatCode="0.000"/>
    <numFmt numFmtId="168" formatCode="&quot;$&quot;#,##0"/>
    <numFmt numFmtId="169" formatCode="[$$-409]#,##0.00;[Red]\-[$$-409]#,##0.00"/>
    <numFmt numFmtId="170" formatCode=";;;"/>
    <numFmt numFmtId="171" formatCode="0.00;[Red]\-0.00"/>
    <numFmt numFmtId="172" formatCode="&quot;$&quot;#,##0.000"/>
    <numFmt numFmtId="173" formatCode="#,##0.0"/>
    <numFmt numFmtId="174" formatCode="[$$-409]#,##0.00_);[Red]\([$$-409]#,##0.00\)"/>
    <numFmt numFmtId="175" formatCode="&quot;$&quot;#,##0.00000000000"/>
    <numFmt numFmtId="176" formatCode="m/d;@"/>
    <numFmt numFmtId="177" formatCode="[$$-409]#,##0;[Red]\-[$$-409]#,##0"/>
  </numFmts>
  <fonts count="32" x14ac:knownFonts="1">
    <font>
      <sz val="11"/>
      <color theme="1"/>
      <name val="Aptos"/>
      <family val="2"/>
      <scheme val="minor"/>
    </font>
    <font>
      <sz val="11"/>
      <color theme="1"/>
      <name val="Aptos Black"/>
      <family val="2"/>
      <scheme val="major"/>
    </font>
    <font>
      <sz val="10"/>
      <color theme="1"/>
      <name val="Aptos Black"/>
      <family val="2"/>
      <scheme val="major"/>
    </font>
    <font>
      <sz val="11"/>
      <name val="Aptos Black"/>
      <family val="2"/>
      <scheme val="major"/>
    </font>
    <font>
      <sz val="11"/>
      <color rgb="FFFF0000"/>
      <name val="Aptos Black"/>
      <family val="2"/>
      <scheme val="major"/>
    </font>
    <font>
      <sz val="11"/>
      <color theme="4"/>
      <name val="Aptos Black"/>
      <family val="2"/>
      <scheme val="major"/>
    </font>
    <font>
      <b/>
      <sz val="11"/>
      <color theme="7" tint="0.39997558519241921"/>
      <name val="Aptos"/>
      <family val="2"/>
      <scheme val="minor"/>
    </font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6"/>
      <color rgb="FFF1B82D"/>
      <name val="Aptos Black"/>
      <family val="2"/>
      <scheme val="major"/>
    </font>
    <font>
      <b/>
      <sz val="12"/>
      <color rgb="FF3F3F3F"/>
      <name val="Aptos"/>
      <family val="2"/>
      <scheme val="minor"/>
    </font>
    <font>
      <sz val="12"/>
      <name val="Aptos"/>
      <family val="2"/>
      <scheme val="minor"/>
    </font>
    <font>
      <b/>
      <sz val="12"/>
      <name val="Aptos"/>
      <family val="2"/>
      <scheme val="minor"/>
    </font>
    <font>
      <sz val="10"/>
      <name val="Aptos"/>
      <family val="2"/>
      <scheme val="minor"/>
    </font>
    <font>
      <sz val="10"/>
      <color theme="1"/>
      <name val="Aptos"/>
      <family val="2"/>
      <scheme val="minor"/>
    </font>
    <font>
      <sz val="12"/>
      <color theme="4"/>
      <name val="Aptos"/>
      <family val="2"/>
      <scheme val="minor"/>
    </font>
    <font>
      <sz val="11"/>
      <color theme="0"/>
      <name val="Aptos Black"/>
      <family val="2"/>
      <scheme val="major"/>
    </font>
    <font>
      <i/>
      <sz val="12"/>
      <color theme="1"/>
      <name val="Aptos"/>
      <family val="2"/>
      <scheme val="minor"/>
    </font>
    <font>
      <sz val="12"/>
      <color indexed="8"/>
      <name val="Aptos"/>
      <family val="2"/>
      <scheme val="minor"/>
    </font>
    <font>
      <sz val="10"/>
      <color indexed="81"/>
      <name val="Aptos"/>
      <family val="2"/>
      <scheme val="minor"/>
    </font>
    <font>
      <sz val="12"/>
      <color rgb="FFC00000"/>
      <name val="Aptos"/>
      <family val="2"/>
      <scheme val="minor"/>
    </font>
    <font>
      <sz val="12"/>
      <name val="Aptos Black"/>
      <family val="2"/>
      <scheme val="major"/>
    </font>
    <font>
      <sz val="9"/>
      <color indexed="81"/>
      <name val="Tahoma"/>
      <family val="2"/>
    </font>
    <font>
      <i/>
      <sz val="10"/>
      <color theme="1"/>
      <name val="Aptos"/>
      <family val="2"/>
      <scheme val="minor"/>
    </font>
    <font>
      <b/>
      <sz val="12"/>
      <color rgb="FFF1B82D"/>
      <name val="Aptos"/>
      <family val="2"/>
      <scheme val="minor"/>
    </font>
    <font>
      <b/>
      <i/>
      <sz val="12"/>
      <color rgb="FFF1B82D"/>
      <name val="Aptos"/>
      <family val="2"/>
      <scheme val="minor"/>
    </font>
    <font>
      <i/>
      <sz val="12"/>
      <name val="Aptos"/>
      <family val="2"/>
      <scheme val="minor"/>
    </font>
    <font>
      <b/>
      <i/>
      <sz val="12"/>
      <name val="Aptos"/>
      <family val="2"/>
      <scheme val="minor"/>
    </font>
    <font>
      <sz val="11"/>
      <name val="Aptos"/>
      <family val="2"/>
      <scheme val="minor"/>
    </font>
    <font>
      <u/>
      <sz val="11"/>
      <color theme="10"/>
      <name val="Apto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7" borderId="13" applyNumberFormat="0" applyAlignment="0" applyProtection="0"/>
    <xf numFmtId="0" fontId="7" fillId="0" borderId="0"/>
    <xf numFmtId="0" fontId="31" fillId="0" borderId="0" applyNumberFormat="0" applyFill="0" applyBorder="0" applyAlignment="0" applyProtection="0"/>
  </cellStyleXfs>
  <cellXfs count="3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applyFont="1" applyBorder="1"/>
    <xf numFmtId="1" fontId="1" fillId="0" borderId="0" xfId="0" applyNumberFormat="1" applyFont="1"/>
    <xf numFmtId="0" fontId="3" fillId="0" borderId="0" xfId="0" applyFont="1"/>
    <xf numFmtId="166" fontId="1" fillId="0" borderId="0" xfId="0" applyNumberFormat="1" applyFont="1"/>
    <xf numFmtId="0" fontId="4" fillId="0" borderId="0" xfId="0" applyFont="1"/>
    <xf numFmtId="1" fontId="5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/>
    <xf numFmtId="2" fontId="3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44" fontId="1" fillId="0" borderId="0" xfId="2" applyFont="1"/>
    <xf numFmtId="44" fontId="1" fillId="0" borderId="0" xfId="0" applyNumberFormat="1" applyFont="1"/>
    <xf numFmtId="43" fontId="1" fillId="0" borderId="0" xfId="1" applyFont="1"/>
    <xf numFmtId="165" fontId="1" fillId="0" borderId="0" xfId="3" applyNumberFormat="1" applyFont="1" applyProtection="1"/>
    <xf numFmtId="10" fontId="1" fillId="0" borderId="0" xfId="3" applyNumberFormat="1" applyFont="1" applyProtection="1"/>
    <xf numFmtId="165" fontId="1" fillId="0" borderId="0" xfId="0" applyNumberFormat="1" applyFont="1"/>
    <xf numFmtId="43" fontId="1" fillId="0" borderId="0" xfId="1" applyFont="1" applyProtection="1"/>
    <xf numFmtId="175" fontId="1" fillId="0" borderId="0" xfId="0" applyNumberFormat="1" applyFont="1"/>
    <xf numFmtId="168" fontId="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indent="1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5" applyFont="1" applyAlignment="1">
      <alignment horizontal="center"/>
    </xf>
    <xf numFmtId="0" fontId="0" fillId="2" borderId="0" xfId="0" applyFill="1"/>
    <xf numFmtId="0" fontId="11" fillId="2" borderId="0" xfId="5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indent="4"/>
    </xf>
    <xf numFmtId="176" fontId="8" fillId="2" borderId="0" xfId="0" applyNumberFormat="1" applyFont="1" applyFill="1" applyAlignment="1">
      <alignment horizontal="righ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7" fillId="0" borderId="0" xfId="0" applyFont="1"/>
    <xf numFmtId="0" fontId="8" fillId="0" borderId="1" xfId="0" applyFont="1" applyBorder="1" applyAlignment="1">
      <alignment horizontal="left" indent="1"/>
    </xf>
    <xf numFmtId="0" fontId="13" fillId="0" borderId="0" xfId="0" applyFont="1"/>
    <xf numFmtId="1" fontId="13" fillId="0" borderId="0" xfId="0" applyNumberFormat="1" applyFont="1"/>
    <xf numFmtId="0" fontId="9" fillId="2" borderId="2" xfId="0" applyFont="1" applyFill="1" applyBorder="1" applyAlignment="1">
      <alignment horizontal="left"/>
    </xf>
    <xf numFmtId="164" fontId="8" fillId="0" borderId="0" xfId="0" applyNumberFormat="1" applyFont="1"/>
    <xf numFmtId="165" fontId="8" fillId="0" borderId="0" xfId="0" applyNumberFormat="1" applyFont="1" applyAlignment="1">
      <alignment horizontal="right"/>
    </xf>
    <xf numFmtId="164" fontId="8" fillId="4" borderId="0" xfId="0" applyNumberFormat="1" applyFont="1" applyFill="1"/>
    <xf numFmtId="0" fontId="8" fillId="0" borderId="1" xfId="0" applyFont="1" applyBorder="1"/>
    <xf numFmtId="164" fontId="8" fillId="0" borderId="1" xfId="0" applyNumberFormat="1" applyFont="1" applyBorder="1"/>
    <xf numFmtId="2" fontId="8" fillId="0" borderId="0" xfId="0" applyNumberFormat="1" applyFont="1" applyAlignment="1">
      <alignment horizontal="left" indent="1"/>
    </xf>
    <xf numFmtId="2" fontId="8" fillId="0" borderId="1" xfId="0" applyNumberFormat="1" applyFont="1" applyBorder="1" applyAlignment="1">
      <alignment horizontal="left" indent="1"/>
    </xf>
    <xf numFmtId="164" fontId="8" fillId="4" borderId="1" xfId="0" applyNumberFormat="1" applyFont="1" applyFill="1" applyBorder="1" applyAlignment="1">
      <alignment horizontal="right"/>
    </xf>
    <xf numFmtId="164" fontId="13" fillId="0" borderId="0" xfId="0" applyNumberFormat="1" applyFont="1"/>
    <xf numFmtId="164" fontId="13" fillId="0" borderId="1" xfId="0" applyNumberFormat="1" applyFont="1" applyBorder="1"/>
    <xf numFmtId="9" fontId="18" fillId="0" borderId="0" xfId="3" applyFont="1" applyProtection="1"/>
    <xf numFmtId="0" fontId="8" fillId="0" borderId="1" xfId="0" applyFont="1" applyBorder="1" applyAlignment="1">
      <alignment horizontal="right" indent="1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14" fillId="2" borderId="1" xfId="0" quotePrefix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13" fillId="0" borderId="0" xfId="0" applyFont="1" applyAlignment="1">
      <alignment horizontal="left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166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indent="2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 indent="1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6" fontId="17" fillId="0" borderId="1" xfId="0" applyNumberFormat="1" applyFont="1" applyBorder="1"/>
    <xf numFmtId="164" fontId="8" fillId="4" borderId="1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9" fontId="8" fillId="5" borderId="0" xfId="0" applyNumberFormat="1" applyFont="1" applyFill="1" applyAlignment="1" applyProtection="1">
      <alignment horizontal="center"/>
      <protection locked="0"/>
    </xf>
    <xf numFmtId="9" fontId="8" fillId="5" borderId="1" xfId="0" applyNumberFormat="1" applyFont="1" applyFill="1" applyBorder="1" applyAlignment="1" applyProtection="1">
      <alignment horizontal="center"/>
      <protection locked="0"/>
    </xf>
    <xf numFmtId="2" fontId="13" fillId="5" borderId="0" xfId="0" applyNumberFormat="1" applyFont="1" applyFill="1" applyProtection="1">
      <protection locked="0"/>
    </xf>
    <xf numFmtId="0" fontId="9" fillId="0" borderId="2" xfId="0" applyFont="1" applyBorder="1" applyAlignment="1">
      <alignment horizontal="left"/>
    </xf>
    <xf numFmtId="1" fontId="13" fillId="5" borderId="0" xfId="0" applyNumberFormat="1" applyFont="1" applyFill="1" applyProtection="1">
      <protection locked="0"/>
    </xf>
    <xf numFmtId="0" fontId="8" fillId="5" borderId="0" xfId="0" applyFont="1" applyFill="1" applyProtection="1">
      <protection locked="0"/>
    </xf>
    <xf numFmtId="165" fontId="13" fillId="5" borderId="0" xfId="0" applyNumberFormat="1" applyFont="1" applyFill="1" applyProtection="1">
      <protection locked="0"/>
    </xf>
    <xf numFmtId="166" fontId="13" fillId="5" borderId="0" xfId="0" applyNumberFormat="1" applyFont="1" applyFill="1" applyProtection="1">
      <protection locked="0"/>
    </xf>
    <xf numFmtId="9" fontId="13" fillId="0" borderId="0" xfId="0" applyNumberFormat="1" applyFont="1"/>
    <xf numFmtId="166" fontId="17" fillId="0" borderId="0" xfId="0" applyNumberFormat="1" applyFont="1"/>
    <xf numFmtId="1" fontId="13" fillId="5" borderId="1" xfId="0" applyNumberFormat="1" applyFont="1" applyFill="1" applyBorder="1" applyProtection="1">
      <protection locked="0"/>
    </xf>
    <xf numFmtId="164" fontId="13" fillId="4" borderId="0" xfId="0" applyNumberFormat="1" applyFont="1" applyFill="1" applyAlignment="1">
      <alignment horizontal="right"/>
    </xf>
    <xf numFmtId="168" fontId="13" fillId="5" borderId="0" xfId="0" applyNumberFormat="1" applyFont="1" applyFill="1" applyProtection="1">
      <protection locked="0"/>
    </xf>
    <xf numFmtId="0" fontId="8" fillId="5" borderId="1" xfId="0" applyFont="1" applyFill="1" applyBorder="1" applyProtection="1">
      <protection locked="0"/>
    </xf>
    <xf numFmtId="168" fontId="13" fillId="5" borderId="1" xfId="0" applyNumberFormat="1" applyFont="1" applyFill="1" applyBorder="1" applyProtection="1">
      <protection locked="0"/>
    </xf>
    <xf numFmtId="0" fontId="13" fillId="5" borderId="0" xfId="0" applyFont="1" applyFill="1" applyAlignment="1" applyProtection="1">
      <alignment horizontal="right"/>
      <protection locked="0"/>
    </xf>
    <xf numFmtId="164" fontId="13" fillId="5" borderId="0" xfId="0" applyNumberFormat="1" applyFont="1" applyFill="1" applyAlignment="1" applyProtection="1">
      <alignment horizontal="right"/>
      <protection locked="0"/>
    </xf>
    <xf numFmtId="0" fontId="13" fillId="5" borderId="1" xfId="0" applyFont="1" applyFill="1" applyBorder="1" applyAlignment="1" applyProtection="1">
      <alignment horizontal="right"/>
      <protection locked="0"/>
    </xf>
    <xf numFmtId="164" fontId="13" fillId="5" borderId="1" xfId="0" applyNumberFormat="1" applyFont="1" applyFill="1" applyBorder="1" applyAlignment="1" applyProtection="1">
      <alignment horizontal="right"/>
      <protection locked="0"/>
    </xf>
    <xf numFmtId="0" fontId="8" fillId="5" borderId="0" xfId="0" applyFont="1" applyFill="1" applyAlignment="1" applyProtection="1">
      <alignment horizontal="right"/>
      <protection locked="0"/>
    </xf>
    <xf numFmtId="2" fontId="8" fillId="5" borderId="0" xfId="0" applyNumberFormat="1" applyFont="1" applyFill="1" applyAlignment="1" applyProtection="1">
      <alignment horizontal="right"/>
      <protection locked="0"/>
    </xf>
    <xf numFmtId="0" fontId="8" fillId="5" borderId="1" xfId="0" applyFont="1" applyFill="1" applyBorder="1" applyAlignment="1" applyProtection="1">
      <alignment horizontal="right"/>
      <protection locked="0"/>
    </xf>
    <xf numFmtId="2" fontId="8" fillId="5" borderId="1" xfId="0" applyNumberFormat="1" applyFont="1" applyFill="1" applyBorder="1" applyAlignment="1" applyProtection="1">
      <alignment horizontal="right"/>
      <protection locked="0"/>
    </xf>
    <xf numFmtId="3" fontId="13" fillId="5" borderId="0" xfId="0" applyNumberFormat="1" applyFont="1" applyFill="1" applyProtection="1">
      <protection locked="0"/>
    </xf>
    <xf numFmtId="0" fontId="13" fillId="5" borderId="0" xfId="0" applyFont="1" applyFill="1" applyProtection="1">
      <protection locked="0"/>
    </xf>
    <xf numFmtId="167" fontId="13" fillId="5" borderId="0" xfId="1" applyNumberFormat="1" applyFont="1" applyFill="1" applyBorder="1" applyProtection="1">
      <protection locked="0"/>
    </xf>
    <xf numFmtId="167" fontId="13" fillId="5" borderId="0" xfId="0" applyNumberFormat="1" applyFont="1" applyFill="1" applyProtection="1">
      <protection locked="0"/>
    </xf>
    <xf numFmtId="3" fontId="13" fillId="5" borderId="0" xfId="0" applyNumberFormat="1" applyFont="1" applyFill="1" applyAlignment="1" applyProtection="1">
      <alignment horizontal="left"/>
      <protection locked="0"/>
    </xf>
    <xf numFmtId="2" fontId="13" fillId="5" borderId="1" xfId="0" applyNumberFormat="1" applyFont="1" applyFill="1" applyBorder="1" applyProtection="1">
      <protection locked="0"/>
    </xf>
    <xf numFmtId="3" fontId="13" fillId="5" borderId="1" xfId="0" applyNumberFormat="1" applyFont="1" applyFill="1" applyBorder="1" applyAlignment="1" applyProtection="1">
      <alignment horizontal="left"/>
      <protection locked="0"/>
    </xf>
    <xf numFmtId="0" fontId="13" fillId="5" borderId="1" xfId="0" applyFont="1" applyFill="1" applyBorder="1" applyProtection="1">
      <protection locked="0"/>
    </xf>
    <xf numFmtId="167" fontId="13" fillId="5" borderId="1" xfId="0" applyNumberFormat="1" applyFont="1" applyFill="1" applyBorder="1" applyProtection="1">
      <protection locked="0"/>
    </xf>
    <xf numFmtId="0" fontId="13" fillId="2" borderId="3" xfId="0" applyFont="1" applyFill="1" applyBorder="1" applyAlignment="1">
      <alignment horizontal="right"/>
    </xf>
    <xf numFmtId="168" fontId="13" fillId="0" borderId="0" xfId="1" applyNumberFormat="1" applyFont="1" applyProtection="1"/>
    <xf numFmtId="168" fontId="13" fillId="0" borderId="0" xfId="1" applyNumberFormat="1" applyFont="1" applyFill="1" applyProtection="1"/>
    <xf numFmtId="168" fontId="13" fillId="0" borderId="1" xfId="1" applyNumberFormat="1" applyFont="1" applyFill="1" applyBorder="1" applyProtection="1"/>
    <xf numFmtId="168" fontId="13" fillId="0" borderId="1" xfId="1" applyNumberFormat="1" applyFont="1" applyBorder="1" applyProtection="1"/>
    <xf numFmtId="0" fontId="8" fillId="6" borderId="0" xfId="0" applyFont="1" applyFill="1"/>
    <xf numFmtId="0" fontId="11" fillId="0" borderId="0" xfId="5" applyFont="1" applyAlignment="1">
      <alignment horizontal="left"/>
    </xf>
    <xf numFmtId="164" fontId="8" fillId="5" borderId="0" xfId="0" applyNumberFormat="1" applyFont="1" applyFill="1" applyAlignment="1" applyProtection="1">
      <alignment horizontal="right"/>
      <protection locked="0"/>
    </xf>
    <xf numFmtId="164" fontId="8" fillId="5" borderId="1" xfId="0" applyNumberFormat="1" applyFont="1" applyFill="1" applyBorder="1" applyAlignment="1" applyProtection="1">
      <alignment horizontal="right"/>
      <protection locked="0"/>
    </xf>
    <xf numFmtId="164" fontId="8" fillId="3" borderId="0" xfId="0" applyNumberFormat="1" applyFont="1" applyFill="1" applyProtection="1">
      <protection locked="0"/>
    </xf>
    <xf numFmtId="165" fontId="8" fillId="3" borderId="0" xfId="3" applyNumberFormat="1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11" fillId="0" borderId="2" xfId="5" applyFont="1" applyBorder="1" applyAlignment="1">
      <alignment horizontal="left"/>
    </xf>
    <xf numFmtId="0" fontId="11" fillId="0" borderId="3" xfId="5" applyFont="1" applyBorder="1" applyAlignment="1">
      <alignment horizontal="left"/>
    </xf>
    <xf numFmtId="0" fontId="8" fillId="2" borderId="2" xfId="0" applyFont="1" applyFill="1" applyBorder="1"/>
    <xf numFmtId="0" fontId="8" fillId="0" borderId="3" xfId="0" applyFont="1" applyBorder="1"/>
    <xf numFmtId="0" fontId="8" fillId="0" borderId="0" xfId="0" applyFont="1" applyAlignment="1">
      <alignment horizontal="right" indent="2"/>
    </xf>
    <xf numFmtId="0" fontId="13" fillId="2" borderId="3" xfId="0" applyFont="1" applyFill="1" applyBorder="1" applyAlignment="1">
      <alignment horizontal="left"/>
    </xf>
    <xf numFmtId="1" fontId="3" fillId="2" borderId="0" xfId="0" applyNumberFormat="1" applyFont="1" applyFill="1"/>
    <xf numFmtId="9" fontId="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4" fillId="2" borderId="2" xfId="0" applyFont="1" applyFill="1" applyBorder="1"/>
    <xf numFmtId="0" fontId="14" fillId="2" borderId="2" xfId="0" applyFont="1" applyFill="1" applyBorder="1" applyAlignment="1">
      <alignment horizontal="center"/>
    </xf>
    <xf numFmtId="169" fontId="14" fillId="2" borderId="2" xfId="0" applyNumberFormat="1" applyFont="1" applyFill="1" applyBorder="1" applyAlignment="1">
      <alignment horizontal="right"/>
    </xf>
    <xf numFmtId="169" fontId="14" fillId="2" borderId="0" xfId="0" applyNumberFormat="1" applyFont="1" applyFill="1" applyAlignment="1">
      <alignment horizontal="right"/>
    </xf>
    <xf numFmtId="0" fontId="8" fillId="2" borderId="11" xfId="0" applyFont="1" applyFill="1" applyBorder="1"/>
    <xf numFmtId="170" fontId="13" fillId="2" borderId="0" xfId="0" applyNumberFormat="1" applyFont="1" applyFill="1"/>
    <xf numFmtId="0" fontId="13" fillId="2" borderId="0" xfId="0" applyFont="1" applyFill="1"/>
    <xf numFmtId="2" fontId="13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right"/>
    </xf>
    <xf numFmtId="177" fontId="13" fillId="2" borderId="0" xfId="0" applyNumberFormat="1" applyFont="1" applyFill="1"/>
    <xf numFmtId="40" fontId="13" fillId="2" borderId="0" xfId="0" applyNumberFormat="1" applyFont="1" applyFill="1"/>
    <xf numFmtId="0" fontId="8" fillId="2" borderId="4" xfId="0" applyFont="1" applyFill="1" applyBorder="1"/>
    <xf numFmtId="1" fontId="8" fillId="2" borderId="4" xfId="0" applyNumberFormat="1" applyFont="1" applyFill="1" applyBorder="1"/>
    <xf numFmtId="164" fontId="1" fillId="2" borderId="0" xfId="0" applyNumberFormat="1" applyFont="1" applyFill="1"/>
    <xf numFmtId="9" fontId="8" fillId="2" borderId="4" xfId="0" applyNumberFormat="1" applyFont="1" applyFill="1" applyBorder="1"/>
    <xf numFmtId="177" fontId="13" fillId="2" borderId="1" xfId="0" applyNumberFormat="1" applyFont="1" applyFill="1" applyBorder="1"/>
    <xf numFmtId="0" fontId="8" fillId="2" borderId="8" xfId="0" applyFont="1" applyFill="1" applyBorder="1"/>
    <xf numFmtId="9" fontId="8" fillId="2" borderId="8" xfId="0" applyNumberFormat="1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4" fontId="14" fillId="2" borderId="0" xfId="0" applyNumberFormat="1" applyFont="1" applyFill="1" applyAlignment="1">
      <alignment horizontal="right"/>
    </xf>
    <xf numFmtId="169" fontId="14" fillId="2" borderId="0" xfId="0" applyNumberFormat="1" applyFont="1" applyFill="1"/>
    <xf numFmtId="177" fontId="14" fillId="2" borderId="0" xfId="0" applyNumberFormat="1" applyFont="1" applyFill="1"/>
    <xf numFmtId="4" fontId="13" fillId="2" borderId="0" xfId="0" applyNumberFormat="1" applyFont="1" applyFill="1" applyAlignment="1">
      <alignment horizontal="right"/>
    </xf>
    <xf numFmtId="169" fontId="13" fillId="2" borderId="0" xfId="0" applyNumberFormat="1" applyFont="1" applyFill="1"/>
    <xf numFmtId="174" fontId="1" fillId="2" borderId="0" xfId="0" applyNumberFormat="1" applyFont="1" applyFill="1"/>
    <xf numFmtId="0" fontId="13" fillId="2" borderId="2" xfId="0" applyFont="1" applyFill="1" applyBorder="1"/>
    <xf numFmtId="169" fontId="13" fillId="2" borderId="0" xfId="0" applyNumberFormat="1" applyFont="1" applyFill="1" applyAlignment="1">
      <alignment horizontal="right"/>
    </xf>
    <xf numFmtId="9" fontId="8" fillId="2" borderId="5" xfId="0" applyNumberFormat="1" applyFont="1" applyFill="1" applyBorder="1"/>
    <xf numFmtId="2" fontId="13" fillId="2" borderId="0" xfId="0" applyNumberFormat="1" applyFont="1" applyFill="1"/>
    <xf numFmtId="0" fontId="13" fillId="2" borderId="0" xfId="0" quotePrefix="1" applyFont="1" applyFill="1" applyAlignment="1">
      <alignment horizontal="right"/>
    </xf>
    <xf numFmtId="164" fontId="13" fillId="2" borderId="0" xfId="0" applyNumberFormat="1" applyFont="1" applyFill="1"/>
    <xf numFmtId="0" fontId="1" fillId="2" borderId="3" xfId="0" applyFont="1" applyFill="1" applyBorder="1"/>
    <xf numFmtId="165" fontId="1" fillId="2" borderId="0" xfId="0" applyNumberFormat="1" applyFont="1" applyFill="1"/>
    <xf numFmtId="0" fontId="8" fillId="2" borderId="0" xfId="0" quotePrefix="1" applyFont="1" applyFill="1" applyAlignment="1">
      <alignment horizontal="right"/>
    </xf>
    <xf numFmtId="2" fontId="8" fillId="2" borderId="0" xfId="0" applyNumberFormat="1" applyFont="1" applyFill="1"/>
    <xf numFmtId="1" fontId="15" fillId="2" borderId="0" xfId="0" applyNumberFormat="1" applyFont="1" applyFill="1" applyAlignment="1">
      <alignment horizontal="center"/>
    </xf>
    <xf numFmtId="0" fontId="8" fillId="2" borderId="1" xfId="0" applyFont="1" applyFill="1" applyBorder="1"/>
    <xf numFmtId="1" fontId="8" fillId="2" borderId="0" xfId="0" applyNumberFormat="1" applyFont="1" applyFill="1"/>
    <xf numFmtId="172" fontId="13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1" fontId="13" fillId="2" borderId="0" xfId="0" applyNumberFormat="1" applyFont="1" applyFill="1"/>
    <xf numFmtId="166" fontId="13" fillId="2" borderId="0" xfId="0" applyNumberFormat="1" applyFont="1" applyFill="1"/>
    <xf numFmtId="0" fontId="8" fillId="2" borderId="1" xfId="0" applyFont="1" applyFill="1" applyBorder="1" applyAlignment="1">
      <alignment horizontal="right"/>
    </xf>
    <xf numFmtId="0" fontId="16" fillId="2" borderId="11" xfId="0" applyFont="1" applyFill="1" applyBorder="1" applyAlignment="1">
      <alignment horizontal="right"/>
    </xf>
    <xf numFmtId="2" fontId="8" fillId="2" borderId="11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0" fontId="16" fillId="2" borderId="8" xfId="0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5" fontId="13" fillId="0" borderId="0" xfId="0" applyNumberFormat="1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5" xfId="0" applyFont="1" applyFill="1" applyBorder="1"/>
    <xf numFmtId="0" fontId="16" fillId="2" borderId="5" xfId="0" applyFont="1" applyFill="1" applyBorder="1" applyAlignment="1">
      <alignment horizontal="right"/>
    </xf>
    <xf numFmtId="2" fontId="8" fillId="2" borderId="5" xfId="0" applyNumberFormat="1" applyFont="1" applyFill="1" applyBorder="1"/>
    <xf numFmtId="164" fontId="8" fillId="2" borderId="5" xfId="0" applyNumberFormat="1" applyFont="1" applyFill="1" applyBorder="1"/>
    <xf numFmtId="164" fontId="13" fillId="0" borderId="0" xfId="0" applyNumberFormat="1" applyFont="1" applyAlignment="1">
      <alignment horizontal="right"/>
    </xf>
    <xf numFmtId="165" fontId="13" fillId="2" borderId="0" xfId="0" applyNumberFormat="1" applyFont="1" applyFill="1" applyAlignment="1">
      <alignment horizontal="right"/>
    </xf>
    <xf numFmtId="164" fontId="13" fillId="2" borderId="1" xfId="0" applyNumberFormat="1" applyFont="1" applyFill="1" applyBorder="1"/>
    <xf numFmtId="0" fontId="13" fillId="2" borderId="0" xfId="0" applyFont="1" applyFill="1" applyAlignment="1">
      <alignment horizontal="right"/>
    </xf>
    <xf numFmtId="0" fontId="13" fillId="2" borderId="1" xfId="0" applyFont="1" applyFill="1" applyBorder="1"/>
    <xf numFmtId="171" fontId="14" fillId="2" borderId="0" xfId="0" applyNumberFormat="1" applyFont="1" applyFill="1"/>
    <xf numFmtId="0" fontId="13" fillId="2" borderId="8" xfId="0" applyFont="1" applyFill="1" applyBorder="1"/>
    <xf numFmtId="1" fontId="13" fillId="2" borderId="4" xfId="0" applyNumberFormat="1" applyFont="1" applyFill="1" applyBorder="1"/>
    <xf numFmtId="168" fontId="13" fillId="2" borderId="4" xfId="0" applyNumberFormat="1" applyFont="1" applyFill="1" applyBorder="1"/>
    <xf numFmtId="168" fontId="13" fillId="2" borderId="8" xfId="0" applyNumberFormat="1" applyFont="1" applyFill="1" applyBorder="1"/>
    <xf numFmtId="0" fontId="13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 indent="1"/>
    </xf>
    <xf numFmtId="168" fontId="13" fillId="2" borderId="12" xfId="0" applyNumberFormat="1" applyFont="1" applyFill="1" applyBorder="1"/>
    <xf numFmtId="168" fontId="13" fillId="2" borderId="5" xfId="0" applyNumberFormat="1" applyFont="1" applyFill="1" applyBorder="1"/>
    <xf numFmtId="0" fontId="16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right"/>
    </xf>
    <xf numFmtId="8" fontId="13" fillId="2" borderId="1" xfId="0" applyNumberFormat="1" applyFont="1" applyFill="1" applyBorder="1"/>
    <xf numFmtId="38" fontId="13" fillId="2" borderId="0" xfId="0" applyNumberFormat="1" applyFont="1" applyFill="1" applyAlignment="1">
      <alignment horizontal="right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3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right"/>
    </xf>
    <xf numFmtId="174" fontId="13" fillId="2" borderId="3" xfId="0" applyNumberFormat="1" applyFont="1" applyFill="1" applyBorder="1"/>
    <xf numFmtId="0" fontId="2" fillId="2" borderId="0" xfId="0" applyFont="1" applyFill="1" applyAlignment="1">
      <alignment vertical="top"/>
    </xf>
    <xf numFmtId="49" fontId="1" fillId="0" borderId="0" xfId="0" applyNumberFormat="1" applyFont="1"/>
    <xf numFmtId="0" fontId="8" fillId="2" borderId="1" xfId="0" applyFont="1" applyFill="1" applyBorder="1" applyAlignment="1">
      <alignment horizontal="left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0" fontId="8" fillId="0" borderId="0" xfId="0" applyNumberFormat="1" applyFont="1"/>
    <xf numFmtId="0" fontId="19" fillId="0" borderId="0" xfId="0" applyFont="1" applyAlignment="1">
      <alignment horizontal="left" indent="1"/>
    </xf>
    <xf numFmtId="0" fontId="1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8" fontId="13" fillId="0" borderId="0" xfId="0" applyNumberFormat="1" applyFont="1"/>
    <xf numFmtId="0" fontId="13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8" fontId="13" fillId="0" borderId="1" xfId="0" applyNumberFormat="1" applyFont="1" applyBorder="1"/>
    <xf numFmtId="0" fontId="13" fillId="0" borderId="1" xfId="0" applyFont="1" applyBorder="1" applyAlignment="1">
      <alignment horizontal="left" indent="1"/>
    </xf>
    <xf numFmtId="0" fontId="9" fillId="0" borderId="2" xfId="0" applyFont="1" applyBorder="1" applyAlignment="1">
      <alignment horizontal="center"/>
    </xf>
    <xf numFmtId="0" fontId="9" fillId="0" borderId="0" xfId="0" applyFont="1"/>
    <xf numFmtId="1" fontId="8" fillId="0" borderId="0" xfId="0" applyNumberFormat="1" applyFont="1"/>
    <xf numFmtId="2" fontId="8" fillId="0" borderId="0" xfId="0" applyNumberFormat="1" applyFont="1"/>
    <xf numFmtId="1" fontId="8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left" indent="1"/>
    </xf>
    <xf numFmtId="0" fontId="16" fillId="0" borderId="3" xfId="0" applyFont="1" applyBorder="1" applyAlignment="1">
      <alignment horizontal="left"/>
    </xf>
    <xf numFmtId="0" fontId="13" fillId="0" borderId="1" xfId="0" applyFont="1" applyBorder="1"/>
    <xf numFmtId="0" fontId="15" fillId="0" borderId="1" xfId="0" applyFont="1" applyBorder="1" applyAlignment="1">
      <alignment horizontal="left"/>
    </xf>
    <xf numFmtId="0" fontId="20" fillId="0" borderId="1" xfId="0" applyFont="1" applyBorder="1"/>
    <xf numFmtId="2" fontId="13" fillId="2" borderId="11" xfId="0" applyNumberFormat="1" applyFont="1" applyFill="1" applyBorder="1" applyAlignment="1">
      <alignment horizontal="right"/>
    </xf>
    <xf numFmtId="2" fontId="13" fillId="2" borderId="8" xfId="0" applyNumberFormat="1" applyFont="1" applyFill="1" applyBorder="1" applyAlignment="1">
      <alignment horizontal="right"/>
    </xf>
    <xf numFmtId="2" fontId="8" fillId="2" borderId="8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3" fillId="2" borderId="0" xfId="0" applyFont="1" applyFill="1" applyAlignment="1">
      <alignment horizontal="left" indent="1"/>
    </xf>
    <xf numFmtId="1" fontId="8" fillId="0" borderId="0" xfId="0" applyNumberFormat="1" applyFont="1" applyAlignment="1">
      <alignment horizontal="right"/>
    </xf>
    <xf numFmtId="0" fontId="16" fillId="0" borderId="7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2" fontId="8" fillId="2" borderId="0" xfId="0" applyNumberFormat="1" applyFont="1" applyFill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4"/>
    </xf>
    <xf numFmtId="167" fontId="8" fillId="0" borderId="0" xfId="0" applyNumberFormat="1" applyFont="1" applyAlignment="1">
      <alignment horizontal="right"/>
    </xf>
    <xf numFmtId="0" fontId="16" fillId="0" borderId="0" xfId="0" applyFont="1"/>
    <xf numFmtId="0" fontId="8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inden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0" fontId="1" fillId="0" borderId="3" xfId="0" applyFont="1" applyBorder="1"/>
    <xf numFmtId="166" fontId="8" fillId="0" borderId="0" xfId="0" applyNumberFormat="1" applyFont="1"/>
    <xf numFmtId="166" fontId="8" fillId="0" borderId="1" xfId="0" applyNumberFormat="1" applyFont="1" applyBorder="1"/>
    <xf numFmtId="164" fontId="13" fillId="4" borderId="1" xfId="0" applyNumberFormat="1" applyFont="1" applyFill="1" applyBorder="1"/>
    <xf numFmtId="0" fontId="9" fillId="0" borderId="0" xfId="0" applyFont="1" applyAlignment="1">
      <alignment horizontal="right"/>
    </xf>
    <xf numFmtId="2" fontId="13" fillId="0" borderId="0" xfId="0" applyNumberFormat="1" applyFont="1"/>
    <xf numFmtId="173" fontId="13" fillId="0" borderId="0" xfId="0" applyNumberFormat="1" applyFont="1"/>
    <xf numFmtId="3" fontId="13" fillId="0" borderId="0" xfId="0" applyNumberFormat="1" applyFont="1"/>
    <xf numFmtId="2" fontId="13" fillId="0" borderId="1" xfId="0" applyNumberFormat="1" applyFont="1" applyBorder="1"/>
    <xf numFmtId="173" fontId="13" fillId="0" borderId="1" xfId="0" applyNumberFormat="1" applyFont="1" applyBorder="1"/>
    <xf numFmtId="3" fontId="13" fillId="0" borderId="1" xfId="0" applyNumberFormat="1" applyFont="1" applyBorder="1"/>
    <xf numFmtId="164" fontId="13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right" indent="3"/>
    </xf>
    <xf numFmtId="164" fontId="13" fillId="0" borderId="0" xfId="1" applyNumberFormat="1" applyFont="1" applyProtection="1"/>
    <xf numFmtId="164" fontId="13" fillId="4" borderId="0" xfId="0" applyNumberFormat="1" applyFont="1" applyFill="1"/>
    <xf numFmtId="164" fontId="8" fillId="0" borderId="0" xfId="0" applyNumberFormat="1" applyFont="1" applyAlignment="1">
      <alignment horizontal="right"/>
    </xf>
    <xf numFmtId="167" fontId="8" fillId="0" borderId="0" xfId="0" applyNumberFormat="1" applyFont="1"/>
    <xf numFmtId="3" fontId="8" fillId="0" borderId="0" xfId="0" applyNumberFormat="1" applyFont="1"/>
    <xf numFmtId="2" fontId="13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left" indent="2"/>
    </xf>
    <xf numFmtId="0" fontId="22" fillId="0" borderId="0" xfId="0" applyFont="1"/>
    <xf numFmtId="173" fontId="22" fillId="0" borderId="0" xfId="0" applyNumberFormat="1" applyFont="1"/>
    <xf numFmtId="164" fontId="22" fillId="0" borderId="0" xfId="0" applyNumberFormat="1" applyFont="1"/>
    <xf numFmtId="166" fontId="13" fillId="0" borderId="1" xfId="0" applyNumberFormat="1" applyFont="1" applyBorder="1"/>
    <xf numFmtId="164" fontId="13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right" indent="3"/>
    </xf>
    <xf numFmtId="0" fontId="1" fillId="0" borderId="2" xfId="0" applyFont="1" applyBorder="1"/>
    <xf numFmtId="172" fontId="8" fillId="0" borderId="0" xfId="0" applyNumberFormat="1" applyFont="1" applyAlignment="1">
      <alignment horizontal="right"/>
    </xf>
    <xf numFmtId="172" fontId="8" fillId="0" borderId="1" xfId="0" applyNumberFormat="1" applyFont="1" applyBorder="1" applyAlignment="1">
      <alignment horizontal="right"/>
    </xf>
    <xf numFmtId="3" fontId="13" fillId="2" borderId="3" xfId="0" applyNumberFormat="1" applyFont="1" applyFill="1" applyBorder="1"/>
    <xf numFmtId="172" fontId="8" fillId="2" borderId="1" xfId="0" applyNumberFormat="1" applyFont="1" applyFill="1" applyBorder="1"/>
    <xf numFmtId="0" fontId="9" fillId="2" borderId="3" xfId="0" applyFont="1" applyFill="1" applyBorder="1" applyAlignment="1">
      <alignment horizontal="right"/>
    </xf>
    <xf numFmtId="8" fontId="8" fillId="4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9" fillId="2" borderId="1" xfId="0" applyFont="1" applyFill="1" applyBorder="1"/>
    <xf numFmtId="0" fontId="14" fillId="0" borderId="3" xfId="0" applyFont="1" applyBorder="1"/>
    <xf numFmtId="0" fontId="14" fillId="0" borderId="1" xfId="0" applyFont="1" applyBorder="1"/>
    <xf numFmtId="167" fontId="13" fillId="2" borderId="0" xfId="0" applyNumberFormat="1" applyFont="1" applyFill="1"/>
    <xf numFmtId="3" fontId="13" fillId="2" borderId="0" xfId="0" applyNumberFormat="1" applyFont="1" applyFill="1" applyAlignment="1">
      <alignment horizontal="left"/>
    </xf>
    <xf numFmtId="168" fontId="13" fillId="2" borderId="0" xfId="0" applyNumberFormat="1" applyFont="1" applyFill="1"/>
    <xf numFmtId="0" fontId="13" fillId="0" borderId="1" xfId="0" applyFont="1" applyBorder="1" applyAlignment="1">
      <alignment horizontal="right" indent="1"/>
    </xf>
    <xf numFmtId="0" fontId="17" fillId="0" borderId="1" xfId="0" applyFont="1" applyBorder="1"/>
    <xf numFmtId="9" fontId="5" fillId="0" borderId="0" xfId="0" applyNumberFormat="1" applyFont="1"/>
    <xf numFmtId="0" fontId="28" fillId="0" borderId="0" xfId="0" applyFont="1" applyAlignment="1">
      <alignment horizontal="left" indent="1"/>
    </xf>
    <xf numFmtId="3" fontId="28" fillId="0" borderId="0" xfId="0" applyNumberFormat="1" applyFont="1"/>
    <xf numFmtId="0" fontId="29" fillId="0" borderId="1" xfId="0" applyFont="1" applyBorder="1" applyAlignment="1">
      <alignment horizontal="left" indent="1"/>
    </xf>
    <xf numFmtId="0" fontId="13" fillId="0" borderId="0" xfId="0" applyFont="1" applyAlignment="1">
      <alignment horizontal="right" indent="1"/>
    </xf>
    <xf numFmtId="165" fontId="13" fillId="0" borderId="1" xfId="0" applyNumberFormat="1" applyFont="1" applyBorder="1"/>
    <xf numFmtId="165" fontId="28" fillId="0" borderId="0" xfId="0" applyNumberFormat="1" applyFont="1"/>
    <xf numFmtId="0" fontId="13" fillId="0" borderId="3" xfId="0" applyFont="1" applyBorder="1"/>
    <xf numFmtId="0" fontId="29" fillId="0" borderId="1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right"/>
    </xf>
    <xf numFmtId="168" fontId="13" fillId="4" borderId="1" xfId="0" applyNumberFormat="1" applyFont="1" applyFill="1" applyBorder="1"/>
    <xf numFmtId="0" fontId="23" fillId="0" borderId="0" xfId="0" applyFont="1"/>
    <xf numFmtId="164" fontId="13" fillId="5" borderId="0" xfId="0" applyNumberFormat="1" applyFont="1" applyFill="1" applyProtection="1">
      <protection locked="0"/>
    </xf>
    <xf numFmtId="164" fontId="13" fillId="5" borderId="1" xfId="0" applyNumberFormat="1" applyFont="1" applyFill="1" applyBorder="1" applyProtection="1">
      <protection locked="0"/>
    </xf>
    <xf numFmtId="164" fontId="13" fillId="5" borderId="3" xfId="0" applyNumberFormat="1" applyFont="1" applyFill="1" applyBorder="1" applyProtection="1">
      <protection locked="0"/>
    </xf>
    <xf numFmtId="10" fontId="13" fillId="5" borderId="0" xfId="0" applyNumberFormat="1" applyFont="1" applyFill="1" applyProtection="1">
      <protection locked="0"/>
    </xf>
    <xf numFmtId="10" fontId="13" fillId="5" borderId="1" xfId="0" applyNumberFormat="1" applyFont="1" applyFill="1" applyBorder="1" applyProtection="1">
      <protection locked="0"/>
    </xf>
    <xf numFmtId="2" fontId="8" fillId="5" borderId="1" xfId="0" applyNumberFormat="1" applyFont="1" applyFill="1" applyBorder="1" applyProtection="1">
      <protection locked="0"/>
    </xf>
    <xf numFmtId="169" fontId="14" fillId="2" borderId="1" xfId="0" applyNumberFormat="1" applyFont="1" applyFill="1" applyBorder="1"/>
    <xf numFmtId="177" fontId="14" fillId="2" borderId="1" xfId="0" applyNumberFormat="1" applyFont="1" applyFill="1" applyBorder="1"/>
    <xf numFmtId="167" fontId="8" fillId="5" borderId="0" xfId="0" applyNumberFormat="1" applyFont="1" applyFill="1" applyAlignment="1" applyProtection="1">
      <alignment horizontal="right"/>
      <protection locked="0"/>
    </xf>
    <xf numFmtId="167" fontId="8" fillId="5" borderId="1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>
      <alignment vertical="top" wrapText="1"/>
    </xf>
    <xf numFmtId="0" fontId="30" fillId="0" borderId="0" xfId="0" applyFont="1"/>
    <xf numFmtId="0" fontId="30" fillId="2" borderId="0" xfId="0" applyFont="1" applyFill="1" applyAlignment="1">
      <alignment vertical="top" wrapText="1"/>
    </xf>
    <xf numFmtId="1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5" fontId="13" fillId="2" borderId="0" xfId="0" applyNumberFormat="1" applyFont="1" applyFill="1"/>
    <xf numFmtId="0" fontId="1" fillId="2" borderId="0" xfId="0" applyFont="1" applyFill="1" applyAlignment="1">
      <alignment horizontal="right"/>
    </xf>
    <xf numFmtId="0" fontId="11" fillId="6" borderId="14" xfId="5" applyFont="1" applyFill="1" applyBorder="1" applyAlignment="1">
      <alignment horizontal="center"/>
    </xf>
    <xf numFmtId="0" fontId="11" fillId="6" borderId="15" xfId="5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0" fontId="8" fillId="2" borderId="0" xfId="0" applyFont="1" applyFill="1" applyAlignment="1">
      <alignment horizontal="left" wrapText="1"/>
    </xf>
    <xf numFmtId="0" fontId="12" fillId="7" borderId="16" xfId="4" applyFont="1" applyBorder="1" applyAlignment="1">
      <alignment horizontal="center"/>
    </xf>
    <xf numFmtId="0" fontId="12" fillId="7" borderId="17" xfId="4" applyFont="1" applyBorder="1" applyAlignment="1">
      <alignment horizontal="center"/>
    </xf>
    <xf numFmtId="0" fontId="12" fillId="7" borderId="18" xfId="4" applyFont="1" applyBorder="1" applyAlignment="1">
      <alignment horizontal="center"/>
    </xf>
    <xf numFmtId="0" fontId="11" fillId="6" borderId="9" xfId="5" applyFont="1" applyFill="1" applyBorder="1" applyAlignment="1">
      <alignment horizontal="center"/>
    </xf>
    <xf numFmtId="0" fontId="11" fillId="6" borderId="2" xfId="5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1" fillId="6" borderId="9" xfId="5" applyFont="1" applyFill="1" applyBorder="1" applyAlignment="1">
      <alignment horizontal="left"/>
    </xf>
    <xf numFmtId="0" fontId="11" fillId="6" borderId="2" xfId="5" applyFont="1" applyFill="1" applyBorder="1" applyAlignment="1">
      <alignment horizontal="left"/>
    </xf>
    <xf numFmtId="0" fontId="26" fillId="6" borderId="9" xfId="5" applyFont="1" applyFill="1" applyBorder="1" applyAlignment="1">
      <alignment horizontal="center"/>
    </xf>
    <xf numFmtId="0" fontId="26" fillId="6" borderId="2" xfId="5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/>
    </xf>
    <xf numFmtId="0" fontId="11" fillId="6" borderId="19" xfId="5" applyFont="1" applyFill="1" applyBorder="1" applyAlignment="1">
      <alignment horizontal="left"/>
    </xf>
    <xf numFmtId="0" fontId="11" fillId="6" borderId="3" xfId="5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31" fillId="2" borderId="0" xfId="6" applyFill="1" applyAlignment="1">
      <alignment horizontal="left" inden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 2" xfId="5" xr:uid="{FD6BDF95-A4B9-4EBB-A38C-81FF51D99A86}"/>
    <cellStyle name="Output" xfId="4" builtinId="21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A7B2AE-BB59-4DED-B2B3-0A8749422F51}"/>
  </tableStyles>
  <colors>
    <mruColors>
      <color rgb="FFF1B82D"/>
      <color rgb="FFE6A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2162175</xdr:colOff>
      <xdr:row>2</xdr:row>
      <xdr:rowOff>142875</xdr:rowOff>
    </xdr:from>
    <xdr:to>
      <xdr:col>2</xdr:col>
      <xdr:colOff>4454525</xdr:colOff>
      <xdr:row>6</xdr:row>
      <xdr:rowOff>60550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3744AD-1C60-4BE3-A36C-28579905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619125"/>
          <a:ext cx="2292350" cy="71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5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missouri.edu/publications/g6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6"/>
  <sheetViews>
    <sheetView tabSelected="1" workbookViewId="0"/>
  </sheetViews>
  <sheetFormatPr defaultColWidth="0" defaultRowHeight="15" zeroHeight="1" x14ac:dyDescent="0.25"/>
  <cols>
    <col min="1" max="1" width="2.875" customWidth="1"/>
    <col min="2" max="2" width="17.875" customWidth="1"/>
    <col min="3" max="3" width="68.75" customWidth="1"/>
    <col min="4" max="4" width="9" customWidth="1"/>
    <col min="5" max="5" width="3.25" customWidth="1"/>
    <col min="6" max="9" width="8.75" hidden="1" customWidth="1"/>
    <col min="10" max="10" width="10.625" hidden="1" customWidth="1"/>
    <col min="11" max="11" width="3.25" hidden="1" customWidth="1"/>
    <col min="12" max="16384" width="8.75" hidden="1"/>
  </cols>
  <sheetData>
    <row r="1" spans="1:10" ht="15.75" thickBot="1" x14ac:dyDescent="0.3">
      <c r="A1" s="29"/>
      <c r="B1" s="29"/>
      <c r="C1" s="29"/>
      <c r="D1" s="29"/>
      <c r="E1" s="29"/>
    </row>
    <row r="2" spans="1:10" ht="21.75" thickBot="1" x14ac:dyDescent="0.4">
      <c r="A2" s="29"/>
      <c r="B2" s="360" t="s">
        <v>237</v>
      </c>
      <c r="C2" s="361"/>
      <c r="D2" s="361"/>
      <c r="E2" s="30"/>
      <c r="F2" s="28"/>
      <c r="G2" s="28"/>
      <c r="H2" s="362"/>
      <c r="I2" s="362"/>
      <c r="J2" s="362"/>
    </row>
    <row r="3" spans="1:10" ht="15.75" x14ac:dyDescent="0.25">
      <c r="A3" s="29"/>
      <c r="B3" s="29"/>
      <c r="C3" s="29"/>
      <c r="D3" s="37" t="s">
        <v>368</v>
      </c>
      <c r="E3" s="29"/>
    </row>
    <row r="4" spans="1:10" ht="15.75" x14ac:dyDescent="0.25">
      <c r="A4" s="29"/>
      <c r="B4" s="33" t="s">
        <v>260</v>
      </c>
      <c r="C4" s="31"/>
      <c r="D4" s="31"/>
      <c r="E4" s="31"/>
      <c r="F4" s="24"/>
      <c r="G4" s="24"/>
      <c r="H4" s="24"/>
      <c r="I4" s="24"/>
      <c r="J4" s="24"/>
    </row>
    <row r="5" spans="1:10" ht="15.75" x14ac:dyDescent="0.25">
      <c r="A5" s="29"/>
      <c r="B5" s="36" t="s">
        <v>261</v>
      </c>
      <c r="C5" s="31"/>
      <c r="D5" s="31"/>
      <c r="E5" s="31"/>
      <c r="F5" s="24"/>
      <c r="G5" s="24"/>
      <c r="H5" s="24"/>
      <c r="I5" s="24"/>
      <c r="J5" s="24"/>
    </row>
    <row r="6" spans="1:10" ht="15.75" x14ac:dyDescent="0.25">
      <c r="A6" s="29"/>
      <c r="B6" s="36" t="s">
        <v>262</v>
      </c>
      <c r="C6" s="31"/>
      <c r="D6" s="31"/>
      <c r="E6" s="31"/>
      <c r="F6" s="24"/>
      <c r="G6" s="24"/>
      <c r="H6" s="24"/>
      <c r="I6" s="24"/>
      <c r="J6" s="24"/>
    </row>
    <row r="7" spans="1:10" ht="15.75" x14ac:dyDescent="0.25">
      <c r="A7" s="29"/>
      <c r="B7" s="36"/>
      <c r="C7" s="31"/>
      <c r="D7" s="31"/>
      <c r="E7" s="31"/>
      <c r="F7" s="24"/>
      <c r="G7" s="24"/>
      <c r="H7" s="24"/>
      <c r="I7" s="24"/>
      <c r="J7" s="24"/>
    </row>
    <row r="8" spans="1:10" ht="18" customHeight="1" x14ac:dyDescent="0.25">
      <c r="A8" s="29"/>
      <c r="B8" s="363" t="s">
        <v>258</v>
      </c>
      <c r="C8" s="363"/>
      <c r="D8" s="31"/>
      <c r="E8" s="31"/>
      <c r="F8" s="24"/>
      <c r="G8" s="24"/>
      <c r="H8" s="24"/>
      <c r="I8" s="24"/>
      <c r="J8" s="24"/>
    </row>
    <row r="9" spans="1:10" ht="15.75" x14ac:dyDescent="0.25">
      <c r="A9" s="29"/>
      <c r="B9" s="31"/>
      <c r="C9" s="31"/>
      <c r="D9" s="31"/>
      <c r="E9" s="31"/>
      <c r="F9" s="24"/>
      <c r="G9" s="24"/>
      <c r="H9" s="24"/>
      <c r="I9" s="24"/>
      <c r="J9" s="24"/>
    </row>
    <row r="10" spans="1:10" ht="15.75" x14ac:dyDescent="0.25">
      <c r="A10" s="29"/>
      <c r="B10" s="33" t="s">
        <v>166</v>
      </c>
      <c r="C10" s="31"/>
      <c r="D10" s="31"/>
      <c r="E10" s="31"/>
      <c r="F10" s="24"/>
      <c r="G10" s="24"/>
      <c r="H10" s="24"/>
      <c r="I10" s="24"/>
      <c r="J10" s="24"/>
    </row>
    <row r="11" spans="1:10" ht="15.75" x14ac:dyDescent="0.25">
      <c r="A11" s="29"/>
      <c r="B11" s="34" t="s">
        <v>319</v>
      </c>
      <c r="C11" s="31"/>
      <c r="D11" s="31"/>
      <c r="E11" s="31"/>
      <c r="F11" s="24"/>
      <c r="G11" s="24"/>
      <c r="H11" s="24"/>
      <c r="I11" s="24"/>
      <c r="J11" s="24"/>
    </row>
    <row r="12" spans="1:10" ht="15.75" x14ac:dyDescent="0.25">
      <c r="A12" s="29"/>
      <c r="B12" s="34" t="s">
        <v>318</v>
      </c>
      <c r="C12" s="31"/>
      <c r="D12" s="31"/>
      <c r="E12" s="31"/>
      <c r="F12" s="24"/>
      <c r="G12" s="24"/>
      <c r="H12" s="24"/>
      <c r="I12" s="24"/>
      <c r="J12" s="24"/>
    </row>
    <row r="13" spans="1:10" ht="15.75" x14ac:dyDescent="0.25">
      <c r="A13" s="29"/>
      <c r="B13" s="31"/>
      <c r="C13" s="31"/>
      <c r="D13" s="31"/>
      <c r="E13" s="31"/>
      <c r="F13" s="24"/>
      <c r="G13" s="24"/>
      <c r="H13" s="24"/>
      <c r="I13" s="24"/>
      <c r="J13" s="24"/>
    </row>
    <row r="14" spans="1:10" ht="15.75" x14ac:dyDescent="0.25">
      <c r="A14" s="29"/>
      <c r="B14" s="33" t="s">
        <v>167</v>
      </c>
      <c r="C14" s="31"/>
      <c r="D14" s="31"/>
      <c r="E14" s="31"/>
      <c r="F14" s="24"/>
      <c r="G14" s="24"/>
      <c r="H14" s="24"/>
      <c r="I14" s="24"/>
      <c r="J14" s="24"/>
    </row>
    <row r="15" spans="1:10" ht="15.75" x14ac:dyDescent="0.25">
      <c r="A15" s="29"/>
      <c r="B15" s="34" t="s">
        <v>238</v>
      </c>
      <c r="C15" s="31"/>
      <c r="D15" s="31"/>
      <c r="E15" s="31"/>
      <c r="F15" s="24"/>
      <c r="G15" s="24"/>
      <c r="H15" s="24"/>
      <c r="I15" s="24"/>
      <c r="J15" s="24"/>
    </row>
    <row r="16" spans="1:10" ht="15.75" x14ac:dyDescent="0.25">
      <c r="A16" s="29"/>
      <c r="B16" s="34" t="s">
        <v>168</v>
      </c>
      <c r="C16" s="31"/>
      <c r="D16" s="31"/>
      <c r="E16" s="31"/>
      <c r="F16" s="24"/>
      <c r="G16" s="24"/>
      <c r="H16" s="24"/>
      <c r="I16" s="24"/>
      <c r="J16" s="24"/>
    </row>
    <row r="17" spans="1:10" ht="15.75" x14ac:dyDescent="0.25">
      <c r="A17" s="29"/>
      <c r="B17" s="35" t="s">
        <v>239</v>
      </c>
      <c r="C17" s="31"/>
      <c r="D17" s="31"/>
      <c r="E17" s="31"/>
      <c r="F17" s="24"/>
      <c r="G17" s="24"/>
      <c r="H17" s="24"/>
      <c r="I17" s="24"/>
      <c r="J17" s="24"/>
    </row>
    <row r="18" spans="1:10" ht="15.75" x14ac:dyDescent="0.25">
      <c r="A18" s="29"/>
      <c r="B18" s="34" t="s">
        <v>240</v>
      </c>
      <c r="C18" s="31"/>
      <c r="D18" s="31"/>
      <c r="E18" s="31"/>
      <c r="F18" s="24"/>
      <c r="G18" s="24"/>
      <c r="H18" s="24"/>
      <c r="I18" s="24"/>
      <c r="J18" s="24"/>
    </row>
    <row r="19" spans="1:10" ht="15.75" x14ac:dyDescent="0.25">
      <c r="A19" s="29"/>
      <c r="B19" s="34"/>
      <c r="C19" s="31"/>
      <c r="D19" s="31"/>
      <c r="E19" s="31"/>
      <c r="F19" s="24"/>
      <c r="G19" s="24"/>
      <c r="H19" s="24"/>
      <c r="I19" s="24"/>
      <c r="J19" s="24"/>
    </row>
    <row r="20" spans="1:10" ht="15.75" x14ac:dyDescent="0.25">
      <c r="A20" s="29"/>
      <c r="B20" s="33" t="s">
        <v>376</v>
      </c>
      <c r="C20" s="31"/>
      <c r="D20" s="31"/>
      <c r="E20" s="31"/>
      <c r="F20" s="24"/>
      <c r="G20" s="24"/>
      <c r="H20" s="24"/>
      <c r="I20" s="24"/>
      <c r="J20" s="24"/>
    </row>
    <row r="21" spans="1:10" ht="15.75" x14ac:dyDescent="0.25">
      <c r="A21" s="29"/>
      <c r="B21" s="382" t="s">
        <v>377</v>
      </c>
      <c r="C21" s="382"/>
      <c r="D21" s="382"/>
      <c r="E21" s="31"/>
      <c r="F21" s="24"/>
      <c r="G21" s="24"/>
      <c r="H21" s="24"/>
      <c r="I21" s="24"/>
      <c r="J21" s="24"/>
    </row>
    <row r="22" spans="1:10" ht="15.75" x14ac:dyDescent="0.25">
      <c r="A22" s="29"/>
      <c r="B22" s="34"/>
      <c r="C22" s="31"/>
      <c r="D22" s="31"/>
      <c r="E22" s="31"/>
      <c r="F22" s="24"/>
      <c r="G22" s="24"/>
      <c r="H22" s="24"/>
      <c r="I22" s="24"/>
      <c r="J22" s="24"/>
    </row>
    <row r="23" spans="1:10" ht="15.75" x14ac:dyDescent="0.25">
      <c r="A23" s="29"/>
      <c r="B23" s="364" t="s">
        <v>259</v>
      </c>
      <c r="C23" s="365"/>
      <c r="D23" s="366"/>
      <c r="E23" s="31"/>
      <c r="F23" s="24"/>
      <c r="G23" s="24"/>
      <c r="H23" s="24"/>
      <c r="I23" s="24"/>
      <c r="J23" s="24"/>
    </row>
    <row r="24" spans="1:10" ht="15.75" x14ac:dyDescent="0.25">
      <c r="A24" s="29"/>
      <c r="B24" s="31"/>
      <c r="C24" s="31"/>
      <c r="D24" s="31"/>
      <c r="E24" s="31"/>
      <c r="F24" s="24"/>
      <c r="G24" s="24"/>
      <c r="H24" s="24"/>
      <c r="I24" s="24"/>
      <c r="J24" s="24"/>
    </row>
    <row r="25" spans="1:10" x14ac:dyDescent="0.25">
      <c r="A25" s="29"/>
      <c r="B25" s="26"/>
      <c r="C25" s="26"/>
      <c r="D25" s="26"/>
      <c r="E25" s="32"/>
      <c r="F25" s="27"/>
      <c r="G25" s="27"/>
      <c r="H25" s="27"/>
      <c r="I25" s="27"/>
      <c r="J25" s="27"/>
    </row>
    <row r="26" spans="1:10" hidden="1" x14ac:dyDescent="0.25">
      <c r="A26" s="29"/>
      <c r="B26" s="29"/>
      <c r="C26" s="29"/>
      <c r="D26" s="29"/>
      <c r="E26" s="29"/>
    </row>
  </sheetData>
  <sheetProtection sheet="1" objects="1" scenarios="1"/>
  <mergeCells count="5">
    <mergeCell ref="B2:D2"/>
    <mergeCell ref="H2:J2"/>
    <mergeCell ref="B8:C8"/>
    <mergeCell ref="B23:D23"/>
    <mergeCell ref="B21:D21"/>
  </mergeCells>
  <hyperlinks>
    <hyperlink ref="B21:D21" r:id="rId1" display="MU Extension publication G691, Meat Goat Planning Budget" xr:uid="{5CA59D36-AE51-4608-B1B6-05E8546DCE2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W47"/>
  <sheetViews>
    <sheetView showGridLines="0" topLeftCell="A17" zoomScaleNormal="100" workbookViewId="0">
      <selection activeCell="P44" sqref="P44"/>
    </sheetView>
  </sheetViews>
  <sheetFormatPr defaultColWidth="0" defaultRowHeight="15" zeroHeight="1" x14ac:dyDescent="0.25"/>
  <cols>
    <col min="1" max="1" width="3.125" style="1" customWidth="1"/>
    <col min="2" max="2" width="1.625" style="1" customWidth="1"/>
    <col min="3" max="3" width="5.375" style="1" customWidth="1"/>
    <col min="4" max="4" width="10.625" style="1" customWidth="1"/>
    <col min="5" max="5" width="17.625" style="1" customWidth="1"/>
    <col min="6" max="6" width="7.75" style="1" customWidth="1"/>
    <col min="7" max="7" width="8.25" style="1" customWidth="1"/>
    <col min="8" max="8" width="9" style="1" customWidth="1"/>
    <col min="9" max="9" width="8.375" style="2" customWidth="1"/>
    <col min="10" max="10" width="10.625" style="1" customWidth="1"/>
    <col min="11" max="11" width="14.625" style="1" customWidth="1"/>
    <col min="12" max="12" width="1.625" style="1" customWidth="1"/>
    <col min="13" max="13" width="3.125" style="1" customWidth="1"/>
    <col min="14" max="14" width="9" style="1" customWidth="1"/>
    <col min="15" max="15" width="3.75" style="1" customWidth="1"/>
    <col min="16" max="16" width="12.625" style="1" customWidth="1"/>
    <col min="17" max="17" width="11.625" style="1" customWidth="1"/>
    <col min="18" max="18" width="11.25" style="1" customWidth="1"/>
    <col min="19" max="21" width="11.625" style="1" customWidth="1"/>
    <col min="22" max="22" width="3.125" style="1" customWidth="1"/>
    <col min="23" max="23" width="0" style="1" hidden="1" customWidth="1"/>
    <col min="24" max="16384" width="9" style="1" hidden="1"/>
  </cols>
  <sheetData>
    <row r="1" spans="2:21" ht="15.95" customHeight="1" x14ac:dyDescent="0.25">
      <c r="B1" s="13"/>
      <c r="C1" s="13"/>
      <c r="D1" s="13"/>
      <c r="E1" s="13"/>
      <c r="F1" s="3"/>
      <c r="G1" s="13"/>
      <c r="H1" s="13"/>
      <c r="I1" s="14"/>
      <c r="J1" s="13"/>
      <c r="K1" s="13"/>
      <c r="L1" s="13"/>
      <c r="M1" s="3"/>
      <c r="N1" s="3"/>
      <c r="O1" s="3"/>
      <c r="P1" s="3"/>
      <c r="Q1" s="3"/>
      <c r="R1" s="3"/>
      <c r="S1" s="3"/>
      <c r="T1" s="3"/>
      <c r="U1" s="3"/>
    </row>
    <row r="2" spans="2:21" ht="21" x14ac:dyDescent="0.35">
      <c r="B2" s="367" t="s">
        <v>320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"/>
      <c r="N2" s="3"/>
      <c r="O2" s="3"/>
      <c r="P2" s="3"/>
      <c r="Q2" s="3"/>
      <c r="R2" s="3"/>
      <c r="S2" s="3"/>
      <c r="T2" s="3"/>
      <c r="U2" s="3"/>
    </row>
    <row r="3" spans="2:21" x14ac:dyDescent="0.25">
      <c r="B3" s="136"/>
      <c r="C3" s="13"/>
      <c r="D3" s="137"/>
      <c r="E3" s="13"/>
      <c r="G3" s="13"/>
      <c r="H3" s="13"/>
      <c r="I3" s="14"/>
      <c r="J3" s="13"/>
      <c r="K3" s="13"/>
      <c r="L3" s="13"/>
      <c r="M3" s="3"/>
      <c r="N3" s="3"/>
      <c r="O3" s="3"/>
      <c r="P3" s="3"/>
      <c r="Q3" s="3"/>
      <c r="R3" s="3"/>
      <c r="S3" s="3"/>
      <c r="T3" s="3"/>
      <c r="U3" s="3"/>
    </row>
    <row r="4" spans="2:21" ht="15.75" x14ac:dyDescent="0.25">
      <c r="B4" s="369" t="s">
        <v>367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"/>
      <c r="N4" s="3"/>
      <c r="O4" s="3"/>
      <c r="P4" s="3"/>
      <c r="Q4" s="3"/>
      <c r="R4" s="3"/>
      <c r="S4" s="3"/>
      <c r="T4" s="3"/>
      <c r="U4" s="3"/>
    </row>
    <row r="5" spans="2:21" ht="15.75" x14ac:dyDescent="0.25">
      <c r="B5" s="13"/>
      <c r="C5" s="13"/>
      <c r="D5" s="13"/>
      <c r="E5" s="13"/>
      <c r="F5" s="13"/>
      <c r="G5" s="13"/>
      <c r="H5" s="13"/>
      <c r="I5" s="14"/>
      <c r="J5" s="137"/>
      <c r="K5" s="137"/>
      <c r="L5" s="137"/>
      <c r="M5" s="3"/>
      <c r="N5" s="31" t="s">
        <v>306</v>
      </c>
      <c r="O5" s="31"/>
      <c r="P5" s="31"/>
      <c r="Q5" s="31"/>
      <c r="R5" s="31"/>
      <c r="S5" s="29"/>
      <c r="T5" s="3"/>
      <c r="U5" s="3"/>
    </row>
    <row r="6" spans="2:21" ht="15.75" x14ac:dyDescent="0.25">
      <c r="B6" s="139" t="s">
        <v>263</v>
      </c>
      <c r="C6" s="139"/>
      <c r="D6" s="139"/>
      <c r="E6" s="139"/>
      <c r="F6" s="40" t="s">
        <v>269</v>
      </c>
      <c r="G6" s="40" t="s">
        <v>152</v>
      </c>
      <c r="H6" s="140" t="s">
        <v>75</v>
      </c>
      <c r="I6" s="40" t="s">
        <v>268</v>
      </c>
      <c r="J6" s="141" t="s">
        <v>244</v>
      </c>
      <c r="K6" s="141" t="s">
        <v>267</v>
      </c>
      <c r="L6" s="142"/>
      <c r="M6" s="3"/>
      <c r="N6" s="143" t="s">
        <v>369</v>
      </c>
      <c r="O6" s="143"/>
      <c r="P6" s="143"/>
      <c r="Q6" s="143"/>
      <c r="R6" s="143">
        <f>'Flock assumptions'!D5</f>
        <v>1</v>
      </c>
      <c r="T6" s="3"/>
      <c r="U6" s="3"/>
    </row>
    <row r="7" spans="2:21" ht="15.75" x14ac:dyDescent="0.25">
      <c r="B7" s="144" t="s">
        <v>230</v>
      </c>
      <c r="C7" s="145" t="s">
        <v>289</v>
      </c>
      <c r="D7" s="145"/>
      <c r="E7" s="145"/>
      <c r="F7" s="146">
        <f>'Flock assumptions'!I6</f>
        <v>0.32000000000000006</v>
      </c>
      <c r="G7" s="145">
        <f>'Flock assumptions'!C22</f>
        <v>70</v>
      </c>
      <c r="H7" s="147" t="s">
        <v>111</v>
      </c>
      <c r="I7" s="148">
        <f>'Flock assumptions'!D22</f>
        <v>4.22</v>
      </c>
      <c r="J7" s="172">
        <f>'Flock assumptions'!J6</f>
        <v>94.528000000000006</v>
      </c>
      <c r="K7" s="149">
        <f>J7*'Flock assumptions'!$D$6</f>
        <v>4726.4000000000005</v>
      </c>
      <c r="L7" s="150"/>
      <c r="M7" s="3"/>
      <c r="N7" s="151" t="s">
        <v>176</v>
      </c>
      <c r="O7" s="151"/>
      <c r="P7" s="151"/>
      <c r="Q7" s="151"/>
      <c r="R7" s="152">
        <f>'Flock assumptions'!D6</f>
        <v>50</v>
      </c>
      <c r="T7" s="3"/>
      <c r="U7" s="153"/>
    </row>
    <row r="8" spans="2:21" ht="15.75" x14ac:dyDescent="0.25">
      <c r="B8" s="144" t="s">
        <v>231</v>
      </c>
      <c r="C8" s="145" t="s">
        <v>290</v>
      </c>
      <c r="D8" s="145"/>
      <c r="E8" s="145"/>
      <c r="F8" s="146">
        <f>'Flock assumptions'!I7</f>
        <v>1.28</v>
      </c>
      <c r="G8" s="145">
        <f>'Flock assumptions'!C23</f>
        <v>60</v>
      </c>
      <c r="H8" s="147" t="s">
        <v>111</v>
      </c>
      <c r="I8" s="148">
        <f>'Flock assumptions'!D23</f>
        <v>4.0999999999999996</v>
      </c>
      <c r="J8" s="172">
        <f>'Flock assumptions'!J7</f>
        <v>314.88</v>
      </c>
      <c r="K8" s="149">
        <f>J8*'Flock assumptions'!$D$6</f>
        <v>15744</v>
      </c>
      <c r="L8" s="150"/>
      <c r="M8" s="3"/>
      <c r="N8" s="151" t="s">
        <v>197</v>
      </c>
      <c r="O8" s="151"/>
      <c r="P8" s="151"/>
      <c r="Q8" s="151"/>
      <c r="R8" s="152">
        <f>'Flock assumptions'!D9</f>
        <v>2</v>
      </c>
      <c r="T8" s="3"/>
      <c r="U8" s="153"/>
    </row>
    <row r="9" spans="2:21" ht="15.75" x14ac:dyDescent="0.25">
      <c r="B9" s="145"/>
      <c r="C9" s="145" t="s">
        <v>291</v>
      </c>
      <c r="D9" s="145"/>
      <c r="E9" s="145"/>
      <c r="F9" s="146">
        <f>SUM('Flock assumptions'!I8:I9)</f>
        <v>0.13999999999999999</v>
      </c>
      <c r="G9" s="145">
        <f>'Flock assumptions'!C25</f>
        <v>125</v>
      </c>
      <c r="H9" s="147" t="s">
        <v>111</v>
      </c>
      <c r="I9" s="148">
        <f>'Flock assumptions'!D25</f>
        <v>1.58</v>
      </c>
      <c r="J9" s="172">
        <f>'Flock assumptions'!J8</f>
        <v>23.7</v>
      </c>
      <c r="K9" s="149">
        <f>J9*'Flock assumptions'!$D$6</f>
        <v>1185</v>
      </c>
      <c r="L9" s="150"/>
      <c r="M9" s="3"/>
      <c r="N9" s="151" t="s">
        <v>232</v>
      </c>
      <c r="O9" s="151"/>
      <c r="P9" s="151"/>
      <c r="Q9" s="151"/>
      <c r="R9" s="154">
        <f>'Flock assumptions'!D14</f>
        <v>1.7</v>
      </c>
      <c r="T9" s="3"/>
      <c r="U9" s="3"/>
    </row>
    <row r="10" spans="2:21" ht="15.75" x14ac:dyDescent="0.25">
      <c r="B10" s="145"/>
      <c r="C10" s="145" t="s">
        <v>292</v>
      </c>
      <c r="D10" s="145"/>
      <c r="E10" s="145"/>
      <c r="F10" s="146">
        <f>'Flock assumptions'!I9</f>
        <v>0.02</v>
      </c>
      <c r="G10" s="145">
        <f>'Flock assumptions'!C26</f>
        <v>175</v>
      </c>
      <c r="H10" s="147" t="s">
        <v>111</v>
      </c>
      <c r="I10" s="148">
        <f>'Flock assumptions'!D26</f>
        <v>2.4500000000000002</v>
      </c>
      <c r="J10" s="201">
        <f>'Flock assumptions'!J9</f>
        <v>8.5750000000000011</v>
      </c>
      <c r="K10" s="155">
        <f>J10*'Flock assumptions'!$D$6</f>
        <v>428.75000000000006</v>
      </c>
      <c r="L10" s="150"/>
      <c r="M10" s="3"/>
      <c r="N10" s="156" t="s">
        <v>233</v>
      </c>
      <c r="O10" s="156"/>
      <c r="P10" s="156"/>
      <c r="Q10" s="156"/>
      <c r="R10" s="157">
        <f>'Flock assumptions'!I6+'Flock assumptions'!I7</f>
        <v>1.6</v>
      </c>
      <c r="T10" s="3"/>
      <c r="U10" s="3"/>
    </row>
    <row r="11" spans="2:21" ht="15.75" x14ac:dyDescent="0.25">
      <c r="B11" s="24"/>
      <c r="C11" s="158"/>
      <c r="D11" s="158"/>
      <c r="E11" s="159" t="s">
        <v>264</v>
      </c>
      <c r="F11" s="158"/>
      <c r="G11" s="158"/>
      <c r="H11" s="160"/>
      <c r="I11" s="161"/>
      <c r="J11" s="162">
        <f>SUM(J7:J10)</f>
        <v>441.68299999999999</v>
      </c>
      <c r="K11" s="163">
        <f>SUM(K7:K10)</f>
        <v>22084.15</v>
      </c>
      <c r="L11" s="162"/>
      <c r="M11" s="3"/>
      <c r="N11" s="151" t="s">
        <v>42</v>
      </c>
      <c r="O11" s="151"/>
      <c r="P11" s="151"/>
      <c r="Q11" s="151"/>
      <c r="R11" s="154">
        <f>'Flock assumptions'!D11</f>
        <v>0.02</v>
      </c>
      <c r="T11" s="3"/>
      <c r="U11" s="3"/>
    </row>
    <row r="12" spans="2:21" ht="15.75" x14ac:dyDescent="0.25">
      <c r="B12" s="145"/>
      <c r="C12" s="145"/>
      <c r="D12" s="145"/>
      <c r="E12" s="145"/>
      <c r="F12" s="145"/>
      <c r="G12" s="145"/>
      <c r="H12" s="138"/>
      <c r="I12" s="164"/>
      <c r="J12" s="165"/>
      <c r="K12" s="165"/>
      <c r="L12" s="165"/>
      <c r="M12" s="3"/>
      <c r="N12" s="151" t="s">
        <v>199</v>
      </c>
      <c r="O12" s="151"/>
      <c r="P12" s="151"/>
      <c r="Q12" s="151"/>
      <c r="R12" s="154">
        <f>'Flock assumptions'!D15</f>
        <v>0.03</v>
      </c>
      <c r="T12" s="3"/>
      <c r="U12" s="166"/>
    </row>
    <row r="13" spans="2:21" ht="15.75" x14ac:dyDescent="0.25">
      <c r="B13" s="139" t="s">
        <v>37</v>
      </c>
      <c r="C13" s="167"/>
      <c r="D13" s="167"/>
      <c r="E13" s="167"/>
      <c r="F13" s="40" t="s">
        <v>269</v>
      </c>
      <c r="G13" s="40" t="s">
        <v>152</v>
      </c>
      <c r="H13" s="140" t="s">
        <v>75</v>
      </c>
      <c r="I13" s="40" t="s">
        <v>268</v>
      </c>
      <c r="J13" s="141" t="s">
        <v>244</v>
      </c>
      <c r="K13" s="141" t="s">
        <v>267</v>
      </c>
      <c r="L13" s="168"/>
      <c r="M13" s="3"/>
      <c r="N13" s="31" t="s">
        <v>200</v>
      </c>
      <c r="O13" s="31"/>
      <c r="P13" s="31"/>
      <c r="Q13" s="31"/>
      <c r="R13" s="169">
        <f>'Flock assumptions'!D16</f>
        <v>0.02</v>
      </c>
      <c r="T13" s="3"/>
      <c r="U13" s="3"/>
    </row>
    <row r="14" spans="2:21" ht="15.75" x14ac:dyDescent="0.25">
      <c r="B14" s="145"/>
      <c r="C14" s="145" t="s">
        <v>293</v>
      </c>
      <c r="D14" s="145"/>
      <c r="E14" s="145"/>
      <c r="F14" s="170">
        <f>'Flock assumptions'!D8+'Flock assumptions'!D11</f>
        <v>0.13999999999999999</v>
      </c>
      <c r="G14" s="171" t="s">
        <v>142</v>
      </c>
      <c r="H14" s="147" t="s">
        <v>118</v>
      </c>
      <c r="I14" s="148">
        <f>'Flock assumptions'!D37</f>
        <v>246.875</v>
      </c>
      <c r="J14" s="172">
        <f>'Flock assumptions'!I15</f>
        <v>34.562499999999993</v>
      </c>
      <c r="K14" s="149">
        <f>J14*'Flock assumptions'!$D$6</f>
        <v>1728.1249999999995</v>
      </c>
      <c r="L14" s="150"/>
      <c r="M14" s="3"/>
      <c r="N14" s="173"/>
      <c r="O14" s="173"/>
      <c r="P14" s="173"/>
      <c r="Q14" s="173"/>
      <c r="R14" s="3"/>
      <c r="S14" s="174"/>
      <c r="T14" s="3"/>
      <c r="U14" s="3"/>
    </row>
    <row r="15" spans="2:21" ht="15.75" x14ac:dyDescent="0.25">
      <c r="B15" s="145"/>
      <c r="C15" s="145" t="s">
        <v>294</v>
      </c>
      <c r="D15" s="145"/>
      <c r="E15" s="145"/>
      <c r="F15" s="145">
        <f>'Flock assumptions'!D9/'Flock assumptions'!D6</f>
        <v>0.04</v>
      </c>
      <c r="G15" s="171" t="s">
        <v>142</v>
      </c>
      <c r="H15" s="147" t="s">
        <v>118</v>
      </c>
      <c r="I15" s="148">
        <f>'Flock assumptions'!D38</f>
        <v>643.12500000000011</v>
      </c>
      <c r="J15" s="172">
        <f>'Flock assumptions'!I14+'Other assumptions'!F26</f>
        <v>13.862500000000002</v>
      </c>
      <c r="K15" s="149">
        <f>J15*'Flock assumptions'!$D$6</f>
        <v>693.12500000000011</v>
      </c>
      <c r="L15" s="150"/>
      <c r="M15" s="3"/>
      <c r="N15" s="3"/>
      <c r="O15" s="3"/>
      <c r="P15" s="3"/>
      <c r="Q15" s="3"/>
      <c r="R15" s="3"/>
      <c r="S15" s="3"/>
      <c r="T15" s="3"/>
      <c r="U15" s="3"/>
    </row>
    <row r="16" spans="2:21" ht="15.75" x14ac:dyDescent="0.25">
      <c r="B16" s="145"/>
      <c r="C16" s="145" t="s">
        <v>91</v>
      </c>
      <c r="D16" s="145"/>
      <c r="E16" s="145"/>
      <c r="F16" s="175"/>
      <c r="G16" s="176">
        <f>'Flock assumptions'!J33/'Flock assumptions'!D6</f>
        <v>1.0365</v>
      </c>
      <c r="H16" s="177" t="s">
        <v>112</v>
      </c>
      <c r="I16" s="148">
        <f>('Feed assumptions'!C35*'Cost assumptions'!D7)+('Feed assumptions'!C36*'Cost assumptions'!D8)</f>
        <v>46.5625</v>
      </c>
      <c r="J16" s="172">
        <f>'Feed assumptions'!F37</f>
        <v>48.262031249999993</v>
      </c>
      <c r="K16" s="149">
        <f>J16*'Flock assumptions'!$D$6</f>
        <v>2413.1015624999995</v>
      </c>
      <c r="L16" s="150"/>
      <c r="M16" s="3"/>
      <c r="N16" s="178" t="s">
        <v>307</v>
      </c>
      <c r="O16" s="178"/>
      <c r="P16" s="178"/>
      <c r="Q16" s="178"/>
      <c r="R16" s="178"/>
      <c r="S16" s="178"/>
      <c r="T16" s="178"/>
      <c r="U16" s="178"/>
    </row>
    <row r="17" spans="2:22" ht="15.75" x14ac:dyDescent="0.25">
      <c r="B17" s="145"/>
      <c r="C17" s="145" t="s">
        <v>17</v>
      </c>
      <c r="D17" s="145"/>
      <c r="E17" s="145"/>
      <c r="F17" s="175"/>
      <c r="G17" s="179">
        <f>'Feed assumptions'!F46/'Flock assumptions'!D6</f>
        <v>535.077</v>
      </c>
      <c r="H17" s="147" t="s">
        <v>111</v>
      </c>
      <c r="I17" s="180">
        <f>'Feed assumptions'!G59</f>
        <v>3.8834415420584335E-2</v>
      </c>
      <c r="J17" s="172">
        <f>'Feed assumptions'!H46</f>
        <v>20.7794025</v>
      </c>
      <c r="K17" s="149">
        <f>J17*'Flock assumptions'!$D$6</f>
        <v>1038.9701250000001</v>
      </c>
      <c r="L17" s="150"/>
      <c r="M17" s="3"/>
      <c r="N17" s="181"/>
      <c r="O17" s="181"/>
      <c r="P17" s="181"/>
      <c r="Q17" s="181" t="s">
        <v>4</v>
      </c>
      <c r="R17" s="181" t="s">
        <v>4</v>
      </c>
      <c r="S17" s="181" t="s">
        <v>13</v>
      </c>
      <c r="T17" s="181" t="s">
        <v>125</v>
      </c>
      <c r="U17" s="181"/>
    </row>
    <row r="18" spans="2:22" ht="15.75" x14ac:dyDescent="0.25">
      <c r="B18" s="145"/>
      <c r="C18" s="145" t="s">
        <v>95</v>
      </c>
      <c r="D18" s="145"/>
      <c r="E18" s="145"/>
      <c r="F18" s="175"/>
      <c r="G18" s="182">
        <f>'Feed assumptions'!F52/'Flock assumptions'!D6</f>
        <v>66.460464000000002</v>
      </c>
      <c r="H18" s="147" t="s">
        <v>111</v>
      </c>
      <c r="I18" s="180">
        <f>'Feed assumptions'!G60</f>
        <v>0.13748536560929758</v>
      </c>
      <c r="J18" s="172">
        <f>'Feed assumptions'!H52</f>
        <v>9.1373411916035607</v>
      </c>
      <c r="K18" s="149">
        <f>J18*'Flock assumptions'!$D$6</f>
        <v>456.86705958017802</v>
      </c>
      <c r="L18" s="150"/>
      <c r="M18" s="3"/>
      <c r="N18" s="181"/>
      <c r="O18" s="181"/>
      <c r="P18" s="181"/>
      <c r="Q18" s="181" t="s">
        <v>131</v>
      </c>
      <c r="R18" s="181" t="s">
        <v>131</v>
      </c>
      <c r="S18" s="181" t="s">
        <v>271</v>
      </c>
      <c r="T18" s="181" t="s">
        <v>126</v>
      </c>
      <c r="U18" s="181" t="s">
        <v>13</v>
      </c>
    </row>
    <row r="19" spans="2:22" ht="15.75" x14ac:dyDescent="0.25">
      <c r="B19" s="145"/>
      <c r="C19" s="145" t="s">
        <v>96</v>
      </c>
      <c r="D19" s="145"/>
      <c r="E19" s="145"/>
      <c r="F19" s="175"/>
      <c r="G19" s="183">
        <f>'Feed assumptions'!F54/100</f>
        <v>5.8409950000000004</v>
      </c>
      <c r="H19" s="147" t="s">
        <v>111</v>
      </c>
      <c r="I19" s="180">
        <f>'Cost assumptions'!D16/100</f>
        <v>0.6</v>
      </c>
      <c r="J19" s="172">
        <f>'Feed assumptions'!H54</f>
        <v>7.0091939999999999</v>
      </c>
      <c r="K19" s="149">
        <f>J19*'Flock assumptions'!$D$6</f>
        <v>350.4597</v>
      </c>
      <c r="L19" s="150"/>
      <c r="M19" s="3"/>
      <c r="N19" s="184"/>
      <c r="O19" s="184"/>
      <c r="P19" s="184" t="s">
        <v>75</v>
      </c>
      <c r="Q19" s="184" t="s">
        <v>270</v>
      </c>
      <c r="R19" s="184" t="s">
        <v>220</v>
      </c>
      <c r="S19" s="184" t="s">
        <v>189</v>
      </c>
      <c r="T19" s="184" t="s">
        <v>370</v>
      </c>
      <c r="U19" s="184" t="s">
        <v>273</v>
      </c>
    </row>
    <row r="20" spans="2:22" ht="15.75" x14ac:dyDescent="0.25">
      <c r="B20" s="145"/>
      <c r="C20" s="145" t="s">
        <v>295</v>
      </c>
      <c r="D20" s="145"/>
      <c r="E20" s="145"/>
      <c r="F20" s="145"/>
      <c r="G20" s="145"/>
      <c r="H20" s="138"/>
      <c r="I20" s="164"/>
      <c r="J20" s="172">
        <f>'Other assumptions'!G21</f>
        <v>5.4749333333333334</v>
      </c>
      <c r="K20" s="149">
        <f>J20*'Flock assumptions'!$D$6</f>
        <v>273.74666666666667</v>
      </c>
      <c r="L20" s="150"/>
      <c r="M20" s="3"/>
      <c r="N20" s="143" t="s">
        <v>91</v>
      </c>
      <c r="O20" s="143"/>
      <c r="P20" s="185" t="s">
        <v>112</v>
      </c>
      <c r="Q20" s="253">
        <f>'Flock assumptions'!D30</f>
        <v>0.6</v>
      </c>
      <c r="R20" s="186">
        <f>'Flock assumptions'!D31</f>
        <v>0.25</v>
      </c>
      <c r="S20" s="186">
        <f>'Flock assumptions'!J33/'Flock assumptions'!$D$6</f>
        <v>1.0365</v>
      </c>
      <c r="T20" s="187">
        <f>('Feed assumptions'!C35*'Cost assumptions'!D7)+('Feed assumptions'!C36*'Cost assumptions'!D8)</f>
        <v>46.5625</v>
      </c>
      <c r="U20" s="187">
        <f>S20*T20</f>
        <v>48.26203125</v>
      </c>
    </row>
    <row r="21" spans="2:22" ht="15.75" x14ac:dyDescent="0.25">
      <c r="B21" s="145"/>
      <c r="C21" s="31" t="s">
        <v>296</v>
      </c>
      <c r="D21" s="31"/>
      <c r="E21" s="31"/>
      <c r="F21" s="31"/>
      <c r="G21" s="31"/>
      <c r="H21" s="188"/>
      <c r="I21" s="189"/>
      <c r="J21" s="172">
        <f>'Flock assumptions'!I16+'Other assumptions'!F30</f>
        <v>13.546800000000001</v>
      </c>
      <c r="K21" s="149">
        <f>J21*'Flock assumptions'!$D$6</f>
        <v>677.34</v>
      </c>
      <c r="L21" s="150"/>
      <c r="M21" s="3"/>
      <c r="N21" s="156" t="s">
        <v>17</v>
      </c>
      <c r="O21" s="156"/>
      <c r="P21" s="190" t="s">
        <v>111</v>
      </c>
      <c r="Q21" s="254">
        <f>'Feed assumptions'!D46</f>
        <v>514.49711538461543</v>
      </c>
      <c r="R21" s="255">
        <f>'Feed assumptions'!E46</f>
        <v>0</v>
      </c>
      <c r="S21" s="254">
        <f>'Feed assumptions'!F46/'Flock assumptions'!D6</f>
        <v>535.077</v>
      </c>
      <c r="T21" s="191">
        <f>'Feed assumptions'!G46/('Feed assumptions'!F46)</f>
        <v>3.8834415420584328E-2</v>
      </c>
      <c r="U21" s="191">
        <f>'Feed assumptions'!H46</f>
        <v>20.7794025</v>
      </c>
    </row>
    <row r="22" spans="2:22" ht="15.75" x14ac:dyDescent="0.25">
      <c r="B22" s="145"/>
      <c r="C22" s="145" t="s">
        <v>297</v>
      </c>
      <c r="D22" s="145"/>
      <c r="E22" s="145"/>
      <c r="F22" s="145"/>
      <c r="G22" s="145"/>
      <c r="H22" s="138"/>
      <c r="I22" s="164"/>
      <c r="J22" s="172">
        <f>'Other assumptions'!F29+'Other assumptions'!F27</f>
        <v>3.25</v>
      </c>
      <c r="K22" s="149">
        <f>J22*'Flock assumptions'!$D$6</f>
        <v>162.5</v>
      </c>
      <c r="L22" s="150"/>
      <c r="M22" s="3"/>
      <c r="N22" s="156" t="s">
        <v>95</v>
      </c>
      <c r="O22" s="156"/>
      <c r="P22" s="190" t="s">
        <v>111</v>
      </c>
      <c r="Q22" s="254">
        <f>'Feed assumptions'!D52</f>
        <v>57.002884615384616</v>
      </c>
      <c r="R22" s="254">
        <f>'Feed assumptions'!E52</f>
        <v>4.4215500000000008</v>
      </c>
      <c r="S22" s="254">
        <f>'Feed assumptions'!F52/'Flock assumptions'!D6</f>
        <v>66.460464000000002</v>
      </c>
      <c r="T22" s="256">
        <f>'Feed assumptions'!G52/'Feed assumptions'!F52</f>
        <v>0.13748536560929756</v>
      </c>
      <c r="U22" s="191">
        <f>'Feed assumptions'!H52</f>
        <v>9.1373411916035607</v>
      </c>
    </row>
    <row r="23" spans="2:22" ht="15.75" x14ac:dyDescent="0.25">
      <c r="B23" s="145"/>
      <c r="C23" s="145" t="s">
        <v>38</v>
      </c>
      <c r="D23" s="145"/>
      <c r="E23" s="145"/>
      <c r="F23" s="145"/>
      <c r="G23" s="358">
        <f>'Other assumptions'!D28</f>
        <v>7.0000000000000007E-2</v>
      </c>
      <c r="H23" s="147" t="s">
        <v>153</v>
      </c>
      <c r="I23" s="164"/>
      <c r="J23" s="172">
        <f>J11*G23</f>
        <v>30.917810000000003</v>
      </c>
      <c r="K23" s="149">
        <f>J23*'Flock assumptions'!$D$6</f>
        <v>1545.8905000000002</v>
      </c>
      <c r="L23" s="150"/>
      <c r="M23" s="3"/>
      <c r="N23" s="31" t="s">
        <v>96</v>
      </c>
      <c r="O23" s="31"/>
      <c r="P23" s="193" t="s">
        <v>111</v>
      </c>
      <c r="Q23" s="146">
        <f>'Feed assumptions'!D54</f>
        <v>7.9778846153846166</v>
      </c>
      <c r="R23" s="146">
        <f>'Feed assumptions'!E54</f>
        <v>5.290962962962964</v>
      </c>
      <c r="S23" s="146">
        <f>'Feed assumptions'!F54/'Flock assumptions'!D6</f>
        <v>11.681990000000001</v>
      </c>
      <c r="T23" s="148">
        <f>'Cost assumptions'!D16/100</f>
        <v>0.6</v>
      </c>
      <c r="U23" s="148">
        <f>'Feed assumptions'!H54</f>
        <v>7.0091939999999999</v>
      </c>
    </row>
    <row r="24" spans="2:22" ht="15.75" x14ac:dyDescent="0.25">
      <c r="B24" s="145"/>
      <c r="C24" s="31" t="s">
        <v>298</v>
      </c>
      <c r="D24" s="31"/>
      <c r="E24" s="31"/>
      <c r="F24" s="31"/>
      <c r="G24" s="31"/>
      <c r="H24" s="214"/>
      <c r="I24" s="189"/>
      <c r="J24" s="172">
        <f>'Other assumptions'!D31*'Other assumptions'!E31</f>
        <v>0</v>
      </c>
      <c r="K24" s="149">
        <f>J24*'Flock assumptions'!$D$6</f>
        <v>0</v>
      </c>
      <c r="L24" s="150"/>
      <c r="M24" s="3"/>
      <c r="N24" s="195" t="s">
        <v>154</v>
      </c>
      <c r="O24" s="195"/>
      <c r="P24" s="196" t="s">
        <v>151</v>
      </c>
      <c r="Q24" s="197">
        <f>'Cost assumptions'!D22</f>
        <v>2.75</v>
      </c>
      <c r="R24" s="197">
        <f>'Cost assumptions'!D23</f>
        <v>0.5</v>
      </c>
      <c r="S24" s="197">
        <f>'Cost assumptions'!E24/'Flock assumptions'!D6</f>
        <v>3.71</v>
      </c>
      <c r="T24" s="198">
        <f>'Cost assumptions'!D21</f>
        <v>22</v>
      </c>
      <c r="U24" s="198">
        <f>'Cost assumptions'!F24</f>
        <v>81.62</v>
      </c>
    </row>
    <row r="25" spans="2:22" ht="15.75" x14ac:dyDescent="0.25">
      <c r="B25" s="145"/>
      <c r="C25" s="145" t="s">
        <v>299</v>
      </c>
      <c r="D25" s="145"/>
      <c r="E25" s="145"/>
      <c r="F25" s="145"/>
      <c r="G25" s="145"/>
      <c r="H25" s="147"/>
      <c r="I25" s="164"/>
      <c r="J25" s="172">
        <f>'Buildings &amp; machinery'!G54</f>
        <v>24.144967000000001</v>
      </c>
      <c r="K25" s="149">
        <f>J25*'Flock assumptions'!$D$6</f>
        <v>1207.2483500000001</v>
      </c>
      <c r="L25" s="150"/>
      <c r="M25" s="3"/>
      <c r="N25" s="29"/>
      <c r="O25" s="29"/>
      <c r="P25" s="29"/>
      <c r="Q25" s="29"/>
      <c r="R25" s="29"/>
      <c r="S25" s="29"/>
      <c r="T25" s="29"/>
      <c r="U25" s="29"/>
    </row>
    <row r="26" spans="2:22" ht="15.75" x14ac:dyDescent="0.25">
      <c r="B26" s="145"/>
      <c r="C26" s="145" t="s">
        <v>300</v>
      </c>
      <c r="D26" s="145"/>
      <c r="E26" s="145"/>
      <c r="F26" s="145"/>
      <c r="G26" s="145"/>
      <c r="H26" s="147"/>
      <c r="I26" s="164"/>
      <c r="J26" s="172">
        <f>'Buildings &amp; machinery'!G53</f>
        <v>3.9</v>
      </c>
      <c r="K26" s="149">
        <f>J26*'Flock assumptions'!$D$6</f>
        <v>195</v>
      </c>
      <c r="L26" s="150"/>
      <c r="M26" s="3"/>
      <c r="N26" s="3"/>
      <c r="O26" s="3"/>
      <c r="P26" s="3"/>
      <c r="Q26" s="3"/>
      <c r="R26" s="3"/>
      <c r="S26" s="3"/>
      <c r="T26" s="3"/>
      <c r="U26" s="3"/>
    </row>
    <row r="27" spans="2:22" ht="15.75" x14ac:dyDescent="0.25">
      <c r="B27" s="145"/>
      <c r="C27" s="145" t="s">
        <v>301</v>
      </c>
      <c r="D27" s="145"/>
      <c r="E27" s="145"/>
      <c r="F27" s="145"/>
      <c r="G27" s="170">
        <f>'Cost assumptions'!E24/'Flock assumptions'!D6</f>
        <v>3.71</v>
      </c>
      <c r="H27" s="147" t="s">
        <v>151</v>
      </c>
      <c r="I27" s="148">
        <f>'Cost assumptions'!D21</f>
        <v>22</v>
      </c>
      <c r="J27" s="172">
        <f>'Cost assumptions'!F24</f>
        <v>81.62</v>
      </c>
      <c r="K27" s="149">
        <f>J27*'Flock assumptions'!$D$6</f>
        <v>4081</v>
      </c>
      <c r="L27" s="150"/>
      <c r="M27" s="3"/>
      <c r="N27" s="178" t="s">
        <v>308</v>
      </c>
      <c r="O27" s="178"/>
      <c r="P27" s="178"/>
      <c r="Q27" s="178"/>
      <c r="R27" s="178"/>
      <c r="S27" s="178"/>
      <c r="T27" s="178"/>
      <c r="U27" s="178"/>
      <c r="V27"/>
    </row>
    <row r="28" spans="2:22" ht="15.75" x14ac:dyDescent="0.25">
      <c r="B28" s="145"/>
      <c r="C28" s="145" t="s">
        <v>90</v>
      </c>
      <c r="D28" s="145"/>
      <c r="E28" s="145"/>
      <c r="F28" s="145"/>
      <c r="G28" s="170">
        <f>'Cost assumptions'!D34*100</f>
        <v>7.2499999999999991</v>
      </c>
      <c r="H28" s="147" t="s">
        <v>153</v>
      </c>
      <c r="I28" s="200"/>
      <c r="J28" s="201">
        <f>'Other assumptions'!K13</f>
        <v>9.8512535605746923</v>
      </c>
      <c r="K28" s="155">
        <f>J28*'Flock assumptions'!$D$6</f>
        <v>492.56267802873464</v>
      </c>
      <c r="L28" s="150"/>
      <c r="M28" s="3"/>
      <c r="N28" s="145"/>
      <c r="O28" s="145"/>
      <c r="P28" s="145"/>
      <c r="Q28" s="145"/>
      <c r="R28" s="202"/>
      <c r="S28" s="202"/>
      <c r="T28" s="202" t="s">
        <v>22</v>
      </c>
      <c r="U28" s="202"/>
      <c r="V28"/>
    </row>
    <row r="29" spans="2:22" ht="15.75" x14ac:dyDescent="0.25">
      <c r="B29" s="24"/>
      <c r="C29" s="158"/>
      <c r="D29" s="158"/>
      <c r="E29" s="159" t="s">
        <v>265</v>
      </c>
      <c r="F29" s="158"/>
      <c r="G29" s="158"/>
      <c r="H29" s="160"/>
      <c r="I29" s="161"/>
      <c r="J29" s="162">
        <f>SUM(J14:J28)</f>
        <v>306.31873283551158</v>
      </c>
      <c r="K29" s="163">
        <f>SUM(K14:K28)</f>
        <v>15315.936641775579</v>
      </c>
      <c r="L29" s="162"/>
      <c r="M29" s="3"/>
      <c r="N29" s="203"/>
      <c r="O29" s="203"/>
      <c r="P29" s="203"/>
      <c r="Q29" s="184" t="s">
        <v>75</v>
      </c>
      <c r="R29" s="42" t="s">
        <v>143</v>
      </c>
      <c r="S29" s="42" t="s">
        <v>123</v>
      </c>
      <c r="T29" s="42" t="s">
        <v>272</v>
      </c>
      <c r="U29" s="42" t="s">
        <v>221</v>
      </c>
      <c r="V29"/>
    </row>
    <row r="30" spans="2:22" ht="15.75" x14ac:dyDescent="0.25">
      <c r="B30" s="145"/>
      <c r="C30" s="158"/>
      <c r="D30" s="158"/>
      <c r="E30" s="158"/>
      <c r="F30" s="158"/>
      <c r="G30" s="158"/>
      <c r="H30" s="160"/>
      <c r="I30" s="161"/>
      <c r="J30" s="204"/>
      <c r="K30" s="204"/>
      <c r="L30" s="204"/>
      <c r="M30" s="3"/>
      <c r="N30" s="205" t="s">
        <v>144</v>
      </c>
      <c r="O30" s="205"/>
      <c r="P30" s="205"/>
      <c r="Q30" s="193" t="s">
        <v>184</v>
      </c>
      <c r="R30" s="206">
        <f>'Buildings &amp; machinery'!E61</f>
        <v>50</v>
      </c>
      <c r="S30" s="207">
        <f>'Buildings &amp; machinery'!D61</f>
        <v>326.20250000000004</v>
      </c>
      <c r="T30" s="208">
        <f>'Buildings &amp; machinery'!F61</f>
        <v>16310.125000000002</v>
      </c>
      <c r="U30" s="208">
        <f>'Buildings &amp; machinery'!G61</f>
        <v>326.20250000000004</v>
      </c>
      <c r="V30"/>
    </row>
    <row r="31" spans="2:22" ht="15.75" x14ac:dyDescent="0.25">
      <c r="B31" s="139" t="s">
        <v>39</v>
      </c>
      <c r="C31" s="167"/>
      <c r="D31" s="167"/>
      <c r="E31" s="167"/>
      <c r="F31" s="40"/>
      <c r="G31" s="40" t="s">
        <v>152</v>
      </c>
      <c r="H31" s="140" t="s">
        <v>75</v>
      </c>
      <c r="I31" s="40"/>
      <c r="J31" s="141" t="s">
        <v>244</v>
      </c>
      <c r="K31" s="141" t="s">
        <v>267</v>
      </c>
      <c r="L31" s="168"/>
      <c r="M31" s="3"/>
      <c r="N31" s="205" t="s">
        <v>122</v>
      </c>
      <c r="O31" s="205"/>
      <c r="P31" s="205"/>
      <c r="Q31" s="205"/>
      <c r="R31" s="205"/>
      <c r="S31" s="205"/>
      <c r="T31" s="208">
        <f>'Buildings &amp; machinery'!F62</f>
        <v>11500</v>
      </c>
      <c r="U31" s="208">
        <f>'Buildings &amp; machinery'!G62</f>
        <v>230</v>
      </c>
      <c r="V31"/>
    </row>
    <row r="32" spans="2:22" ht="15.75" x14ac:dyDescent="0.25">
      <c r="B32" s="145"/>
      <c r="C32" s="145" t="s">
        <v>302</v>
      </c>
      <c r="D32" s="209"/>
      <c r="E32" s="209"/>
      <c r="F32" s="209"/>
      <c r="G32" s="209"/>
      <c r="H32" s="138"/>
      <c r="I32" s="164"/>
      <c r="J32" s="172">
        <f>SUM('Other assumptions'!F32:F34)</f>
        <v>4.5</v>
      </c>
      <c r="K32" s="149">
        <f>J32*'Flock assumptions'!$D$6</f>
        <v>225</v>
      </c>
      <c r="L32" s="150"/>
      <c r="M32" s="3"/>
      <c r="N32" s="208" t="s">
        <v>371</v>
      </c>
      <c r="O32" s="208"/>
      <c r="P32" s="208"/>
      <c r="Q32" s="208"/>
      <c r="R32" s="208"/>
      <c r="S32" s="208"/>
      <c r="T32" s="208">
        <f>'Buildings &amp; machinery'!F63</f>
        <v>26000</v>
      </c>
      <c r="U32" s="208">
        <f>'Buildings &amp; machinery'!G63</f>
        <v>520</v>
      </c>
      <c r="V32"/>
    </row>
    <row r="33" spans="2:22" ht="15.75" x14ac:dyDescent="0.25">
      <c r="B33" s="145"/>
      <c r="C33" s="145" t="s">
        <v>303</v>
      </c>
      <c r="D33" s="145"/>
      <c r="E33" s="145"/>
      <c r="F33" s="145"/>
      <c r="G33" s="145"/>
      <c r="H33" s="138"/>
      <c r="I33" s="164"/>
      <c r="J33" s="172">
        <f>'Buildings &amp; machinery'!F56</f>
        <v>11</v>
      </c>
      <c r="K33" s="149">
        <f>J33*'Flock assumptions'!$D$6</f>
        <v>550</v>
      </c>
      <c r="L33" s="150"/>
      <c r="M33" s="3"/>
      <c r="N33" s="210"/>
      <c r="O33" s="210"/>
      <c r="P33" s="210"/>
      <c r="Q33" s="203"/>
      <c r="R33" s="203"/>
      <c r="S33" s="42" t="s">
        <v>13</v>
      </c>
      <c r="T33" s="211">
        <f>'Buildings &amp; machinery'!F64</f>
        <v>53810.125</v>
      </c>
      <c r="U33" s="212">
        <f>'Buildings &amp; machinery'!G64</f>
        <v>1076.2025000000001</v>
      </c>
      <c r="V33"/>
    </row>
    <row r="34" spans="2:22" ht="15.75" x14ac:dyDescent="0.25">
      <c r="B34" s="145"/>
      <c r="C34" s="145" t="s">
        <v>304</v>
      </c>
      <c r="D34" s="145"/>
      <c r="E34" s="145"/>
      <c r="F34" s="145"/>
      <c r="G34" s="145"/>
      <c r="H34" s="138"/>
      <c r="I34" s="164"/>
      <c r="J34" s="172">
        <f>'Buildings &amp; machinery'!E56</f>
        <v>37.958333333333336</v>
      </c>
      <c r="K34" s="149">
        <f>J34*'Flock assumptions'!$D$6</f>
        <v>1897.9166666666667</v>
      </c>
      <c r="L34" s="150"/>
      <c r="M34" s="3"/>
      <c r="N34" s="213" t="s">
        <v>163</v>
      </c>
      <c r="O34" s="29"/>
      <c r="P34" s="29"/>
      <c r="Q34" s="29"/>
      <c r="R34" s="29"/>
      <c r="S34" s="29"/>
      <c r="T34" s="29"/>
      <c r="U34" s="29"/>
      <c r="V34"/>
    </row>
    <row r="35" spans="2:22" ht="15.75" x14ac:dyDescent="0.25">
      <c r="B35" s="145"/>
      <c r="C35" s="145" t="s">
        <v>305</v>
      </c>
      <c r="D35" s="145"/>
      <c r="E35" s="145"/>
      <c r="F35" s="31"/>
      <c r="G35" s="170">
        <f>'Cost assumptions'!D36*100</f>
        <v>7.0000000000000009</v>
      </c>
      <c r="H35" s="214" t="s">
        <v>153</v>
      </c>
      <c r="I35" s="215"/>
      <c r="J35" s="201">
        <f>'Buildings &amp; machinery'!D56</f>
        <v>38.452925000000008</v>
      </c>
      <c r="K35" s="155">
        <f>J35*'Flock assumptions'!$D$6</f>
        <v>1922.6462500000005</v>
      </c>
      <c r="L35" s="150"/>
      <c r="M35" s="13"/>
      <c r="N35" s="351"/>
      <c r="O35" s="351"/>
      <c r="P35" s="351"/>
      <c r="Q35" s="351"/>
      <c r="R35" s="351"/>
      <c r="S35" s="351"/>
      <c r="T35" s="351"/>
      <c r="U35" s="351"/>
      <c r="V35" s="352"/>
    </row>
    <row r="36" spans="2:22" ht="15.75" customHeight="1" x14ac:dyDescent="0.25">
      <c r="B36" s="145"/>
      <c r="C36" s="158"/>
      <c r="D36" s="158"/>
      <c r="E36" s="159" t="s">
        <v>266</v>
      </c>
      <c r="F36" s="158"/>
      <c r="G36" s="158"/>
      <c r="H36" s="158"/>
      <c r="I36" s="159"/>
      <c r="J36" s="162">
        <f>SUM(J32:J35)</f>
        <v>91.911258333333336</v>
      </c>
      <c r="K36" s="163">
        <f>SUM(K32:K35)</f>
        <v>4595.5629166666677</v>
      </c>
      <c r="L36" s="162"/>
      <c r="M36" s="13"/>
      <c r="N36" s="353"/>
      <c r="O36" s="353"/>
      <c r="P36" s="353"/>
      <c r="Q36" s="353"/>
      <c r="R36" s="353"/>
      <c r="S36" s="353"/>
      <c r="T36" s="353"/>
      <c r="U36" s="353"/>
      <c r="V36" s="352"/>
    </row>
    <row r="37" spans="2:22" ht="15" customHeight="1" x14ac:dyDescent="0.25">
      <c r="B37" s="145"/>
      <c r="C37" s="145"/>
      <c r="D37" s="145"/>
      <c r="E37" s="145"/>
      <c r="F37" s="145"/>
      <c r="G37" s="145"/>
      <c r="H37" s="145"/>
      <c r="I37" s="202"/>
      <c r="J37" s="168"/>
      <c r="K37" s="217"/>
      <c r="L37" s="168"/>
      <c r="M37" s="13"/>
      <c r="N37" s="353"/>
      <c r="O37" s="353"/>
      <c r="P37" s="353"/>
      <c r="Q37" s="353"/>
      <c r="R37" s="353"/>
      <c r="S37" s="353"/>
      <c r="T37" s="353"/>
      <c r="U37" s="353"/>
      <c r="V37" s="352"/>
    </row>
    <row r="38" spans="2:22" ht="15" customHeight="1" x14ac:dyDescent="0.25">
      <c r="B38" s="145"/>
      <c r="C38" s="158"/>
      <c r="D38" s="158"/>
      <c r="E38" s="260" t="s">
        <v>372</v>
      </c>
      <c r="F38" s="3"/>
      <c r="G38" s="3"/>
      <c r="H38" s="3"/>
      <c r="I38" s="359"/>
      <c r="J38" s="162">
        <f>J39-SUM(J35,J34,J27)</f>
        <v>240.19873283551155</v>
      </c>
      <c r="K38" s="163">
        <f>K39-SUM(K35,K34,K27)</f>
        <v>12009.936641775579</v>
      </c>
      <c r="L38" s="162"/>
      <c r="M38" s="13"/>
      <c r="N38" s="353"/>
      <c r="O38" s="353"/>
      <c r="P38" s="353"/>
      <c r="Q38" s="353"/>
      <c r="R38" s="353"/>
      <c r="S38" s="353"/>
      <c r="T38" s="353"/>
      <c r="U38" s="353"/>
      <c r="V38" s="352"/>
    </row>
    <row r="39" spans="2:22" ht="15" customHeight="1" x14ac:dyDescent="0.25">
      <c r="B39" s="203"/>
      <c r="C39" s="218"/>
      <c r="D39" s="218"/>
      <c r="E39" s="219" t="s">
        <v>245</v>
      </c>
      <c r="F39" s="218"/>
      <c r="G39" s="218"/>
      <c r="H39" s="218"/>
      <c r="I39" s="219"/>
      <c r="J39" s="347">
        <f>J29+J36</f>
        <v>398.22999116884489</v>
      </c>
      <c r="K39" s="348">
        <f>K29+K36</f>
        <v>19911.499558442247</v>
      </c>
      <c r="L39" s="168"/>
      <c r="M39" s="13"/>
      <c r="N39" s="353"/>
      <c r="O39" s="353"/>
      <c r="P39" s="353"/>
      <c r="Q39" s="353"/>
      <c r="R39" s="353"/>
      <c r="S39" s="353"/>
      <c r="T39" s="353"/>
      <c r="U39" s="353"/>
      <c r="V39" s="352"/>
    </row>
    <row r="40" spans="2:22" ht="15.75" x14ac:dyDescent="0.25">
      <c r="B40" s="242" t="s">
        <v>373</v>
      </c>
      <c r="C40" s="3"/>
      <c r="D40" s="3"/>
      <c r="E40" s="3"/>
      <c r="F40" s="3"/>
      <c r="G40" s="3"/>
      <c r="H40" s="3"/>
      <c r="I40" s="3"/>
      <c r="J40" s="162">
        <f>J11-J38</f>
        <v>201.48426716448844</v>
      </c>
      <c r="K40" s="163">
        <f>K11-K38</f>
        <v>10074.213358224422</v>
      </c>
      <c r="L40" s="150"/>
      <c r="M40" s="13"/>
      <c r="N40" s="353"/>
      <c r="O40" s="353"/>
      <c r="P40" s="353"/>
      <c r="Q40" s="353"/>
      <c r="R40" s="353"/>
      <c r="S40" s="353"/>
      <c r="T40" s="353"/>
      <c r="U40" s="353"/>
      <c r="V40" s="352"/>
    </row>
    <row r="41" spans="2:22" ht="15.75" x14ac:dyDescent="0.25">
      <c r="B41" s="158" t="s">
        <v>363</v>
      </c>
      <c r="C41" s="33"/>
      <c r="D41" s="145"/>
      <c r="E41" s="145"/>
      <c r="F41" s="145"/>
      <c r="G41" s="145"/>
      <c r="H41" s="145"/>
      <c r="I41" s="202"/>
      <c r="J41" s="162">
        <f>J11-J29</f>
        <v>135.36426716448841</v>
      </c>
      <c r="K41" s="163">
        <f>J41*'Flock assumptions'!$D$6</f>
        <v>6768.2133582244205</v>
      </c>
      <c r="L41" s="150"/>
      <c r="M41" s="13"/>
      <c r="N41" s="353"/>
      <c r="O41" s="353"/>
      <c r="P41" s="353"/>
      <c r="Q41" s="353"/>
      <c r="R41" s="353"/>
      <c r="S41" s="353"/>
      <c r="T41" s="353"/>
      <c r="U41" s="353"/>
      <c r="V41" s="352"/>
    </row>
    <row r="42" spans="2:22" ht="15.75" x14ac:dyDescent="0.25">
      <c r="B42" s="218" t="s">
        <v>364</v>
      </c>
      <c r="C42" s="218"/>
      <c r="D42" s="203"/>
      <c r="E42" s="203"/>
      <c r="F42" s="203"/>
      <c r="G42" s="203"/>
      <c r="H42" s="203"/>
      <c r="I42" s="42"/>
      <c r="J42" s="347">
        <f>J11-J39</f>
        <v>43.453008831155103</v>
      </c>
      <c r="K42" s="348">
        <f>J42*'Flock assumptions'!$D$6</f>
        <v>2172.6504415577551</v>
      </c>
      <c r="L42" s="150"/>
      <c r="M42" s="13"/>
      <c r="N42" s="353"/>
      <c r="O42" s="353"/>
      <c r="P42" s="353"/>
      <c r="Q42" s="353"/>
      <c r="R42" s="353"/>
      <c r="S42" s="353"/>
      <c r="T42" s="353"/>
      <c r="U42" s="353"/>
      <c r="V42" s="352"/>
    </row>
    <row r="43" spans="2:22" ht="15.75" x14ac:dyDescent="0.25">
      <c r="B43" s="31"/>
      <c r="C43" s="3"/>
      <c r="D43" s="3"/>
      <c r="E43" s="3"/>
      <c r="F43" s="3"/>
      <c r="G43" s="3"/>
      <c r="H43" s="3"/>
      <c r="I43" s="3"/>
      <c r="J43" s="3"/>
      <c r="K43" s="3"/>
      <c r="L43" s="150"/>
      <c r="M43" s="13"/>
      <c r="N43" s="353"/>
      <c r="O43" s="353"/>
      <c r="P43" s="353"/>
      <c r="Q43" s="353"/>
      <c r="R43" s="353"/>
      <c r="S43" s="353"/>
      <c r="T43" s="353"/>
      <c r="U43" s="353"/>
      <c r="V43" s="352"/>
    </row>
    <row r="44" spans="2:22" ht="15.75" x14ac:dyDescent="0.25">
      <c r="B44" s="24"/>
      <c r="C44" s="220" t="s">
        <v>374</v>
      </c>
      <c r="D44" s="221"/>
      <c r="E44" s="221"/>
      <c r="F44" s="221"/>
      <c r="G44" s="221"/>
      <c r="H44" s="221"/>
      <c r="I44" s="222"/>
      <c r="J44" s="223">
        <f>(J29-J9-J10)/(SUMPRODUCT('Flock assumptions'!I6:I7,'Flock assumptions'!C22:C23))</f>
        <v>2.7625376293902377</v>
      </c>
      <c r="K44" s="150"/>
      <c r="L44" s="150"/>
      <c r="M44" s="13"/>
      <c r="N44" s="353"/>
      <c r="O44" s="353"/>
      <c r="P44" s="353"/>
      <c r="Q44" s="353"/>
      <c r="R44" s="353"/>
      <c r="S44" s="353"/>
      <c r="T44" s="353"/>
      <c r="U44" s="353"/>
      <c r="V44" s="352"/>
    </row>
    <row r="45" spans="2:22" ht="15.75" x14ac:dyDescent="0.25">
      <c r="B45" s="24"/>
      <c r="C45" s="203" t="s">
        <v>375</v>
      </c>
      <c r="D45" s="178"/>
      <c r="E45" s="178"/>
      <c r="F45" s="178"/>
      <c r="G45" s="178"/>
      <c r="H45" s="178"/>
      <c r="I45" s="184"/>
      <c r="J45" s="216">
        <f>(J39-J9-J10)/(SUMPRODUCT('Flock assumptions'!I6:I7,'Flock assumptions'!C22:C23))</f>
        <v>3.6890624109762591</v>
      </c>
      <c r="K45" s="150"/>
      <c r="L45" s="150"/>
      <c r="M45" s="6"/>
      <c r="N45" s="353"/>
      <c r="O45" s="353"/>
      <c r="P45" s="353"/>
      <c r="Q45" s="353"/>
      <c r="R45" s="353"/>
      <c r="S45" s="353"/>
      <c r="T45" s="353"/>
      <c r="U45" s="353"/>
      <c r="V45" s="352"/>
    </row>
    <row r="46" spans="2:22" hidden="1" x14ac:dyDescent="0.25">
      <c r="N46" s="224"/>
      <c r="O46" s="224"/>
      <c r="P46" s="224"/>
      <c r="Q46" s="224"/>
      <c r="R46" s="224"/>
      <c r="S46" s="224"/>
      <c r="T46" s="224"/>
      <c r="U46" s="224"/>
    </row>
    <row r="47" spans="2:22" ht="28.5" hidden="1" customHeight="1" x14ac:dyDescent="0.25">
      <c r="C47" s="225"/>
    </row>
  </sheetData>
  <sheetProtection sheet="1" objects="1" scenarios="1"/>
  <mergeCells count="2">
    <mergeCell ref="B2:L2"/>
    <mergeCell ref="B4:L4"/>
  </mergeCells>
  <pageMargins left="0.7" right="0.7" top="0.75" bottom="0.75" header="0.3" footer="0.3"/>
  <pageSetup scale="90" fitToHeight="0" orientation="portrait" r:id="rId1"/>
  <colBreaks count="1" manualBreakCount="1">
    <brk id="12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Q36"/>
  <sheetViews>
    <sheetView showGridLines="0" zoomScaleNormal="100" workbookViewId="0">
      <selection activeCell="D7" sqref="D7"/>
    </sheetView>
  </sheetViews>
  <sheetFormatPr defaultColWidth="0" defaultRowHeight="15" zeroHeight="1" x14ac:dyDescent="0.25"/>
  <cols>
    <col min="1" max="1" width="3.125" style="1" customWidth="1"/>
    <col min="2" max="2" width="28.5" style="1" customWidth="1"/>
    <col min="3" max="4" width="11.875" style="1" customWidth="1"/>
    <col min="5" max="5" width="10.625" style="1" customWidth="1"/>
    <col min="6" max="6" width="8.375" style="1" customWidth="1"/>
    <col min="7" max="7" width="6.75" style="1" customWidth="1"/>
    <col min="8" max="8" width="3.125" style="1" customWidth="1"/>
    <col min="9" max="9" width="17" style="1" hidden="1" customWidth="1"/>
    <col min="10" max="12" width="9.625" style="1" hidden="1" customWidth="1"/>
    <col min="13" max="16384" width="9" style="1" hidden="1"/>
  </cols>
  <sheetData>
    <row r="1" spans="2:17" x14ac:dyDescent="0.25"/>
    <row r="2" spans="2:17" ht="21" x14ac:dyDescent="0.35">
      <c r="B2" s="371" t="s">
        <v>366</v>
      </c>
      <c r="C2" s="372"/>
      <c r="D2" s="372"/>
      <c r="E2" s="372"/>
      <c r="F2" s="372"/>
      <c r="G2" s="372"/>
      <c r="H2" s="43"/>
      <c r="I2" s="43"/>
      <c r="J2" s="43"/>
      <c r="K2" s="24"/>
      <c r="L2" s="24"/>
      <c r="Q2" s="8"/>
    </row>
    <row r="3" spans="2:17" ht="15.75" customHeight="1" x14ac:dyDescent="0.35">
      <c r="B3" s="124"/>
      <c r="C3" s="124"/>
      <c r="D3" s="131"/>
      <c r="E3" s="131"/>
      <c r="F3" s="131"/>
      <c r="G3" s="131"/>
      <c r="H3" s="43"/>
      <c r="I3" s="43"/>
      <c r="J3" s="43"/>
      <c r="K3" s="24"/>
      <c r="L3" s="24"/>
      <c r="Q3" s="8"/>
    </row>
    <row r="4" spans="2:17" ht="15.75" customHeight="1" x14ac:dyDescent="0.35">
      <c r="B4" s="226" t="s">
        <v>309</v>
      </c>
      <c r="C4" s="124"/>
      <c r="D4" s="124"/>
      <c r="E4" s="124"/>
      <c r="F4" s="124"/>
      <c r="G4" s="124"/>
      <c r="H4" s="43"/>
      <c r="I4" s="43"/>
      <c r="J4" s="43"/>
      <c r="K4" s="24"/>
      <c r="L4" s="24"/>
      <c r="Q4" s="8"/>
    </row>
    <row r="5" spans="2:17" ht="15.75" x14ac:dyDescent="0.25">
      <c r="B5" s="227"/>
      <c r="C5" s="227"/>
      <c r="D5" s="228" t="s">
        <v>321</v>
      </c>
      <c r="E5" s="228" t="s">
        <v>94</v>
      </c>
      <c r="F5" s="62"/>
      <c r="G5" s="62"/>
      <c r="H5" s="24"/>
      <c r="I5" s="24"/>
      <c r="J5" s="24"/>
      <c r="K5" s="24"/>
      <c r="L5" s="24"/>
    </row>
    <row r="6" spans="2:17" ht="15.75" x14ac:dyDescent="0.25">
      <c r="B6" s="229" t="s">
        <v>365</v>
      </c>
      <c r="C6" s="229" t="s">
        <v>75</v>
      </c>
      <c r="D6" s="230" t="s">
        <v>7</v>
      </c>
      <c r="E6" s="230" t="s">
        <v>99</v>
      </c>
      <c r="F6" s="64" t="s">
        <v>14</v>
      </c>
      <c r="G6" s="64" t="s">
        <v>75</v>
      </c>
      <c r="H6" s="24"/>
      <c r="I6" s="24"/>
      <c r="J6" s="24"/>
      <c r="K6" s="24"/>
      <c r="L6" s="24"/>
      <c r="M6" s="24"/>
      <c r="N6" s="24"/>
    </row>
    <row r="7" spans="2:17" ht="15.75" x14ac:dyDescent="0.25">
      <c r="B7" s="25" t="s">
        <v>322</v>
      </c>
      <c r="C7" s="67" t="s">
        <v>285</v>
      </c>
      <c r="D7" s="341">
        <v>40</v>
      </c>
      <c r="E7" s="231"/>
      <c r="F7" s="232"/>
      <c r="G7" s="24"/>
      <c r="H7" s="24"/>
      <c r="I7" s="24"/>
      <c r="J7" s="24"/>
      <c r="K7" s="24"/>
      <c r="L7" s="24"/>
      <c r="M7" s="24"/>
      <c r="N7" s="24"/>
    </row>
    <row r="8" spans="2:17" ht="15.75" x14ac:dyDescent="0.25">
      <c r="B8" s="25" t="s">
        <v>323</v>
      </c>
      <c r="C8" s="67" t="s">
        <v>285</v>
      </c>
      <c r="D8" s="341">
        <v>50</v>
      </c>
      <c r="E8" s="231"/>
      <c r="F8" s="233"/>
      <c r="G8" s="24"/>
      <c r="H8" s="24"/>
      <c r="I8" s="24"/>
      <c r="J8" s="24"/>
      <c r="K8" s="24"/>
      <c r="L8" s="24"/>
      <c r="M8" s="24"/>
      <c r="N8" s="24"/>
    </row>
    <row r="9" spans="2:17" ht="15.75" x14ac:dyDescent="0.25">
      <c r="B9" s="25" t="s">
        <v>324</v>
      </c>
      <c r="C9" s="67" t="s">
        <v>0</v>
      </c>
      <c r="D9" s="341">
        <v>150</v>
      </c>
      <c r="E9" s="86">
        <v>0.12</v>
      </c>
      <c r="F9" s="232"/>
      <c r="G9" s="24"/>
      <c r="H9" s="24"/>
      <c r="I9" s="24"/>
      <c r="J9" s="234"/>
      <c r="K9" s="235"/>
      <c r="L9" s="235"/>
      <c r="M9" s="235"/>
      <c r="N9" s="235"/>
    </row>
    <row r="10" spans="2:17" ht="15.75" x14ac:dyDescent="0.25">
      <c r="B10" s="25" t="s">
        <v>325</v>
      </c>
      <c r="C10" s="67" t="s">
        <v>0</v>
      </c>
      <c r="D10" s="341">
        <v>90</v>
      </c>
      <c r="E10" s="86">
        <v>0.12</v>
      </c>
      <c r="F10" s="24"/>
      <c r="G10" s="24"/>
      <c r="H10" s="24"/>
      <c r="I10" s="24"/>
      <c r="J10" s="234"/>
      <c r="K10" s="235"/>
      <c r="L10" s="235"/>
      <c r="M10" s="235"/>
      <c r="N10" s="235"/>
    </row>
    <row r="11" spans="2:17" ht="15.75" x14ac:dyDescent="0.25">
      <c r="B11" s="25" t="s">
        <v>326</v>
      </c>
      <c r="C11" s="67" t="s">
        <v>0</v>
      </c>
      <c r="D11" s="341">
        <v>65</v>
      </c>
      <c r="E11" s="86">
        <v>0.15</v>
      </c>
      <c r="F11" s="370" t="s">
        <v>283</v>
      </c>
      <c r="G11" s="370"/>
      <c r="H11" s="24"/>
      <c r="L11" s="24"/>
    </row>
    <row r="12" spans="2:17" ht="15.75" x14ac:dyDescent="0.25">
      <c r="B12" s="25" t="s">
        <v>136</v>
      </c>
      <c r="C12" s="67" t="s">
        <v>137</v>
      </c>
      <c r="D12" s="341">
        <v>310</v>
      </c>
      <c r="E12" s="86">
        <v>0.05</v>
      </c>
      <c r="F12" s="236">
        <f>D12*20</f>
        <v>6200</v>
      </c>
      <c r="G12" s="237" t="s">
        <v>155</v>
      </c>
      <c r="H12" s="24"/>
      <c r="L12" s="24"/>
    </row>
    <row r="13" spans="2:17" ht="15.75" x14ac:dyDescent="0.25">
      <c r="B13" s="25" t="s">
        <v>117</v>
      </c>
      <c r="C13" s="67" t="s">
        <v>137</v>
      </c>
      <c r="D13" s="341">
        <v>9.3750083928648209</v>
      </c>
      <c r="E13" s="86">
        <v>0.05</v>
      </c>
      <c r="F13" s="56">
        <f>D13*0.01*56</f>
        <v>5.2500047000042995</v>
      </c>
      <c r="G13" s="237" t="s">
        <v>156</v>
      </c>
      <c r="H13" s="24"/>
      <c r="I13" s="238"/>
      <c r="J13" s="24"/>
      <c r="K13" s="24"/>
      <c r="L13" s="24"/>
    </row>
    <row r="14" spans="2:17" ht="15.75" x14ac:dyDescent="0.25">
      <c r="B14" s="25" t="s">
        <v>317</v>
      </c>
      <c r="C14" s="67" t="s">
        <v>137</v>
      </c>
      <c r="D14" s="341">
        <v>15.75</v>
      </c>
      <c r="E14" s="86">
        <v>0.05</v>
      </c>
      <c r="F14" s="236">
        <f>D14*20</f>
        <v>315</v>
      </c>
      <c r="G14" s="237" t="s">
        <v>155</v>
      </c>
      <c r="H14" s="24"/>
      <c r="I14" s="24"/>
      <c r="J14" s="24"/>
      <c r="K14" s="24"/>
      <c r="L14" s="24"/>
    </row>
    <row r="15" spans="2:17" ht="15.75" x14ac:dyDescent="0.25">
      <c r="B15" s="25" t="s">
        <v>327</v>
      </c>
      <c r="C15" s="67" t="s">
        <v>137</v>
      </c>
      <c r="D15" s="341">
        <v>38</v>
      </c>
      <c r="E15" s="86">
        <v>0.05</v>
      </c>
      <c r="F15" s="236">
        <f>D15*20</f>
        <v>760</v>
      </c>
      <c r="G15" s="237" t="s">
        <v>155</v>
      </c>
      <c r="H15" s="24"/>
      <c r="I15" s="24"/>
      <c r="J15" s="24"/>
      <c r="K15" s="24"/>
      <c r="L15" s="24"/>
    </row>
    <row r="16" spans="2:17" ht="15.75" x14ac:dyDescent="0.25">
      <c r="B16" s="25" t="s">
        <v>132</v>
      </c>
      <c r="C16" s="67" t="s">
        <v>137</v>
      </c>
      <c r="D16" s="341">
        <v>60</v>
      </c>
      <c r="E16" s="86">
        <v>0.05</v>
      </c>
      <c r="F16" s="236">
        <f>D16*20</f>
        <v>1200</v>
      </c>
      <c r="G16" s="237" t="s">
        <v>155</v>
      </c>
      <c r="H16" s="24"/>
      <c r="I16" s="24"/>
      <c r="J16" s="24"/>
      <c r="K16" s="24"/>
      <c r="L16" s="24"/>
      <c r="N16" s="10"/>
    </row>
    <row r="17" spans="2:12" ht="15.75" x14ac:dyDescent="0.25">
      <c r="B17" s="44" t="s">
        <v>66</v>
      </c>
      <c r="C17" s="68" t="s">
        <v>137</v>
      </c>
      <c r="D17" s="342">
        <v>80</v>
      </c>
      <c r="E17" s="87">
        <v>0.01</v>
      </c>
      <c r="F17" s="239">
        <f>D17*20</f>
        <v>1600</v>
      </c>
      <c r="G17" s="240" t="s">
        <v>155</v>
      </c>
      <c r="H17" s="24"/>
      <c r="I17" s="24"/>
      <c r="J17" s="24"/>
      <c r="K17" s="24"/>
      <c r="L17" s="24"/>
    </row>
    <row r="18" spans="2:12" ht="15.75" x14ac:dyDescent="0.25">
      <c r="B18" s="25"/>
      <c r="C18" s="234"/>
      <c r="D18" s="24"/>
      <c r="E18" s="24"/>
      <c r="F18" s="24"/>
      <c r="G18" s="24"/>
      <c r="H18" s="24"/>
      <c r="I18" s="24"/>
      <c r="J18" s="24"/>
      <c r="K18" s="24"/>
      <c r="L18" s="24"/>
    </row>
    <row r="19" spans="2:12" ht="15.75" x14ac:dyDescent="0.25">
      <c r="B19" s="24" t="s">
        <v>338</v>
      </c>
      <c r="C19" s="234"/>
      <c r="D19" s="24"/>
      <c r="E19" s="24"/>
      <c r="F19" s="24"/>
      <c r="G19" s="24"/>
      <c r="H19" s="24"/>
      <c r="I19" s="24"/>
      <c r="J19" s="24"/>
      <c r="K19" s="24"/>
      <c r="L19" s="24"/>
    </row>
    <row r="20" spans="2:12" ht="15.75" x14ac:dyDescent="0.25">
      <c r="B20" s="60" t="s">
        <v>316</v>
      </c>
      <c r="C20" s="89" t="s">
        <v>75</v>
      </c>
      <c r="D20" s="80" t="s">
        <v>143</v>
      </c>
      <c r="E20" s="241" t="s">
        <v>337</v>
      </c>
      <c r="F20" s="241" t="s">
        <v>221</v>
      </c>
      <c r="L20" s="24"/>
    </row>
    <row r="21" spans="2:12" ht="15.75" x14ac:dyDescent="0.25">
      <c r="B21" s="25" t="s">
        <v>288</v>
      </c>
      <c r="C21" s="67" t="s">
        <v>5</v>
      </c>
      <c r="D21" s="341">
        <v>22</v>
      </c>
      <c r="E21" s="242"/>
      <c r="L21" s="24"/>
    </row>
    <row r="22" spans="2:12" ht="15.75" x14ac:dyDescent="0.25">
      <c r="B22" s="25" t="s">
        <v>224</v>
      </c>
      <c r="C22" s="67" t="s">
        <v>336</v>
      </c>
      <c r="D22" s="91">
        <v>2.75</v>
      </c>
      <c r="E22" s="243">
        <f>D22*('Flock assumptions'!D6+'Flock assumptions'!D9)</f>
        <v>143</v>
      </c>
      <c r="F22" s="48">
        <f>(D22*'Cost assumptions'!$D$21*('Flock assumptions'!$D$6+'Flock assumptions'!$D$9))/'Flock assumptions'!$D$6</f>
        <v>62.92</v>
      </c>
      <c r="L22" s="24"/>
    </row>
    <row r="23" spans="2:12" ht="15.75" x14ac:dyDescent="0.25">
      <c r="B23" s="25" t="s">
        <v>225</v>
      </c>
      <c r="C23" s="67" t="s">
        <v>336</v>
      </c>
      <c r="D23" s="346">
        <v>0.5</v>
      </c>
      <c r="E23" s="245">
        <f>D23*'Flock assumptions'!$E$14</f>
        <v>42.5</v>
      </c>
      <c r="F23" s="52">
        <f>(D23*'Flock assumptions'!$E$14*'Cost assumptions'!$D$21)/'Flock assumptions'!$D$6</f>
        <v>18.7</v>
      </c>
      <c r="L23" s="24"/>
    </row>
    <row r="24" spans="2:12" ht="15.75" x14ac:dyDescent="0.25">
      <c r="B24" s="4"/>
      <c r="C24" s="4"/>
      <c r="D24" s="247" t="s">
        <v>13</v>
      </c>
      <c r="E24" s="245">
        <f>SUM(E22:E23)</f>
        <v>185.5</v>
      </c>
      <c r="F24" s="84">
        <f>SUM(F22:F23)</f>
        <v>81.62</v>
      </c>
      <c r="L24" s="24"/>
    </row>
    <row r="25" spans="2:12" ht="15.75" x14ac:dyDescent="0.25">
      <c r="B25" s="25"/>
      <c r="C25" s="234"/>
      <c r="D25" s="24"/>
      <c r="E25" s="24"/>
      <c r="L25" s="24"/>
    </row>
    <row r="26" spans="2:12" ht="15.75" x14ac:dyDescent="0.25">
      <c r="B26" s="24" t="s">
        <v>310</v>
      </c>
      <c r="C26" s="234"/>
      <c r="D26" s="24"/>
      <c r="E26" s="24"/>
      <c r="L26" s="24"/>
    </row>
    <row r="27" spans="2:12" ht="15.75" x14ac:dyDescent="0.25">
      <c r="B27" s="60" t="s">
        <v>316</v>
      </c>
      <c r="C27" s="89" t="s">
        <v>75</v>
      </c>
      <c r="D27" s="81" t="s">
        <v>14</v>
      </c>
      <c r="E27" s="24"/>
      <c r="L27" s="24"/>
    </row>
    <row r="28" spans="2:12" ht="15.75" x14ac:dyDescent="0.25">
      <c r="B28" s="248" t="s">
        <v>2</v>
      </c>
      <c r="C28" s="249" t="s">
        <v>6</v>
      </c>
      <c r="D28" s="343">
        <v>2.9</v>
      </c>
      <c r="E28" s="24"/>
      <c r="L28" s="24"/>
    </row>
    <row r="29" spans="2:12" ht="15.75" x14ac:dyDescent="0.25">
      <c r="B29" s="25" t="s">
        <v>3</v>
      </c>
      <c r="C29" s="67" t="s">
        <v>6</v>
      </c>
      <c r="D29" s="341">
        <f>D28+0.41</f>
        <v>3.31</v>
      </c>
      <c r="E29" s="24"/>
      <c r="L29" s="24"/>
    </row>
    <row r="30" spans="2:12" ht="15.75" x14ac:dyDescent="0.25">
      <c r="B30" s="250" t="s">
        <v>101</v>
      </c>
      <c r="C30" s="251" t="s">
        <v>100</v>
      </c>
      <c r="D30" s="252">
        <v>4.3999999999999997E-2</v>
      </c>
      <c r="E30" s="24"/>
      <c r="F30" s="24"/>
      <c r="G30" s="24"/>
      <c r="H30" s="24"/>
      <c r="I30" s="24"/>
      <c r="J30" s="24"/>
      <c r="K30" s="24"/>
      <c r="L30" s="24"/>
    </row>
    <row r="31" spans="2:12" ht="15.75" x14ac:dyDescent="0.25">
      <c r="B31" s="25"/>
      <c r="C31" s="234"/>
      <c r="D31" s="24"/>
      <c r="E31" s="24"/>
      <c r="F31" s="24"/>
      <c r="G31" s="24"/>
      <c r="H31" s="24"/>
      <c r="I31" s="24"/>
      <c r="J31" s="24"/>
      <c r="K31" s="24"/>
      <c r="L31" s="24"/>
    </row>
    <row r="32" spans="2:12" ht="15.75" x14ac:dyDescent="0.25">
      <c r="B32" s="24" t="s">
        <v>311</v>
      </c>
      <c r="C32" s="234"/>
      <c r="D32" s="24"/>
      <c r="E32" s="24"/>
      <c r="F32" s="24"/>
      <c r="G32" s="24"/>
      <c r="H32" s="24"/>
      <c r="I32" s="24"/>
      <c r="J32" s="24"/>
      <c r="K32" s="24"/>
      <c r="L32" s="24"/>
    </row>
    <row r="33" spans="2:12" ht="15.75" x14ac:dyDescent="0.25">
      <c r="B33" s="60" t="s">
        <v>316</v>
      </c>
      <c r="C33" s="89" t="s">
        <v>75</v>
      </c>
      <c r="D33" s="80" t="s">
        <v>14</v>
      </c>
      <c r="E33" s="24"/>
      <c r="F33" s="24"/>
      <c r="G33" s="24"/>
      <c r="H33" s="24"/>
      <c r="I33" s="24"/>
      <c r="J33" s="24"/>
      <c r="K33" s="24"/>
      <c r="L33" s="24"/>
    </row>
    <row r="34" spans="2:12" ht="15.75" x14ac:dyDescent="0.25">
      <c r="B34" s="248" t="s">
        <v>9</v>
      </c>
      <c r="C34" s="249" t="s">
        <v>284</v>
      </c>
      <c r="D34" s="344">
        <v>7.2499999999999995E-2</v>
      </c>
      <c r="E34" s="24"/>
      <c r="F34" s="24"/>
      <c r="G34" s="24"/>
      <c r="H34" s="24"/>
      <c r="I34" s="24"/>
      <c r="J34" s="24"/>
      <c r="K34" s="24"/>
      <c r="L34" s="24"/>
    </row>
    <row r="35" spans="2:12" ht="15.75" x14ac:dyDescent="0.25">
      <c r="B35" s="25" t="s">
        <v>89</v>
      </c>
      <c r="C35" s="67" t="s">
        <v>88</v>
      </c>
      <c r="D35" s="88">
        <v>0.75</v>
      </c>
      <c r="E35" s="24"/>
      <c r="F35" s="24"/>
      <c r="G35" s="24"/>
      <c r="H35" s="24"/>
      <c r="I35" s="24"/>
      <c r="J35" s="24"/>
      <c r="K35" s="24"/>
      <c r="L35" s="24"/>
    </row>
    <row r="36" spans="2:12" ht="15.75" x14ac:dyDescent="0.25">
      <c r="B36" s="44" t="s">
        <v>256</v>
      </c>
      <c r="C36" s="68" t="s">
        <v>284</v>
      </c>
      <c r="D36" s="345">
        <v>7.0000000000000007E-2</v>
      </c>
      <c r="E36" s="24"/>
      <c r="F36" s="24"/>
      <c r="G36" s="24"/>
      <c r="H36" s="24"/>
      <c r="I36" s="24"/>
      <c r="J36" s="24"/>
      <c r="K36" s="24"/>
      <c r="L36" s="24"/>
    </row>
  </sheetData>
  <sheetProtection sheet="1" objects="1" scenarios="1"/>
  <mergeCells count="2">
    <mergeCell ref="F11:G11"/>
    <mergeCell ref="B2:G2"/>
  </mergeCells>
  <pageMargins left="0.7" right="0.7" top="0.75" bottom="0.75" header="0.3" footer="0.3"/>
  <pageSetup orientation="portrait" r:id="rId1"/>
  <ignoredErrors>
    <ignoredError sqref="F1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P66"/>
  <sheetViews>
    <sheetView showGridLines="0" zoomScaleNormal="100" workbookViewId="0">
      <selection activeCell="I6" sqref="I6:I7"/>
    </sheetView>
  </sheetViews>
  <sheetFormatPr defaultColWidth="0" defaultRowHeight="15" zeroHeight="1" x14ac:dyDescent="0.25"/>
  <cols>
    <col min="1" max="1" width="3.125" style="1" customWidth="1"/>
    <col min="2" max="2" width="36" style="1" customWidth="1"/>
    <col min="3" max="3" width="16.875" style="1" customWidth="1"/>
    <col min="4" max="4" width="10.625" style="1" customWidth="1"/>
    <col min="5" max="5" width="11" style="1" customWidth="1"/>
    <col min="6" max="6" width="3.125" style="1" customWidth="1"/>
    <col min="7" max="7" width="34.875" style="1" customWidth="1"/>
    <col min="8" max="8" width="11.125" style="1" customWidth="1"/>
    <col min="9" max="10" width="10" style="1" customWidth="1"/>
    <col min="11" max="11" width="3.125" style="1" customWidth="1"/>
    <col min="12" max="12" width="13.25" style="1" customWidth="1"/>
    <col min="13" max="13" width="3.125" style="1" customWidth="1"/>
    <col min="14" max="14" width="12.625" style="1" hidden="1" customWidth="1"/>
    <col min="15" max="15" width="13.75" style="1" hidden="1" customWidth="1"/>
    <col min="16" max="16" width="10" style="1" hidden="1" customWidth="1"/>
    <col min="17" max="16384" width="9" style="1" hidden="1"/>
  </cols>
  <sheetData>
    <row r="1" spans="2:16" x14ac:dyDescent="0.25"/>
    <row r="2" spans="2:16" ht="21" x14ac:dyDescent="0.35">
      <c r="B2" s="371" t="s">
        <v>71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2:16" ht="15.75" customHeight="1" x14ac:dyDescent="0.35">
      <c r="B3" s="132" t="s">
        <v>84</v>
      </c>
      <c r="C3" s="130"/>
      <c r="D3" s="130"/>
      <c r="E3" s="130"/>
      <c r="F3" s="124"/>
      <c r="G3" s="133" t="s">
        <v>279</v>
      </c>
      <c r="H3" s="131"/>
      <c r="I3" s="131"/>
      <c r="J3" s="131"/>
      <c r="K3" s="124"/>
      <c r="L3" s="131"/>
    </row>
    <row r="4" spans="2:16" ht="15.75" customHeight="1" x14ac:dyDescent="0.25">
      <c r="B4" s="38" t="s">
        <v>361</v>
      </c>
      <c r="C4" s="47" t="s">
        <v>75</v>
      </c>
      <c r="D4" s="39" t="s">
        <v>14</v>
      </c>
      <c r="E4" s="40" t="s">
        <v>312</v>
      </c>
      <c r="G4" s="62" t="s">
        <v>362</v>
      </c>
      <c r="H4" s="63" t="s">
        <v>14</v>
      </c>
      <c r="I4" s="63" t="s">
        <v>16</v>
      </c>
      <c r="J4" s="63" t="s">
        <v>68</v>
      </c>
      <c r="K4" s="24"/>
      <c r="L4" s="41" t="s">
        <v>113</v>
      </c>
    </row>
    <row r="5" spans="2:16" ht="15.75" x14ac:dyDescent="0.25">
      <c r="B5" s="25" t="s">
        <v>277</v>
      </c>
      <c r="C5" s="67" t="s">
        <v>275</v>
      </c>
      <c r="D5" s="24">
        <v>1</v>
      </c>
      <c r="E5" s="43"/>
      <c r="G5" s="64"/>
      <c r="H5" s="65" t="s">
        <v>10</v>
      </c>
      <c r="I5" s="65" t="s">
        <v>189</v>
      </c>
      <c r="J5" s="65" t="s">
        <v>184</v>
      </c>
      <c r="K5" s="24"/>
      <c r="L5" s="66" t="s">
        <v>120</v>
      </c>
    </row>
    <row r="6" spans="2:16" ht="15.75" x14ac:dyDescent="0.25">
      <c r="B6" s="25" t="s">
        <v>176</v>
      </c>
      <c r="C6" s="67" t="s">
        <v>41</v>
      </c>
      <c r="D6" s="90">
        <v>50</v>
      </c>
      <c r="E6" s="45">
        <f>D6</f>
        <v>50</v>
      </c>
      <c r="G6" s="25" t="str">
        <f>B22</f>
        <v>Heavy kids (singles in crop)</v>
      </c>
      <c r="H6" s="48">
        <f>C22*D22</f>
        <v>295.39999999999998</v>
      </c>
      <c r="I6" s="49">
        <f>((E14-E15-E16)/E6)-I7</f>
        <v>0.32000000000000006</v>
      </c>
      <c r="J6" s="50">
        <f>H6*I6</f>
        <v>94.528000000000006</v>
      </c>
      <c r="K6" s="24"/>
      <c r="L6" s="56">
        <f>J6*$D$6</f>
        <v>4726.4000000000005</v>
      </c>
      <c r="N6" s="18"/>
      <c r="P6" s="19"/>
    </row>
    <row r="7" spans="2:16" ht="15.75" x14ac:dyDescent="0.25">
      <c r="B7" s="25" t="s">
        <v>276</v>
      </c>
      <c r="C7" s="67" t="s">
        <v>275</v>
      </c>
      <c r="D7" s="91">
        <v>85</v>
      </c>
      <c r="E7" s="45"/>
      <c r="G7" s="25" t="str">
        <f>B23</f>
        <v>Light kids (twins in crop)</v>
      </c>
      <c r="H7" s="48">
        <f>C23*D23</f>
        <v>245.99999999999997</v>
      </c>
      <c r="I7" s="49">
        <f>(((E14-E15-E16)-E12)/E6*2)</f>
        <v>1.28</v>
      </c>
      <c r="J7" s="50">
        <f>H7*I7</f>
        <v>314.88</v>
      </c>
      <c r="K7" s="24"/>
      <c r="L7" s="56">
        <f>J7*$D$6</f>
        <v>15744</v>
      </c>
      <c r="N7" s="20"/>
    </row>
    <row r="8" spans="2:16" ht="15.75" x14ac:dyDescent="0.25">
      <c r="B8" s="25" t="s">
        <v>196</v>
      </c>
      <c r="C8" s="67" t="s">
        <v>177</v>
      </c>
      <c r="D8" s="92">
        <v>0.12</v>
      </c>
      <c r="E8" s="45">
        <f>ROUND(D8*E6,0)</f>
        <v>6</v>
      </c>
      <c r="G8" s="25" t="s">
        <v>178</v>
      </c>
      <c r="H8" s="48">
        <f>C25*D25</f>
        <v>197.5</v>
      </c>
      <c r="I8" s="49">
        <f>D8</f>
        <v>0.12</v>
      </c>
      <c r="J8" s="50">
        <f>H8*I8</f>
        <v>23.7</v>
      </c>
      <c r="K8" s="24"/>
      <c r="L8" s="56">
        <f>J8*$D$6</f>
        <v>1185</v>
      </c>
    </row>
    <row r="9" spans="2:16" ht="15.75" x14ac:dyDescent="0.25">
      <c r="B9" s="25" t="s">
        <v>197</v>
      </c>
      <c r="C9" s="67" t="s">
        <v>41</v>
      </c>
      <c r="D9" s="90">
        <v>2</v>
      </c>
      <c r="E9" s="46">
        <f>D9</f>
        <v>2</v>
      </c>
      <c r="G9" s="25" t="s">
        <v>195</v>
      </c>
      <c r="H9" s="48">
        <f>C26*D26</f>
        <v>428.75000000000006</v>
      </c>
      <c r="I9" s="49">
        <f>((D9/D6)/D10)</f>
        <v>0.02</v>
      </c>
      <c r="J9" s="84">
        <f>H9*I9</f>
        <v>8.5750000000000011</v>
      </c>
      <c r="K9" s="24"/>
      <c r="L9" s="57">
        <f>J9*$D$6</f>
        <v>428.75000000000006</v>
      </c>
    </row>
    <row r="10" spans="2:16" ht="15.75" x14ac:dyDescent="0.25">
      <c r="B10" s="25" t="s">
        <v>198</v>
      </c>
      <c r="C10" s="67" t="s">
        <v>60</v>
      </c>
      <c r="D10" s="93">
        <v>2</v>
      </c>
      <c r="E10" s="45"/>
      <c r="G10" s="77" t="s">
        <v>264</v>
      </c>
      <c r="H10" s="51"/>
      <c r="I10" s="51"/>
      <c r="J10" s="52">
        <f>SUM(J6:J9)</f>
        <v>441.68299999999999</v>
      </c>
      <c r="K10" s="24"/>
      <c r="L10" s="57">
        <f>SUM(L6:L9)</f>
        <v>22084.15</v>
      </c>
      <c r="N10" s="18"/>
    </row>
    <row r="11" spans="2:16" ht="15.75" x14ac:dyDescent="0.25">
      <c r="B11" s="25" t="s">
        <v>42</v>
      </c>
      <c r="C11" s="67" t="s">
        <v>177</v>
      </c>
      <c r="D11" s="92">
        <v>0.02</v>
      </c>
      <c r="E11" s="46">
        <f>(E6+E9)*D11</f>
        <v>1.04</v>
      </c>
      <c r="G11" s="134"/>
      <c r="H11" s="24"/>
      <c r="I11" s="24"/>
      <c r="J11" s="48"/>
      <c r="K11" s="24"/>
      <c r="L11" s="56"/>
    </row>
    <row r="12" spans="2:16" ht="15.75" x14ac:dyDescent="0.25">
      <c r="B12" s="25" t="s">
        <v>190</v>
      </c>
      <c r="C12" s="67" t="s">
        <v>179</v>
      </c>
      <c r="D12" s="92">
        <v>0.95</v>
      </c>
      <c r="E12" s="46">
        <f>ROUND(D6*D12,0)</f>
        <v>48</v>
      </c>
      <c r="G12" s="24" t="s">
        <v>148</v>
      </c>
      <c r="H12" s="24"/>
      <c r="I12" s="24"/>
      <c r="J12" s="24"/>
      <c r="K12" s="24"/>
      <c r="L12" s="24"/>
    </row>
    <row r="13" spans="2:16" ht="15.75" x14ac:dyDescent="0.25">
      <c r="B13" s="25" t="s">
        <v>201</v>
      </c>
      <c r="C13" s="67" t="s">
        <v>180</v>
      </c>
      <c r="D13" s="92">
        <v>1.79</v>
      </c>
      <c r="E13" s="46">
        <f>ROUND(D6*D13,0)</f>
        <v>90</v>
      </c>
      <c r="G13" s="60" t="s">
        <v>316</v>
      </c>
      <c r="H13" s="89" t="s">
        <v>75</v>
      </c>
      <c r="I13" s="61" t="s">
        <v>14</v>
      </c>
      <c r="J13" s="24"/>
      <c r="K13" s="24"/>
      <c r="L13" s="24"/>
    </row>
    <row r="14" spans="2:16" ht="15.75" x14ac:dyDescent="0.25">
      <c r="B14" s="25" t="s">
        <v>192</v>
      </c>
      <c r="C14" s="67" t="s">
        <v>177</v>
      </c>
      <c r="D14" s="94">
        <f>ROUND(D12*D13,2)</f>
        <v>1.7</v>
      </c>
      <c r="E14" s="46">
        <f>ROUND(D6*D14,0)</f>
        <v>85</v>
      </c>
      <c r="G14" s="25" t="s">
        <v>246</v>
      </c>
      <c r="H14" s="69" t="s">
        <v>181</v>
      </c>
      <c r="I14" s="85">
        <f>(D38)/((D6/D9)*D10)</f>
        <v>12.862500000000002</v>
      </c>
      <c r="J14" s="24"/>
      <c r="K14" s="24"/>
      <c r="L14" s="24"/>
      <c r="O14" s="9"/>
    </row>
    <row r="15" spans="2:16" ht="15.75" x14ac:dyDescent="0.25">
      <c r="B15" s="25" t="s">
        <v>199</v>
      </c>
      <c r="C15" s="67" t="s">
        <v>193</v>
      </c>
      <c r="D15" s="92">
        <v>0.03</v>
      </c>
      <c r="E15" s="46">
        <f>ROUND(D15*E14,0)</f>
        <v>3</v>
      </c>
      <c r="G15" s="53" t="s">
        <v>182</v>
      </c>
      <c r="H15" s="69" t="s">
        <v>181</v>
      </c>
      <c r="I15" s="85">
        <f>D37*(D8+D11)</f>
        <v>34.562499999999993</v>
      </c>
      <c r="J15" s="24"/>
      <c r="K15" s="24"/>
      <c r="L15" s="24"/>
      <c r="N15" s="7"/>
      <c r="O15" s="12"/>
    </row>
    <row r="16" spans="2:16" ht="15.75" x14ac:dyDescent="0.25">
      <c r="B16" s="25" t="s">
        <v>200</v>
      </c>
      <c r="C16" s="67" t="s">
        <v>129</v>
      </c>
      <c r="D16" s="92">
        <v>0.02</v>
      </c>
      <c r="E16" s="46">
        <f>ROUND(D16*(E14-E15),0)</f>
        <v>2</v>
      </c>
      <c r="G16" s="54" t="s">
        <v>105</v>
      </c>
      <c r="H16" s="70" t="s">
        <v>181</v>
      </c>
      <c r="I16" s="84">
        <f>((D39*D17)*(1/D18))/D6</f>
        <v>1.75</v>
      </c>
      <c r="J16" s="24"/>
      <c r="K16" s="24"/>
      <c r="L16" s="24"/>
      <c r="N16" s="7"/>
      <c r="O16" s="5"/>
    </row>
    <row r="17" spans="1:16" ht="15.75" x14ac:dyDescent="0.25">
      <c r="B17" s="25" t="s">
        <v>59</v>
      </c>
      <c r="C17" s="67" t="s">
        <v>41</v>
      </c>
      <c r="D17" s="90">
        <v>2</v>
      </c>
      <c r="E17" s="95"/>
      <c r="G17" s="53"/>
      <c r="H17" s="69"/>
      <c r="I17" s="50"/>
      <c r="J17" s="24"/>
      <c r="K17" s="24"/>
      <c r="L17" s="24"/>
      <c r="N17" s="5"/>
    </row>
    <row r="18" spans="1:16" ht="15.75" x14ac:dyDescent="0.25">
      <c r="B18" s="44" t="s">
        <v>61</v>
      </c>
      <c r="C18" s="68" t="s">
        <v>60</v>
      </c>
      <c r="D18" s="96">
        <v>8</v>
      </c>
      <c r="E18" s="83"/>
      <c r="G18" s="24" t="s">
        <v>183</v>
      </c>
      <c r="H18" s="24"/>
      <c r="I18" s="24"/>
      <c r="J18" s="24"/>
      <c r="K18" s="24"/>
      <c r="L18" s="24"/>
      <c r="N18" s="7"/>
    </row>
    <row r="19" spans="1:16" s="6" customFormat="1" ht="15.75" x14ac:dyDescent="0.25">
      <c r="A19" s="1"/>
      <c r="B19" s="1"/>
      <c r="C19" s="1"/>
      <c r="D19" s="1"/>
      <c r="E19" s="12"/>
      <c r="F19" s="1"/>
      <c r="G19" s="60" t="s">
        <v>316</v>
      </c>
      <c r="H19" s="61"/>
      <c r="I19" s="61" t="s">
        <v>14</v>
      </c>
      <c r="J19" s="45"/>
      <c r="K19" s="45"/>
      <c r="L19" s="45"/>
      <c r="P19" s="355"/>
    </row>
    <row r="20" spans="1:16" s="6" customFormat="1" ht="15.75" x14ac:dyDescent="0.25">
      <c r="A20" s="1"/>
      <c r="B20" s="62" t="s">
        <v>149</v>
      </c>
      <c r="C20" s="63" t="s">
        <v>15</v>
      </c>
      <c r="D20" s="81" t="s">
        <v>11</v>
      </c>
      <c r="F20" s="1"/>
      <c r="G20" s="25" t="s">
        <v>191</v>
      </c>
      <c r="H20" s="24"/>
      <c r="I20" s="48">
        <f>((D8*2)*D34)+(0.5*D35)+((0.5-(D8*2))*D36)</f>
        <v>265.91500000000002</v>
      </c>
      <c r="J20" s="45"/>
      <c r="K20" s="45"/>
      <c r="L20" s="45"/>
      <c r="N20" s="356"/>
      <c r="P20" s="355"/>
    </row>
    <row r="21" spans="1:16" s="6" customFormat="1" ht="15.75" x14ac:dyDescent="0.25">
      <c r="A21" s="1"/>
      <c r="B21" s="64"/>
      <c r="C21" s="65" t="s">
        <v>282</v>
      </c>
      <c r="D21" s="82" t="s">
        <v>43</v>
      </c>
      <c r="F21" s="1"/>
      <c r="G21" s="25" t="s">
        <v>12</v>
      </c>
      <c r="H21" s="24"/>
      <c r="I21" s="48">
        <f>(D8+D11)*D37</f>
        <v>34.562499999999993</v>
      </c>
      <c r="J21" s="45"/>
      <c r="K21" s="45"/>
      <c r="L21" s="45"/>
      <c r="M21" s="357"/>
    </row>
    <row r="22" spans="1:16" s="6" customFormat="1" ht="15.75" x14ac:dyDescent="0.25">
      <c r="A22" s="1"/>
      <c r="B22" s="25" t="s">
        <v>280</v>
      </c>
      <c r="C22" s="101">
        <v>70</v>
      </c>
      <c r="D22" s="102">
        <v>4.22</v>
      </c>
      <c r="E22" s="354">
        <f>(E14-E15-E16)-E23</f>
        <v>16</v>
      </c>
      <c r="F22" s="58">
        <f>E22/SUM(E22:E23)</f>
        <v>0.2</v>
      </c>
      <c r="G22" s="25" t="s">
        <v>202</v>
      </c>
      <c r="H22" s="24"/>
      <c r="I22" s="52">
        <f>(D9/D6)*D38</f>
        <v>25.725000000000005</v>
      </c>
      <c r="J22" s="45"/>
      <c r="K22" s="45"/>
      <c r="L22" s="45"/>
    </row>
    <row r="23" spans="1:16" s="6" customFormat="1" ht="15.75" x14ac:dyDescent="0.25">
      <c r="A23" s="1"/>
      <c r="B23" s="25" t="s">
        <v>281</v>
      </c>
      <c r="C23" s="101">
        <v>60</v>
      </c>
      <c r="D23" s="102">
        <v>4.0999999999999996</v>
      </c>
      <c r="E23" s="354">
        <f>((E14-E15-E16)-E12)*2</f>
        <v>64</v>
      </c>
      <c r="F23" s="58">
        <f>E23/SUM(E22:E23)</f>
        <v>0.8</v>
      </c>
      <c r="G23" s="4"/>
      <c r="H23" s="59" t="s">
        <v>13</v>
      </c>
      <c r="I23" s="55">
        <f>SUM(I20:I22)</f>
        <v>326.20250000000004</v>
      </c>
      <c r="J23" s="45"/>
      <c r="K23" s="45"/>
      <c r="L23" s="45">
        <f>4.22-(4.22*0.1)</f>
        <v>3.7979999999999996</v>
      </c>
      <c r="O23" s="355"/>
    </row>
    <row r="24" spans="1:16" s="6" customFormat="1" ht="15.75" x14ac:dyDescent="0.25">
      <c r="A24" s="1"/>
      <c r="B24" s="25" t="s">
        <v>247</v>
      </c>
      <c r="C24" s="78"/>
      <c r="D24" s="97">
        <f>SUMPRODUCT(D22:D23,F22:F23)</f>
        <v>4.1239999999999997</v>
      </c>
      <c r="F24" s="1"/>
      <c r="G24" s="21"/>
      <c r="H24" s="1"/>
      <c r="I24" s="1"/>
      <c r="L24" s="6">
        <f>4.1-(4.1*0.1)</f>
        <v>3.6899999999999995</v>
      </c>
      <c r="O24" s="355"/>
    </row>
    <row r="25" spans="1:16" s="6" customFormat="1" ht="15.75" x14ac:dyDescent="0.25">
      <c r="A25" s="1"/>
      <c r="B25" s="25" t="s">
        <v>178</v>
      </c>
      <c r="C25" s="101">
        <v>125</v>
      </c>
      <c r="D25" s="102">
        <v>1.58</v>
      </c>
      <c r="E25" s="355"/>
      <c r="F25" s="1"/>
      <c r="G25" s="21"/>
      <c r="H25" s="1"/>
      <c r="I25" s="1"/>
      <c r="L25" s="355"/>
    </row>
    <row r="26" spans="1:16" s="6" customFormat="1" ht="15.75" x14ac:dyDescent="0.25">
      <c r="A26" s="1"/>
      <c r="B26" s="44" t="s">
        <v>195</v>
      </c>
      <c r="C26" s="103">
        <v>175</v>
      </c>
      <c r="D26" s="104">
        <v>2.4500000000000002</v>
      </c>
      <c r="E26" s="355"/>
      <c r="F26" s="1"/>
      <c r="G26" s="22"/>
      <c r="H26" s="1"/>
      <c r="I26" s="1"/>
    </row>
    <row r="27" spans="1:16" s="6" customFormat="1" ht="15.75" x14ac:dyDescent="0.25">
      <c r="A27" s="1"/>
      <c r="B27" s="79" t="s">
        <v>248</v>
      </c>
      <c r="C27" s="24"/>
      <c r="D27" s="24"/>
      <c r="F27" s="1"/>
      <c r="G27" s="10"/>
      <c r="H27" s="1"/>
      <c r="I27" s="1"/>
    </row>
    <row r="28" spans="1:16" s="6" customFormat="1" ht="15.75" x14ac:dyDescent="0.25">
      <c r="A28" s="1"/>
      <c r="B28" s="24"/>
      <c r="C28" s="24"/>
      <c r="D28" s="24"/>
      <c r="E28" s="1"/>
      <c r="F28" s="1"/>
      <c r="G28" s="1"/>
      <c r="H28" s="1"/>
      <c r="I28" s="1"/>
    </row>
    <row r="29" spans="1:16" ht="15.75" x14ac:dyDescent="0.25">
      <c r="B29" s="60" t="s">
        <v>147</v>
      </c>
      <c r="C29" s="61"/>
      <c r="D29" s="61" t="s">
        <v>14</v>
      </c>
      <c r="G29" s="135" t="s">
        <v>145</v>
      </c>
      <c r="H29" s="118" t="s">
        <v>278</v>
      </c>
      <c r="I29" s="118" t="s">
        <v>141</v>
      </c>
      <c r="J29" s="118" t="s">
        <v>22</v>
      </c>
    </row>
    <row r="30" spans="1:16" ht="15.75" x14ac:dyDescent="0.25">
      <c r="B30" s="24" t="s">
        <v>203</v>
      </c>
      <c r="C30" s="24"/>
      <c r="D30" s="91">
        <v>0.6</v>
      </c>
      <c r="G30" s="42"/>
      <c r="H30" s="42" t="s">
        <v>92</v>
      </c>
      <c r="I30" s="42" t="s">
        <v>112</v>
      </c>
      <c r="J30" s="42" t="s">
        <v>93</v>
      </c>
    </row>
    <row r="31" spans="1:16" ht="15.75" x14ac:dyDescent="0.25">
      <c r="B31" s="51" t="s">
        <v>194</v>
      </c>
      <c r="C31" s="51"/>
      <c r="D31" s="99">
        <v>0.25</v>
      </c>
      <c r="G31" s="71" t="s">
        <v>204</v>
      </c>
      <c r="H31" s="72">
        <f>(SUM(C25*D6,C26*D9))/J31</f>
        <v>211.53846153846155</v>
      </c>
      <c r="I31" s="73">
        <f>1/D30</f>
        <v>1.6666666666666667</v>
      </c>
      <c r="J31" s="74">
        <f>($D$6+$D$9)/I31</f>
        <v>31.2</v>
      </c>
    </row>
    <row r="32" spans="1:16" ht="15.75" x14ac:dyDescent="0.25">
      <c r="B32" s="24"/>
      <c r="C32" s="24"/>
      <c r="D32" s="24"/>
      <c r="G32" s="71" t="str">
        <f>CONCATENATE("Pasture alloc. for"," ",C22*1.3," lb. feeders")</f>
        <v>Pasture alloc. for 91 lb. feeders</v>
      </c>
      <c r="H32" s="72">
        <f>SUMPRODUCT(C22:C23,E22:E23)/J32</f>
        <v>240.4848484848485</v>
      </c>
      <c r="I32" s="73">
        <f>1/D31</f>
        <v>4</v>
      </c>
      <c r="J32" s="75">
        <f>D31*D6*(D14-D15-D16)</f>
        <v>20.625</v>
      </c>
    </row>
    <row r="33" spans="2:10" ht="15.75" x14ac:dyDescent="0.25">
      <c r="B33" s="60" t="s">
        <v>146</v>
      </c>
      <c r="C33" s="61" t="s">
        <v>75</v>
      </c>
      <c r="D33" s="80" t="s">
        <v>14</v>
      </c>
      <c r="G33" s="76"/>
      <c r="H33" s="76"/>
      <c r="I33" s="76" t="s">
        <v>13</v>
      </c>
      <c r="J33" s="75">
        <f>SUM(J31:J32)</f>
        <v>51.825000000000003</v>
      </c>
    </row>
    <row r="34" spans="2:10" ht="15.75" x14ac:dyDescent="0.25">
      <c r="B34" s="25" t="s">
        <v>185</v>
      </c>
      <c r="C34" s="69" t="s">
        <v>10</v>
      </c>
      <c r="D34" s="98">
        <f>C23*D23*1.5</f>
        <v>368.99999999999994</v>
      </c>
    </row>
    <row r="35" spans="2:10" ht="15.75" x14ac:dyDescent="0.25">
      <c r="B35" s="25" t="s">
        <v>186</v>
      </c>
      <c r="C35" s="69" t="s">
        <v>10</v>
      </c>
      <c r="D35" s="98">
        <f>C25*D25*1.25</f>
        <v>246.875</v>
      </c>
    </row>
    <row r="36" spans="2:10" ht="15.75" x14ac:dyDescent="0.25">
      <c r="B36" s="25" t="s">
        <v>187</v>
      </c>
      <c r="C36" s="69" t="s">
        <v>10</v>
      </c>
      <c r="D36" s="98">
        <f>C25*D25*1.05</f>
        <v>207.375</v>
      </c>
      <c r="E36" s="23"/>
    </row>
    <row r="37" spans="2:10" ht="15.75" x14ac:dyDescent="0.25">
      <c r="B37" s="25" t="s">
        <v>188</v>
      </c>
      <c r="C37" s="69" t="s">
        <v>10</v>
      </c>
      <c r="D37" s="98">
        <f>D35</f>
        <v>246.875</v>
      </c>
      <c r="E37" s="23"/>
    </row>
    <row r="38" spans="2:10" ht="15.75" x14ac:dyDescent="0.25">
      <c r="B38" s="25" t="s">
        <v>205</v>
      </c>
      <c r="C38" s="69" t="s">
        <v>10</v>
      </c>
      <c r="D38" s="98">
        <f>C26*D26*1.5</f>
        <v>643.12500000000011</v>
      </c>
      <c r="E38" s="23"/>
    </row>
    <row r="39" spans="2:10" ht="15" customHeight="1" x14ac:dyDescent="0.25">
      <c r="B39" s="44" t="s">
        <v>110</v>
      </c>
      <c r="C39" s="70" t="s">
        <v>10</v>
      </c>
      <c r="D39" s="100">
        <v>350</v>
      </c>
      <c r="E39" s="23"/>
    </row>
    <row r="40" spans="2:10" hidden="1" x14ac:dyDescent="0.25">
      <c r="E40" s="23"/>
    </row>
    <row r="56" spans="3:4" hidden="1" x14ac:dyDescent="0.25">
      <c r="D56" s="6"/>
    </row>
    <row r="57" spans="3:4" hidden="1" x14ac:dyDescent="0.25">
      <c r="C57" s="5"/>
      <c r="D57" s="6"/>
    </row>
    <row r="58" spans="3:4" hidden="1" x14ac:dyDescent="0.25">
      <c r="D58" s="6"/>
    </row>
    <row r="59" spans="3:4" hidden="1" x14ac:dyDescent="0.25">
      <c r="C59" s="5"/>
      <c r="D59" s="6"/>
    </row>
    <row r="60" spans="3:4" hidden="1" x14ac:dyDescent="0.25">
      <c r="C60" s="5"/>
      <c r="D60" s="6"/>
    </row>
    <row r="61" spans="3:4" hidden="1" x14ac:dyDescent="0.25">
      <c r="C61" s="5"/>
      <c r="D61" s="6"/>
    </row>
    <row r="62" spans="3:4" hidden="1" x14ac:dyDescent="0.25">
      <c r="C62" s="11"/>
      <c r="D62" s="6"/>
    </row>
    <row r="63" spans="3:4" hidden="1" x14ac:dyDescent="0.25">
      <c r="C63" s="11"/>
      <c r="D63" s="6"/>
    </row>
    <row r="64" spans="3:4" hidden="1" x14ac:dyDescent="0.25">
      <c r="C64" s="11"/>
      <c r="D64" s="6"/>
    </row>
    <row r="65" spans="4:4" hidden="1" x14ac:dyDescent="0.25">
      <c r="D65" s="6"/>
    </row>
    <row r="66" spans="4:4" hidden="1" x14ac:dyDescent="0.25">
      <c r="D66" s="6"/>
    </row>
  </sheetData>
  <sheetProtection sheet="1" objects="1" scenarios="1"/>
  <mergeCells count="1">
    <mergeCell ref="B2:L2"/>
  </mergeCells>
  <pageMargins left="0.7" right="0.7" top="0.75" bottom="0.75" header="0.3" footer="0.3"/>
  <pageSetup fitToWidth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Q63"/>
  <sheetViews>
    <sheetView showGridLines="0" zoomScaleNormal="100" workbookViewId="0">
      <selection activeCell="D8" sqref="D8"/>
    </sheetView>
  </sheetViews>
  <sheetFormatPr defaultColWidth="0" defaultRowHeight="15" zeroHeight="1" x14ac:dyDescent="0.25"/>
  <cols>
    <col min="1" max="1" width="3.125" style="1" customWidth="1"/>
    <col min="2" max="2" width="30.625" style="1" customWidth="1"/>
    <col min="3" max="3" width="11.5" style="1" customWidth="1"/>
    <col min="4" max="5" width="10.625" style="1" customWidth="1"/>
    <col min="6" max="10" width="10.625" style="2" customWidth="1"/>
    <col min="11" max="11" width="3.125" style="2" customWidth="1"/>
    <col min="12" max="12" width="10.625" style="2" customWidth="1"/>
    <col min="13" max="13" width="10.625" style="1" customWidth="1"/>
    <col min="14" max="14" width="3.125" style="1" customWidth="1"/>
    <col min="15" max="15" width="38.5" style="1" customWidth="1"/>
    <col min="16" max="16" width="6.25" style="1" customWidth="1"/>
    <col min="17" max="17" width="3.125" style="1" customWidth="1"/>
    <col min="18" max="16384" width="9" style="1" hidden="1"/>
  </cols>
  <sheetData>
    <row r="1" spans="2:16" x14ac:dyDescent="0.25"/>
    <row r="2" spans="2:16" ht="21" x14ac:dyDescent="0.35">
      <c r="B2" s="378" t="s">
        <v>348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123"/>
      <c r="N2" s="24"/>
      <c r="O2" s="24"/>
      <c r="P2" s="24"/>
    </row>
    <row r="3" spans="2:16" ht="21" x14ac:dyDescent="0.35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4"/>
      <c r="N3" s="24"/>
      <c r="O3" s="24"/>
      <c r="P3" s="24"/>
    </row>
    <row r="4" spans="2:16" ht="15.75" x14ac:dyDescent="0.25">
      <c r="B4" s="51" t="s">
        <v>172</v>
      </c>
      <c r="C4" s="51"/>
      <c r="D4" s="51"/>
      <c r="E4" s="257"/>
      <c r="F4" s="257"/>
      <c r="G4" s="257"/>
      <c r="H4" s="257"/>
      <c r="I4" s="257"/>
      <c r="J4" s="257"/>
      <c r="K4" s="257"/>
      <c r="L4" s="257"/>
      <c r="M4" s="257"/>
      <c r="N4" s="258"/>
      <c r="O4" s="258"/>
      <c r="P4" s="24"/>
    </row>
    <row r="5" spans="2:16" ht="15" customHeight="1" x14ac:dyDescent="0.25">
      <c r="B5" s="31"/>
      <c r="C5" s="259"/>
      <c r="D5" s="373" t="s">
        <v>330</v>
      </c>
      <c r="E5" s="374"/>
      <c r="F5" s="374"/>
      <c r="G5" s="374"/>
      <c r="H5" s="374"/>
      <c r="I5" s="374"/>
      <c r="J5" s="374"/>
      <c r="K5" s="374"/>
      <c r="L5" s="374"/>
      <c r="M5" s="374"/>
      <c r="N5" s="24"/>
      <c r="O5" s="24"/>
      <c r="P5" s="24"/>
    </row>
    <row r="6" spans="2:16" ht="15.75" x14ac:dyDescent="0.25">
      <c r="B6" s="33"/>
      <c r="C6" s="33"/>
      <c r="D6" s="260" t="s">
        <v>206</v>
      </c>
      <c r="E6" s="33"/>
      <c r="F6" s="260" t="s">
        <v>50</v>
      </c>
      <c r="G6" s="260" t="s">
        <v>45</v>
      </c>
      <c r="H6" s="260" t="s">
        <v>54</v>
      </c>
      <c r="I6" s="260" t="s">
        <v>46</v>
      </c>
      <c r="J6" s="260" t="s">
        <v>158</v>
      </c>
      <c r="K6" s="260"/>
      <c r="L6" s="260" t="s">
        <v>212</v>
      </c>
      <c r="M6" s="260" t="s">
        <v>49</v>
      </c>
      <c r="N6" s="235"/>
      <c r="O6" s="24"/>
      <c r="P6" s="24"/>
    </row>
    <row r="7" spans="2:16" ht="15.75" x14ac:dyDescent="0.25">
      <c r="B7" s="230" t="s">
        <v>316</v>
      </c>
      <c r="C7" s="230" t="s">
        <v>75</v>
      </c>
      <c r="D7" s="261" t="s">
        <v>313</v>
      </c>
      <c r="E7" s="261" t="s">
        <v>44</v>
      </c>
      <c r="F7" s="261" t="s">
        <v>51</v>
      </c>
      <c r="G7" s="261" t="s">
        <v>51</v>
      </c>
      <c r="H7" s="261" t="s">
        <v>207</v>
      </c>
      <c r="I7" s="261" t="s">
        <v>215</v>
      </c>
      <c r="J7" s="261" t="s">
        <v>215</v>
      </c>
      <c r="K7" s="261"/>
      <c r="L7" s="261" t="s">
        <v>52</v>
      </c>
      <c r="M7" s="261" t="s">
        <v>220</v>
      </c>
      <c r="N7" s="235"/>
      <c r="O7" s="262" t="s">
        <v>85</v>
      </c>
      <c r="P7" s="263" t="s">
        <v>65</v>
      </c>
    </row>
    <row r="8" spans="2:16" ht="15.75" x14ac:dyDescent="0.25">
      <c r="B8" s="264" t="s">
        <v>314</v>
      </c>
      <c r="C8" s="67" t="s">
        <v>315</v>
      </c>
      <c r="D8" s="105" t="s">
        <v>161</v>
      </c>
      <c r="E8" s="105" t="s">
        <v>250</v>
      </c>
      <c r="F8" s="105" t="s">
        <v>249</v>
      </c>
      <c r="G8" s="105" t="s">
        <v>251</v>
      </c>
      <c r="H8" s="105" t="s">
        <v>243</v>
      </c>
      <c r="I8" s="105" t="s">
        <v>242</v>
      </c>
      <c r="J8" s="105" t="s">
        <v>252</v>
      </c>
      <c r="K8" s="234"/>
      <c r="L8" s="105" t="s">
        <v>241</v>
      </c>
      <c r="M8" s="105" t="s">
        <v>253</v>
      </c>
      <c r="N8" s="235"/>
      <c r="O8" s="209"/>
      <c r="P8" s="202"/>
    </row>
    <row r="9" spans="2:16" ht="15.75" x14ac:dyDescent="0.25">
      <c r="B9" s="264" t="s">
        <v>53</v>
      </c>
      <c r="C9" s="67" t="s">
        <v>47</v>
      </c>
      <c r="D9" s="45">
        <v>365</v>
      </c>
      <c r="E9" s="105">
        <v>14</v>
      </c>
      <c r="F9" s="105">
        <v>86</v>
      </c>
      <c r="G9" s="105">
        <v>56</v>
      </c>
      <c r="H9" s="105">
        <v>10</v>
      </c>
      <c r="I9" s="24">
        <f>'Flock assumptions'!D7</f>
        <v>85</v>
      </c>
      <c r="J9" s="105">
        <v>114</v>
      </c>
      <c r="K9" s="24"/>
      <c r="L9" s="105">
        <v>15</v>
      </c>
      <c r="M9" s="105">
        <v>199</v>
      </c>
      <c r="N9" s="235"/>
      <c r="O9" s="265" t="s">
        <v>216</v>
      </c>
      <c r="P9" s="145">
        <f>SUM(E9:J9)</f>
        <v>365</v>
      </c>
    </row>
    <row r="10" spans="2:16" ht="15.75" x14ac:dyDescent="0.25">
      <c r="B10" s="264" t="s">
        <v>116</v>
      </c>
      <c r="C10" s="67" t="s">
        <v>55</v>
      </c>
      <c r="D10" s="243">
        <f>'Flock assumptions'!D9</f>
        <v>2</v>
      </c>
      <c r="E10" s="235">
        <f>'Flock assumptions'!$D$6</f>
        <v>50</v>
      </c>
      <c r="F10" s="235">
        <f>'Flock assumptions'!$D$6</f>
        <v>50</v>
      </c>
      <c r="G10" s="235">
        <f>'Flock assumptions'!$D$6</f>
        <v>50</v>
      </c>
      <c r="H10" s="235">
        <f>'Flock assumptions'!$D$6</f>
        <v>50</v>
      </c>
      <c r="I10" s="235">
        <f>'Flock assumptions'!$D$6</f>
        <v>50</v>
      </c>
      <c r="J10" s="266">
        <f>'Flock assumptions'!D6</f>
        <v>50</v>
      </c>
      <c r="K10" s="24"/>
      <c r="L10" s="266">
        <f>ROUND('Flock assumptions'!E14-(0.5*'Flock assumptions'!E15),0)</f>
        <v>84</v>
      </c>
      <c r="M10" s="266">
        <f>ROUND(('Flock assumptions'!E14-'Flock assumptions'!E15)-(0.5*'Flock assumptions'!E16),0)</f>
        <v>81</v>
      </c>
      <c r="N10" s="266"/>
      <c r="O10" s="265" t="s">
        <v>208</v>
      </c>
      <c r="P10" s="145">
        <f>I9+M9</f>
        <v>284</v>
      </c>
    </row>
    <row r="11" spans="2:16" ht="15" customHeight="1" x14ac:dyDescent="0.25">
      <c r="B11" s="264"/>
      <c r="C11" s="267"/>
      <c r="D11" s="375" t="s">
        <v>332</v>
      </c>
      <c r="E11" s="376"/>
      <c r="F11" s="376"/>
      <c r="G11" s="376"/>
      <c r="H11" s="376"/>
      <c r="I11" s="376"/>
      <c r="J11" s="376"/>
      <c r="K11" s="376"/>
      <c r="L11" s="376"/>
      <c r="M11" s="377"/>
      <c r="N11" s="234"/>
      <c r="O11" s="145"/>
      <c r="P11" s="145"/>
    </row>
    <row r="12" spans="2:16" ht="15.75" x14ac:dyDescent="0.25">
      <c r="B12" s="264" t="str">
        <f>'Cost assumptions'!B7</f>
        <v>Timber pasture</v>
      </c>
      <c r="C12" s="67" t="s">
        <v>58</v>
      </c>
      <c r="D12" s="105">
        <v>60</v>
      </c>
      <c r="E12" s="105">
        <v>7</v>
      </c>
      <c r="F12" s="105">
        <v>10</v>
      </c>
      <c r="G12" s="105">
        <v>0</v>
      </c>
      <c r="H12" s="105">
        <v>0</v>
      </c>
      <c r="I12" s="105">
        <v>30</v>
      </c>
      <c r="J12" s="105">
        <v>36</v>
      </c>
      <c r="K12" s="24"/>
      <c r="L12" s="31"/>
      <c r="M12" s="105">
        <v>99</v>
      </c>
      <c r="N12" s="235"/>
      <c r="O12" s="265" t="s">
        <v>209</v>
      </c>
      <c r="P12" s="145">
        <f>(M12+M13)+M30</f>
        <v>199</v>
      </c>
    </row>
    <row r="13" spans="2:16" ht="15.75" x14ac:dyDescent="0.25">
      <c r="B13" s="264" t="str">
        <f>'Cost assumptions'!B8</f>
        <v>Fair pasture</v>
      </c>
      <c r="C13" s="67" t="s">
        <v>58</v>
      </c>
      <c r="D13" s="107">
        <v>200</v>
      </c>
      <c r="E13" s="107">
        <v>7</v>
      </c>
      <c r="F13" s="107">
        <v>22</v>
      </c>
      <c r="G13" s="107">
        <v>0</v>
      </c>
      <c r="H13" s="107">
        <v>0</v>
      </c>
      <c r="I13" s="107">
        <v>55</v>
      </c>
      <c r="J13" s="107">
        <v>78</v>
      </c>
      <c r="K13" s="51"/>
      <c r="L13" s="178"/>
      <c r="M13" s="107">
        <v>100</v>
      </c>
      <c r="N13" s="235"/>
      <c r="O13" s="145"/>
      <c r="P13" s="145"/>
    </row>
    <row r="14" spans="2:16" ht="15.75" x14ac:dyDescent="0.25">
      <c r="B14" s="235" t="s">
        <v>329</v>
      </c>
      <c r="C14" s="67"/>
      <c r="D14" s="24">
        <f>SUM(D12:D13)</f>
        <v>260</v>
      </c>
      <c r="E14" s="24">
        <f t="shared" ref="E14:M14" si="0">SUM(E12:E13)</f>
        <v>14</v>
      </c>
      <c r="F14" s="24">
        <f t="shared" si="0"/>
        <v>32</v>
      </c>
      <c r="G14" s="24">
        <f t="shared" si="0"/>
        <v>0</v>
      </c>
      <c r="H14" s="24">
        <f t="shared" si="0"/>
        <v>0</v>
      </c>
      <c r="I14" s="24">
        <f t="shared" si="0"/>
        <v>85</v>
      </c>
      <c r="J14" s="24">
        <f t="shared" si="0"/>
        <v>114</v>
      </c>
      <c r="K14" s="24" t="s">
        <v>34</v>
      </c>
      <c r="L14" s="24" t="s">
        <v>34</v>
      </c>
      <c r="M14" s="24">
        <f t="shared" si="0"/>
        <v>199</v>
      </c>
      <c r="N14" s="24"/>
      <c r="O14" s="265" t="s">
        <v>217</v>
      </c>
      <c r="P14" s="145">
        <f>SUM(E12:J13)</f>
        <v>245</v>
      </c>
    </row>
    <row r="15" spans="2:16" ht="15.75" x14ac:dyDescent="0.25">
      <c r="B15" s="24"/>
      <c r="C15" s="194"/>
      <c r="D15" s="375" t="s">
        <v>331</v>
      </c>
      <c r="E15" s="376"/>
      <c r="F15" s="376"/>
      <c r="G15" s="376"/>
      <c r="H15" s="376"/>
      <c r="I15" s="376"/>
      <c r="J15" s="376"/>
      <c r="K15" s="376"/>
      <c r="L15" s="376"/>
      <c r="M15" s="377"/>
      <c r="N15" s="234"/>
      <c r="O15" s="145"/>
      <c r="P15" s="145"/>
    </row>
    <row r="16" spans="2:16" ht="15.75" x14ac:dyDescent="0.25">
      <c r="B16" s="268" t="s">
        <v>119</v>
      </c>
      <c r="C16" s="269" t="s">
        <v>56</v>
      </c>
      <c r="D16" s="244">
        <f t="shared" ref="D16:J16" si="1">D9-SUM(D12:D13)</f>
        <v>105</v>
      </c>
      <c r="E16" s="244">
        <f t="shared" si="1"/>
        <v>0</v>
      </c>
      <c r="F16" s="244">
        <f t="shared" si="1"/>
        <v>54</v>
      </c>
      <c r="G16" s="244">
        <f t="shared" si="1"/>
        <v>56</v>
      </c>
      <c r="H16" s="244">
        <f t="shared" si="1"/>
        <v>10</v>
      </c>
      <c r="I16" s="244">
        <f t="shared" si="1"/>
        <v>0</v>
      </c>
      <c r="J16" s="244">
        <f t="shared" si="1"/>
        <v>0</v>
      </c>
      <c r="K16" s="244"/>
      <c r="L16" s="176"/>
      <c r="M16" s="244">
        <f>M9-SUM(M12:M13)</f>
        <v>0</v>
      </c>
      <c r="N16" s="233"/>
      <c r="O16" s="265" t="s">
        <v>218</v>
      </c>
      <c r="P16" s="145">
        <f>P9-P14</f>
        <v>120</v>
      </c>
    </row>
    <row r="17" spans="2:16" ht="15.75" x14ac:dyDescent="0.25">
      <c r="B17" s="264" t="str">
        <f>'Cost assumptions'!B9</f>
        <v>Alfalfa mix hay</v>
      </c>
      <c r="C17" s="67" t="s">
        <v>48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244"/>
      <c r="L17" s="270"/>
      <c r="M17" s="106">
        <v>0</v>
      </c>
      <c r="N17" s="235"/>
      <c r="O17" s="265" t="s">
        <v>210</v>
      </c>
      <c r="P17" s="145">
        <f>M16</f>
        <v>0</v>
      </c>
    </row>
    <row r="18" spans="2:16" ht="15.75" x14ac:dyDescent="0.25">
      <c r="B18" s="264" t="str">
        <f>'Cost assumptions'!B10</f>
        <v>Mixed hay</v>
      </c>
      <c r="C18" s="67" t="s">
        <v>48</v>
      </c>
      <c r="D18" s="106">
        <v>3</v>
      </c>
      <c r="E18" s="106">
        <v>0</v>
      </c>
      <c r="F18" s="106">
        <v>1.5</v>
      </c>
      <c r="G18" s="106">
        <v>2.25</v>
      </c>
      <c r="H18" s="106">
        <v>2.25</v>
      </c>
      <c r="I18" s="106">
        <v>0</v>
      </c>
      <c r="J18" s="106">
        <v>0</v>
      </c>
      <c r="K18" s="244"/>
      <c r="L18" s="270"/>
      <c r="M18" s="106">
        <v>0</v>
      </c>
      <c r="N18" s="235"/>
      <c r="O18" s="145"/>
      <c r="P18" s="145"/>
    </row>
    <row r="19" spans="2:16" ht="15.75" x14ac:dyDescent="0.25">
      <c r="B19" s="264" t="str">
        <f>'Cost assumptions'!B11</f>
        <v>Fescue hay</v>
      </c>
      <c r="C19" s="67" t="s">
        <v>48</v>
      </c>
      <c r="D19" s="108">
        <v>0</v>
      </c>
      <c r="E19" s="108">
        <v>0</v>
      </c>
      <c r="F19" s="108">
        <v>1.5</v>
      </c>
      <c r="G19" s="108">
        <v>2.25</v>
      </c>
      <c r="H19" s="108">
        <v>2.25</v>
      </c>
      <c r="I19" s="108">
        <v>0</v>
      </c>
      <c r="J19" s="108">
        <v>0</v>
      </c>
      <c r="K19" s="246"/>
      <c r="L19" s="271"/>
      <c r="M19" s="108">
        <v>0</v>
      </c>
      <c r="N19" s="235"/>
      <c r="O19" s="265" t="s">
        <v>219</v>
      </c>
      <c r="P19" s="145">
        <f>SUM(E30:J30)</f>
        <v>120</v>
      </c>
    </row>
    <row r="20" spans="2:16" ht="15.75" x14ac:dyDescent="0.25">
      <c r="B20" s="235" t="s">
        <v>328</v>
      </c>
      <c r="C20" s="67"/>
      <c r="D20" s="272">
        <f>SUM(D17:D19)</f>
        <v>3</v>
      </c>
      <c r="E20" s="272">
        <f>SUM(E17:E19)</f>
        <v>0</v>
      </c>
      <c r="F20" s="272">
        <f t="shared" ref="F20:M20" si="2">SUM(F17:F19)</f>
        <v>3</v>
      </c>
      <c r="G20" s="272">
        <f t="shared" si="2"/>
        <v>4.5</v>
      </c>
      <c r="H20" s="272">
        <f t="shared" si="2"/>
        <v>4.5</v>
      </c>
      <c r="I20" s="272">
        <f t="shared" si="2"/>
        <v>0</v>
      </c>
      <c r="J20" s="272">
        <f t="shared" si="2"/>
        <v>0</v>
      </c>
      <c r="K20" s="272"/>
      <c r="L20" s="272" t="s">
        <v>34</v>
      </c>
      <c r="M20" s="272">
        <f t="shared" si="2"/>
        <v>0</v>
      </c>
      <c r="N20" s="272"/>
      <c r="O20" s="210" t="s">
        <v>211</v>
      </c>
      <c r="P20" s="203">
        <f>IF(SUM(M17:M19)&gt;0,M16,0)</f>
        <v>0</v>
      </c>
    </row>
    <row r="21" spans="2:16" ht="15.75" x14ac:dyDescent="0.25">
      <c r="B21" s="273"/>
      <c r="C21" s="194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</row>
    <row r="22" spans="2:16" ht="15.75" x14ac:dyDescent="0.25">
      <c r="B22" s="24"/>
      <c r="C22" s="194"/>
      <c r="D22" s="375" t="s">
        <v>157</v>
      </c>
      <c r="E22" s="376"/>
      <c r="F22" s="376"/>
      <c r="G22" s="376"/>
      <c r="H22" s="376"/>
      <c r="I22" s="376"/>
      <c r="J22" s="376"/>
      <c r="K22" s="376"/>
      <c r="L22" s="376"/>
      <c r="M22" s="377"/>
      <c r="N22" s="234"/>
      <c r="O22" s="24"/>
      <c r="P22" s="24"/>
    </row>
    <row r="23" spans="2:16" ht="15.75" x14ac:dyDescent="0.25">
      <c r="B23" s="264" t="s">
        <v>136</v>
      </c>
      <c r="C23" s="194" t="s">
        <v>48</v>
      </c>
      <c r="D23" s="181"/>
      <c r="E23" s="181"/>
      <c r="F23" s="181"/>
      <c r="G23" s="181"/>
      <c r="H23" s="181"/>
      <c r="I23" s="181"/>
      <c r="J23" s="181"/>
      <c r="K23" s="24"/>
      <c r="L23" s="105">
        <v>4.0000000000000002E-4</v>
      </c>
      <c r="M23" s="181"/>
      <c r="N23" s="235"/>
      <c r="O23" s="24"/>
      <c r="P23" s="24"/>
    </row>
    <row r="24" spans="2:16" ht="15.75" x14ac:dyDescent="0.25">
      <c r="B24" s="264" t="str">
        <f>'Cost assumptions'!B13</f>
        <v>Corn equiv.</v>
      </c>
      <c r="C24" s="194" t="s">
        <v>48</v>
      </c>
      <c r="D24" s="349">
        <v>0</v>
      </c>
      <c r="E24" s="349">
        <v>0.4</v>
      </c>
      <c r="F24" s="349">
        <v>0</v>
      </c>
      <c r="G24" s="349">
        <v>0.01</v>
      </c>
      <c r="H24" s="349">
        <v>0.4</v>
      </c>
      <c r="I24" s="349">
        <v>0.4</v>
      </c>
      <c r="J24" s="349">
        <v>0</v>
      </c>
      <c r="K24" s="24"/>
      <c r="L24" s="349">
        <v>0</v>
      </c>
      <c r="M24" s="349">
        <v>0</v>
      </c>
      <c r="N24" s="235"/>
      <c r="O24" s="24"/>
      <c r="P24" s="24"/>
    </row>
    <row r="25" spans="2:16" ht="15.75" x14ac:dyDescent="0.25">
      <c r="B25" s="264" t="str">
        <f>'Cost assumptions'!B14</f>
        <v xml:space="preserve">Protein supplement </v>
      </c>
      <c r="C25" s="194" t="s">
        <v>48</v>
      </c>
      <c r="D25" s="349">
        <v>0</v>
      </c>
      <c r="E25" s="349">
        <v>0.1</v>
      </c>
      <c r="F25" s="349">
        <v>0</v>
      </c>
      <c r="G25" s="349">
        <v>2.5000000000000001E-2</v>
      </c>
      <c r="H25" s="349">
        <v>0.1</v>
      </c>
      <c r="I25" s="349">
        <v>0.1</v>
      </c>
      <c r="J25" s="349">
        <v>0</v>
      </c>
      <c r="K25" s="24"/>
      <c r="L25" s="349">
        <v>0</v>
      </c>
      <c r="M25" s="349">
        <v>0</v>
      </c>
      <c r="N25" s="235"/>
      <c r="O25" s="24"/>
      <c r="P25" s="24"/>
    </row>
    <row r="26" spans="2:16" ht="15.75" x14ac:dyDescent="0.25">
      <c r="B26" s="264" t="str">
        <f>'Cost assumptions'!B15</f>
        <v>Commercial mix (pellet)</v>
      </c>
      <c r="C26" s="194" t="s">
        <v>48</v>
      </c>
      <c r="D26" s="349">
        <v>0</v>
      </c>
      <c r="E26" s="349">
        <v>0</v>
      </c>
      <c r="F26" s="349">
        <v>0</v>
      </c>
      <c r="G26" s="349">
        <v>0</v>
      </c>
      <c r="H26" s="349">
        <v>0</v>
      </c>
      <c r="I26" s="349">
        <v>0</v>
      </c>
      <c r="J26" s="349">
        <v>0</v>
      </c>
      <c r="K26" s="24"/>
      <c r="L26" s="349">
        <v>1.4999999999999999E-2</v>
      </c>
      <c r="M26" s="349">
        <v>0.02</v>
      </c>
      <c r="N26" s="235"/>
      <c r="O26" s="24"/>
      <c r="P26" s="24"/>
    </row>
    <row r="27" spans="2:16" ht="15.75" x14ac:dyDescent="0.25">
      <c r="B27" s="235" t="s">
        <v>329</v>
      </c>
      <c r="C27" s="194"/>
      <c r="D27" s="274">
        <f>SUM(D24:D26)</f>
        <v>0</v>
      </c>
      <c r="E27" s="274">
        <f t="shared" ref="E27:J27" si="3">SUM(E24:E26)</f>
        <v>0.5</v>
      </c>
      <c r="F27" s="274">
        <f t="shared" si="3"/>
        <v>0</v>
      </c>
      <c r="G27" s="274">
        <f t="shared" si="3"/>
        <v>3.5000000000000003E-2</v>
      </c>
      <c r="H27" s="274">
        <f t="shared" si="3"/>
        <v>0.5</v>
      </c>
      <c r="I27" s="274">
        <f t="shared" si="3"/>
        <v>0.5</v>
      </c>
      <c r="J27" s="274">
        <f t="shared" si="3"/>
        <v>0</v>
      </c>
      <c r="K27" s="272"/>
      <c r="L27" s="274">
        <f>SUM(L23:L26)</f>
        <v>1.5399999999999999E-2</v>
      </c>
      <c r="M27" s="274">
        <f>SUM(M24:M26)</f>
        <v>0.02</v>
      </c>
      <c r="N27" s="272"/>
      <c r="O27" s="24"/>
      <c r="P27" s="24"/>
    </row>
    <row r="28" spans="2:16" ht="15.75" x14ac:dyDescent="0.25">
      <c r="B28" s="24"/>
      <c r="C28" s="27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2:16" ht="15.75" x14ac:dyDescent="0.25">
      <c r="B29" s="276" t="str">
        <f>'Cost assumptions'!B16</f>
        <v>Salt-trace mineral mix</v>
      </c>
      <c r="C29" s="277" t="s">
        <v>48</v>
      </c>
      <c r="D29" s="350">
        <v>0.02</v>
      </c>
      <c r="E29" s="350">
        <v>0.02</v>
      </c>
      <c r="F29" s="350">
        <v>0.02</v>
      </c>
      <c r="G29" s="350">
        <v>2.5000000000000001E-2</v>
      </c>
      <c r="H29" s="350">
        <v>0.02</v>
      </c>
      <c r="I29" s="350">
        <v>2.5000000000000001E-2</v>
      </c>
      <c r="J29" s="350">
        <v>0.02</v>
      </c>
      <c r="K29" s="51"/>
      <c r="L29" s="350">
        <v>0.01</v>
      </c>
      <c r="M29" s="350">
        <v>0.01</v>
      </c>
      <c r="N29" s="235"/>
      <c r="O29" s="24"/>
      <c r="P29" s="24"/>
    </row>
    <row r="30" spans="2:16" ht="15.75" hidden="1" x14ac:dyDescent="0.25">
      <c r="B30" s="278" t="s">
        <v>64</v>
      </c>
      <c r="C30" s="279"/>
      <c r="D30" s="279"/>
      <c r="E30" s="280">
        <f t="shared" ref="E30:M30" si="4">IF(SUM(E17:E19)&gt;0,E16,0)</f>
        <v>0</v>
      </c>
      <c r="F30" s="280">
        <f t="shared" si="4"/>
        <v>54</v>
      </c>
      <c r="G30" s="280">
        <f t="shared" si="4"/>
        <v>56</v>
      </c>
      <c r="H30" s="280">
        <f t="shared" si="4"/>
        <v>10</v>
      </c>
      <c r="I30" s="280">
        <f t="shared" si="4"/>
        <v>0</v>
      </c>
      <c r="J30" s="280">
        <f t="shared" si="4"/>
        <v>0</v>
      </c>
      <c r="K30" s="280">
        <f t="shared" si="4"/>
        <v>0</v>
      </c>
      <c r="L30" s="280">
        <f t="shared" si="4"/>
        <v>0</v>
      </c>
      <c r="M30" s="280">
        <f t="shared" si="4"/>
        <v>0</v>
      </c>
      <c r="N30" s="281"/>
      <c r="O30" s="24"/>
      <c r="P30" s="24"/>
    </row>
    <row r="31" spans="2:16" ht="15.75" x14ac:dyDescent="0.25">
      <c r="B31" s="282"/>
      <c r="C31" s="283"/>
      <c r="D31" s="283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4"/>
      <c r="P31" s="24"/>
    </row>
    <row r="32" spans="2:16" ht="15.75" x14ac:dyDescent="0.25">
      <c r="B32" s="24" t="s">
        <v>173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24"/>
    </row>
    <row r="33" spans="2:16" ht="15.75" x14ac:dyDescent="0.25">
      <c r="B33" s="284"/>
      <c r="C33" s="63" t="s">
        <v>127</v>
      </c>
      <c r="D33" s="63" t="s">
        <v>69</v>
      </c>
      <c r="E33" s="63" t="s">
        <v>212</v>
      </c>
      <c r="F33" s="63" t="s">
        <v>68</v>
      </c>
      <c r="G33" s="235"/>
      <c r="H33" s="235"/>
      <c r="I33" s="235"/>
      <c r="J33" s="235"/>
      <c r="K33" s="235"/>
      <c r="L33" s="235"/>
      <c r="M33" s="24"/>
      <c r="N33" s="24"/>
      <c r="O33" s="24"/>
      <c r="P33" s="24"/>
    </row>
    <row r="34" spans="2:16" ht="15.75" x14ac:dyDescent="0.25">
      <c r="B34" s="64"/>
      <c r="C34" s="65" t="s">
        <v>162</v>
      </c>
      <c r="D34" s="65" t="s">
        <v>93</v>
      </c>
      <c r="E34" s="65" t="s">
        <v>93</v>
      </c>
      <c r="F34" s="65" t="s">
        <v>287</v>
      </c>
      <c r="G34" s="235"/>
      <c r="H34" s="235"/>
      <c r="I34" s="235"/>
      <c r="J34" s="235"/>
      <c r="K34" s="235"/>
      <c r="L34" s="235"/>
      <c r="M34" s="24"/>
      <c r="N34" s="24"/>
      <c r="O34" s="24"/>
      <c r="P34" s="24"/>
    </row>
    <row r="35" spans="2:16" ht="15.75" x14ac:dyDescent="0.25">
      <c r="B35" s="24" t="str">
        <f>B12</f>
        <v>Timber pasture</v>
      </c>
      <c r="C35" s="244">
        <f>SUM(D12:M12)/SUM(D12:M13)</f>
        <v>0.34375</v>
      </c>
      <c r="D35" s="285">
        <f>'Flock assumptions'!J31*C35</f>
        <v>10.725</v>
      </c>
      <c r="E35" s="285">
        <f>'Flock assumptions'!J32*'Feed assumptions'!C35</f>
        <v>7.08984375</v>
      </c>
      <c r="F35" s="48">
        <f>(SUM(D35:E35)*'Cost assumptions'!$D$7)/'Flock assumptions'!$D$6</f>
        <v>14.251875</v>
      </c>
      <c r="G35" s="235"/>
      <c r="H35" s="235"/>
      <c r="I35" s="235"/>
      <c r="J35" s="235"/>
      <c r="K35" s="235"/>
      <c r="L35" s="235"/>
      <c r="M35" s="24"/>
      <c r="N35" s="24"/>
      <c r="O35" s="24"/>
      <c r="P35" s="24"/>
    </row>
    <row r="36" spans="2:16" ht="15.75" x14ac:dyDescent="0.25">
      <c r="B36" s="24" t="str">
        <f>B13</f>
        <v>Fair pasture</v>
      </c>
      <c r="C36" s="244">
        <f>SUM(D13:M13)/SUM(D12:M13)</f>
        <v>0.65625</v>
      </c>
      <c r="D36" s="285">
        <f>'Flock assumptions'!J31*C36</f>
        <v>20.474999999999998</v>
      </c>
      <c r="E36" s="285">
        <f>'Flock assumptions'!J32*'Feed assumptions'!C36</f>
        <v>13.53515625</v>
      </c>
      <c r="F36" s="48">
        <f>(SUM(D36:E36)*'Cost assumptions'!$D$8)/'Flock assumptions'!$D$6</f>
        <v>34.010156249999994</v>
      </c>
      <c r="G36" s="235"/>
      <c r="H36" s="235"/>
      <c r="I36" s="235"/>
      <c r="J36" s="235"/>
      <c r="K36" s="235"/>
      <c r="L36" s="235"/>
      <c r="M36" s="24"/>
      <c r="N36" s="24"/>
      <c r="O36" s="24"/>
      <c r="P36" s="24"/>
    </row>
    <row r="37" spans="2:16" ht="15.75" x14ac:dyDescent="0.25">
      <c r="B37" s="59" t="s">
        <v>13</v>
      </c>
      <c r="C37" s="44"/>
      <c r="D37" s="286">
        <f>SUM(D35:D36)</f>
        <v>31.199999999999996</v>
      </c>
      <c r="E37" s="286">
        <f>SUM(E35:E36)</f>
        <v>20.625</v>
      </c>
      <c r="F37" s="287">
        <f>SUM(F35:F36)</f>
        <v>48.262031249999993</v>
      </c>
      <c r="G37" s="235"/>
      <c r="H37" s="235"/>
      <c r="I37" s="235"/>
      <c r="J37" s="235"/>
      <c r="K37" s="235"/>
      <c r="L37" s="235"/>
      <c r="M37" s="24"/>
      <c r="N37" s="24"/>
      <c r="O37" s="24"/>
      <c r="P37" s="24"/>
    </row>
    <row r="38" spans="2:16" ht="15.75" x14ac:dyDescent="0.25">
      <c r="B38" s="24"/>
      <c r="C38" s="24"/>
      <c r="D38" s="24"/>
      <c r="E38" s="24"/>
      <c r="F38" s="235"/>
      <c r="G38" s="235"/>
      <c r="H38" s="235"/>
      <c r="I38" s="235"/>
      <c r="J38" s="235"/>
      <c r="K38" s="235"/>
      <c r="L38" s="235"/>
      <c r="M38" s="24"/>
      <c r="N38" s="24"/>
      <c r="O38" s="24"/>
      <c r="P38" s="24"/>
    </row>
    <row r="39" spans="2:16" ht="15.75" x14ac:dyDescent="0.25">
      <c r="B39" s="24" t="s">
        <v>174</v>
      </c>
      <c r="C39" s="24"/>
      <c r="D39" s="24"/>
      <c r="E39" s="24"/>
      <c r="F39" s="24"/>
      <c r="G39" s="24"/>
      <c r="H39" s="24"/>
      <c r="I39" s="235"/>
      <c r="J39" s="235"/>
      <c r="K39" s="235"/>
      <c r="L39" s="235"/>
      <c r="M39" s="24"/>
      <c r="N39" s="24"/>
      <c r="O39" s="24"/>
      <c r="P39" s="24"/>
    </row>
    <row r="40" spans="2:16" ht="15.75" x14ac:dyDescent="0.25">
      <c r="B40" s="284"/>
      <c r="C40" s="62"/>
      <c r="D40" s="63" t="s">
        <v>138</v>
      </c>
      <c r="E40" s="63" t="s">
        <v>139</v>
      </c>
      <c r="F40" s="63" t="s">
        <v>139</v>
      </c>
      <c r="G40" s="63" t="s">
        <v>13</v>
      </c>
      <c r="H40" s="63" t="s">
        <v>13</v>
      </c>
      <c r="I40" s="24"/>
      <c r="J40" s="235"/>
      <c r="K40" s="235"/>
      <c r="L40" s="235"/>
      <c r="M40" s="24"/>
      <c r="N40" s="24"/>
      <c r="O40" s="24"/>
      <c r="P40" s="24"/>
    </row>
    <row r="41" spans="2:16" ht="15.75" x14ac:dyDescent="0.25">
      <c r="B41" s="242"/>
      <c r="C41" s="288" t="s">
        <v>127</v>
      </c>
      <c r="D41" s="288" t="s">
        <v>270</v>
      </c>
      <c r="E41" s="288" t="s">
        <v>220</v>
      </c>
      <c r="F41" s="288" t="s">
        <v>78</v>
      </c>
      <c r="G41" s="288" t="s">
        <v>78</v>
      </c>
      <c r="H41" s="288" t="s">
        <v>57</v>
      </c>
      <c r="I41" s="24"/>
      <c r="J41" s="235"/>
      <c r="K41" s="235"/>
      <c r="L41" s="235"/>
      <c r="M41" s="24"/>
      <c r="N41" s="24"/>
      <c r="O41" s="24"/>
      <c r="P41" s="24"/>
    </row>
    <row r="42" spans="2:16" ht="15.75" x14ac:dyDescent="0.25">
      <c r="B42" s="64"/>
      <c r="C42" s="65" t="s">
        <v>150</v>
      </c>
      <c r="D42" s="65" t="s">
        <v>128</v>
      </c>
      <c r="E42" s="65" t="s">
        <v>128</v>
      </c>
      <c r="F42" s="65" t="s">
        <v>286</v>
      </c>
      <c r="G42" s="65" t="s">
        <v>130</v>
      </c>
      <c r="H42" s="65" t="s">
        <v>189</v>
      </c>
      <c r="I42" s="24"/>
      <c r="J42" s="235"/>
      <c r="K42" s="235"/>
      <c r="L42" s="235"/>
      <c r="M42" s="24"/>
      <c r="N42" s="24"/>
      <c r="O42" s="24"/>
      <c r="P42" s="24"/>
    </row>
    <row r="43" spans="2:16" ht="15.75" x14ac:dyDescent="0.25">
      <c r="B43" s="45" t="str">
        <f>B17</f>
        <v>Alfalfa mix hay</v>
      </c>
      <c r="C43" s="289">
        <f>F43/$F$46</f>
        <v>0</v>
      </c>
      <c r="D43" s="290">
        <f>(((D16*D17*$D$10)+(SUMPRODUCT($E$16:$J$16,E17:J17)*$I$10))/($D$10+$I$10))*(1+'Cost assumptions'!E9)</f>
        <v>0</v>
      </c>
      <c r="E43" s="290">
        <f>((($L16*$L17)/$L$10)+($M16*$M17)/$M$10)*(1+'Cost assumptions'!$E9)</f>
        <v>0</v>
      </c>
      <c r="F43" s="291">
        <f>((D16*D17*$D$10)+((SUMPRODUCT($E$16:$J$16,E17:J17)*$I$10))+(M16*M17*$M$10))*(1+'Cost assumptions'!E9)</f>
        <v>0</v>
      </c>
      <c r="G43" s="199">
        <f>(F43/2000)*'Cost assumptions'!D9</f>
        <v>0</v>
      </c>
      <c r="H43" s="199">
        <f>G43/'Flock assumptions'!$D$6</f>
        <v>0</v>
      </c>
      <c r="I43" s="24"/>
      <c r="J43" s="31"/>
      <c r="K43" s="31"/>
      <c r="L43" s="31"/>
      <c r="M43" s="31"/>
      <c r="N43" s="31"/>
      <c r="O43" s="31"/>
      <c r="P43" s="24"/>
    </row>
    <row r="44" spans="2:16" ht="15.75" x14ac:dyDescent="0.25">
      <c r="B44" s="45" t="str">
        <f>B18</f>
        <v>Mixed hay</v>
      </c>
      <c r="C44" s="289">
        <f>F44/$F$46</f>
        <v>0.50675323364674629</v>
      </c>
      <c r="D44" s="290">
        <f>(((D16*D18*$D$10)+(SUMPRODUCT($E$16:$J$16,E18:J18)*$I$10))/($D$10+$I$10))*(1+'Cost assumptions'!E10)</f>
        <v>260.72307692307697</v>
      </c>
      <c r="E44" s="290">
        <f>((($L17*$L18)/$L$10)+($M17*$M18)/$M$10)*(1+'Cost assumptions'!$E10)</f>
        <v>0</v>
      </c>
      <c r="F44" s="291">
        <f>((D16*D18*$D$10)+((SUMPRODUCT($E$16:$J$16,E18:J18)*$I$10))+(M16*M18*$M$10))*(1+'Cost assumptions'!E10)</f>
        <v>13557.600000000002</v>
      </c>
      <c r="G44" s="199">
        <f>(F44/2000)*'Cost assumptions'!D10</f>
        <v>610.0920000000001</v>
      </c>
      <c r="H44" s="199">
        <f>G44/'Flock assumptions'!$D$6</f>
        <v>12.201840000000002</v>
      </c>
      <c r="I44" s="24"/>
      <c r="J44" s="235"/>
      <c r="K44" s="235"/>
      <c r="L44" s="235"/>
      <c r="M44" s="24"/>
      <c r="N44" s="24"/>
      <c r="O44" s="24"/>
      <c r="P44" s="24"/>
    </row>
    <row r="45" spans="2:16" ht="15.75" x14ac:dyDescent="0.25">
      <c r="B45" s="45" t="str">
        <f>B19</f>
        <v>Fescue hay</v>
      </c>
      <c r="C45" s="292">
        <f>F45/$F$46</f>
        <v>0.49324676635325376</v>
      </c>
      <c r="D45" s="293">
        <f>(((D16*D19*$D$10)+(SUMPRODUCT($E$16:$J$16,E19:J19)*$I$10))/($D$10+$I$10))*(1+'Cost assumptions'!E11)</f>
        <v>253.77403846153845</v>
      </c>
      <c r="E45" s="293">
        <f>((($L18*$L19)/$L$10)+($M18*$M19)/$M$10)*(1+'Cost assumptions'!$E11)</f>
        <v>0</v>
      </c>
      <c r="F45" s="294">
        <f>((D16*D19*$D$10)+((SUMPRODUCT($E$16:$J$16,E19:J19)*$I$10))+(M16*M19*$M$10))*(1+'Cost assumptions'!E11)</f>
        <v>13196.249999999998</v>
      </c>
      <c r="G45" s="295">
        <f>(F45/2000)*'Cost assumptions'!D11</f>
        <v>428.8781249999999</v>
      </c>
      <c r="H45" s="295">
        <f>G45/'Flock assumptions'!$D$6</f>
        <v>8.5775624999999973</v>
      </c>
      <c r="I45" s="24"/>
      <c r="J45" s="235"/>
      <c r="K45" s="235"/>
      <c r="L45" s="235"/>
      <c r="M45" s="24"/>
      <c r="N45" s="24"/>
      <c r="O45" s="24"/>
      <c r="P45" s="24"/>
    </row>
    <row r="46" spans="2:16" ht="15.75" x14ac:dyDescent="0.25">
      <c r="B46" s="296" t="s">
        <v>328</v>
      </c>
      <c r="C46" s="290">
        <f t="shared" ref="C46:H46" si="5">SUM(C43:C45)</f>
        <v>1</v>
      </c>
      <c r="D46" s="290">
        <f t="shared" si="5"/>
        <v>514.49711538461543</v>
      </c>
      <c r="E46" s="290">
        <f t="shared" si="5"/>
        <v>0</v>
      </c>
      <c r="F46" s="291">
        <f t="shared" si="5"/>
        <v>26753.85</v>
      </c>
      <c r="G46" s="297">
        <f t="shared" si="5"/>
        <v>1038.9701250000001</v>
      </c>
      <c r="H46" s="298">
        <f t="shared" si="5"/>
        <v>20.7794025</v>
      </c>
      <c r="I46" s="24"/>
      <c r="J46" s="235"/>
      <c r="K46" s="235"/>
      <c r="L46" s="235"/>
      <c r="M46" s="24"/>
      <c r="N46" s="24"/>
      <c r="O46" s="24"/>
      <c r="P46" s="24"/>
    </row>
    <row r="47" spans="2:16" ht="15.75" x14ac:dyDescent="0.25">
      <c r="B47" s="24"/>
      <c r="C47" s="24"/>
      <c r="D47" s="24"/>
      <c r="E47" s="235"/>
      <c r="F47" s="24"/>
      <c r="G47" s="299"/>
      <c r="H47" s="299"/>
      <c r="I47" s="24"/>
      <c r="J47" s="235"/>
      <c r="K47" s="235"/>
      <c r="L47" s="235"/>
      <c r="M47" s="24"/>
      <c r="N47" s="24"/>
      <c r="O47" s="24"/>
      <c r="P47" s="24"/>
    </row>
    <row r="48" spans="2:16" ht="15.75" x14ac:dyDescent="0.25">
      <c r="B48" s="24" t="str">
        <f>B23</f>
        <v>Milk replacer</v>
      </c>
      <c r="C48" s="244">
        <f>F48/F52</f>
        <v>1.592525745832891E-4</v>
      </c>
      <c r="D48" s="300">
        <v>0</v>
      </c>
      <c r="E48" s="272">
        <f>F48/L10</f>
        <v>6.3E-3</v>
      </c>
      <c r="F48" s="301">
        <f>(L23*L9*L10)*(1+'Cost assumptions'!E12)</f>
        <v>0.5292</v>
      </c>
      <c r="G48" s="299">
        <f>F48*('Cost assumptions'!D12/100)</f>
        <v>1.64052</v>
      </c>
      <c r="H48" s="299">
        <f>G48/'Flock assumptions'!$D$6</f>
        <v>3.2810399999999997E-2</v>
      </c>
      <c r="I48" s="24"/>
      <c r="J48" s="235"/>
      <c r="K48" s="235"/>
      <c r="L48" s="235"/>
      <c r="M48" s="24"/>
      <c r="N48" s="24"/>
      <c r="O48" s="24"/>
      <c r="P48" s="24"/>
    </row>
    <row r="49" spans="2:16" ht="15.75" x14ac:dyDescent="0.25">
      <c r="B49" s="45" t="str">
        <f>B24</f>
        <v>Corn equiv.</v>
      </c>
      <c r="C49" s="289">
        <f>F49/$F$52</f>
        <v>0.69767794579345699</v>
      </c>
      <c r="D49" s="290">
        <f>(((D$9*$D24*$D$10)+(SUMPRODUCT($E$9:$J$9,$E24:$J24)*$I$10))/($D$10+$I$10))*(1+'Cost assumptions'!E13)</f>
        <v>44.584615384615383</v>
      </c>
      <c r="E49" s="272">
        <f>((($L9*$L24*$L10)/$L$10)+($M9*$M24*$M10)/$M$10)*(1+'Cost assumptions'!$E13)</f>
        <v>0</v>
      </c>
      <c r="F49" s="291">
        <f>((D24*$D$10*$D$9)+(SUMPRODUCT($E$9:$J$9,E24:J24)*$I$10)+($L$10*$L$9*L24)+($M$10*$M$9*M24))*(1+'Cost assumptions'!E13)</f>
        <v>2318.4</v>
      </c>
      <c r="G49" s="199">
        <f>(F49/100)*'Cost assumptions'!D13</f>
        <v>217.35019458017803</v>
      </c>
      <c r="H49" s="299">
        <f>G49/'Flock assumptions'!$D$6</f>
        <v>4.3470038916035607</v>
      </c>
      <c r="I49" s="24"/>
      <c r="J49" s="235"/>
      <c r="K49" s="235"/>
      <c r="L49" s="235"/>
      <c r="M49" s="24"/>
      <c r="N49" s="24"/>
      <c r="O49" s="24"/>
      <c r="P49" s="24"/>
    </row>
    <row r="50" spans="2:16" ht="15.75" x14ac:dyDescent="0.25">
      <c r="B50" s="45" t="str">
        <f>B25</f>
        <v xml:space="preserve">Protein supplement </v>
      </c>
      <c r="C50" s="289">
        <f>F50/$F$52</f>
        <v>0.19432605827127539</v>
      </c>
      <c r="D50" s="290">
        <f>(((D$9*$D25*$D$10)+(SUMPRODUCT($E$9:$J$9,$E25:$J25)*$I$10))/($D$10+$I$10))*(1+'Cost assumptions'!E14)</f>
        <v>12.418269230769232</v>
      </c>
      <c r="E50" s="73">
        <f>((($L9*$L25*$L10)/$L$10)+($M9*$M25*$M10)/$M$10)*(1+'Cost assumptions'!$E14)</f>
        <v>0</v>
      </c>
      <c r="F50" s="291">
        <f>((D25*$D$10*$D$9)+(SUMPRODUCT($E$9:$J$9,E25:J25)*$I$10)+($L$10*$L$9*L25)+($M$10*$M$9*M25))*(1+'Cost assumptions'!E14)</f>
        <v>645.75</v>
      </c>
      <c r="G50" s="199">
        <f>(F50/100)*'Cost assumptions'!D14</f>
        <v>101.705625</v>
      </c>
      <c r="H50" s="299">
        <f>G50/'Flock assumptions'!$D$6</f>
        <v>2.0341125</v>
      </c>
      <c r="I50" s="24"/>
      <c r="J50" s="235"/>
      <c r="K50" s="235"/>
      <c r="L50" s="235"/>
      <c r="M50" s="24"/>
      <c r="N50" s="24"/>
      <c r="O50" s="24"/>
      <c r="P50" s="24"/>
    </row>
    <row r="51" spans="2:16" ht="15.75" x14ac:dyDescent="0.25">
      <c r="B51" s="45" t="str">
        <f>B26</f>
        <v>Commercial mix (pellet)</v>
      </c>
      <c r="C51" s="292">
        <f>F51/$F$52</f>
        <v>0.10783674336068433</v>
      </c>
      <c r="D51" s="293">
        <f>(((D$9*$D26*$D$10)+(SUMPRODUCT($E$9:$J$9,$E26:$J26)*$I$10))/($D$10+$I$10))*(1+'Cost assumptions'!E15)</f>
        <v>0</v>
      </c>
      <c r="E51" s="302">
        <f>((($L9*$L26*$L10)/$L$10)+($M9*$M26*$M10)/$M$10)*(1+'Cost assumptions'!$E15)</f>
        <v>4.4152500000000003</v>
      </c>
      <c r="F51" s="294">
        <f>(((D26*$D$10*$D$9)+((SUMPRODUCT($E$9:$J$9,E26:J26)*$I$10))+($L$10*$L$9*L26)+($M$10*$M$9*M26))*(1+'Cost assumptions'!E15))</f>
        <v>358.34399999999999</v>
      </c>
      <c r="G51" s="295">
        <f>(F51/100)*'Cost assumptions'!D15</f>
        <v>136.17071999999999</v>
      </c>
      <c r="H51" s="295">
        <f>G51/'Flock assumptions'!$D$6</f>
        <v>2.7234143999999998</v>
      </c>
      <c r="I51" s="24"/>
      <c r="J51" s="235"/>
      <c r="K51" s="235"/>
      <c r="L51" s="235"/>
      <c r="M51" s="24"/>
      <c r="N51" s="24"/>
      <c r="O51" s="24"/>
      <c r="P51" s="24"/>
    </row>
    <row r="52" spans="2:16" ht="15.75" x14ac:dyDescent="0.25">
      <c r="B52" s="296" t="s">
        <v>329</v>
      </c>
      <c r="C52" s="290">
        <f t="shared" ref="C52:H52" si="6">SUM(C48:C51)</f>
        <v>1</v>
      </c>
      <c r="D52" s="290">
        <f t="shared" si="6"/>
        <v>57.002884615384616</v>
      </c>
      <c r="E52" s="290">
        <f t="shared" si="6"/>
        <v>4.4215500000000008</v>
      </c>
      <c r="F52" s="290">
        <f t="shared" si="6"/>
        <v>3323.0232000000001</v>
      </c>
      <c r="G52" s="56">
        <f t="shared" si="6"/>
        <v>456.86705958017797</v>
      </c>
      <c r="H52" s="298">
        <f t="shared" si="6"/>
        <v>9.1373411916035607</v>
      </c>
      <c r="I52" s="24"/>
      <c r="J52" s="235"/>
      <c r="K52" s="235"/>
      <c r="L52" s="235"/>
      <c r="M52" s="24"/>
      <c r="N52" s="24"/>
      <c r="O52" s="24"/>
      <c r="P52" s="24"/>
    </row>
    <row r="53" spans="2:16" ht="15.75" x14ac:dyDescent="0.25">
      <c r="B53" s="303"/>
      <c r="C53" s="304"/>
      <c r="D53" s="305"/>
      <c r="E53" s="305"/>
      <c r="F53" s="305"/>
      <c r="G53" s="306"/>
      <c r="H53" s="306"/>
      <c r="I53" s="24"/>
      <c r="J53" s="235"/>
      <c r="K53" s="235"/>
      <c r="L53" s="235"/>
      <c r="M53" s="24"/>
      <c r="N53" s="24"/>
      <c r="O53" s="24"/>
      <c r="P53" s="24"/>
    </row>
    <row r="54" spans="2:16" ht="15.75" x14ac:dyDescent="0.25">
      <c r="B54" s="45" t="str">
        <f>B29</f>
        <v>Salt-trace mineral mix</v>
      </c>
      <c r="C54" s="307">
        <v>1</v>
      </c>
      <c r="D54" s="293">
        <f>(((D$9*$D29*$D$10)+(SUMPRODUCT($E$9:$J$9,$E29:$J29)*$I$10))/($D$10+$I$10))*(1+'Cost assumptions'!E18)</f>
        <v>7.9778846153846166</v>
      </c>
      <c r="E54" s="75">
        <f>((($L9*$L29*$L10)/$L$10)+($M9*$M29*$M9)/$M$10)*(1+'Cost assumptions'!$E16)</f>
        <v>5.290962962962964</v>
      </c>
      <c r="F54" s="294">
        <f>(D9*D29*D10)+(SUMPRODUCT($E$9:$J$9,E29:J29)*I10)+(M9*M29*M10)*(1+'Cost assumptions'!E16)</f>
        <v>584.09950000000003</v>
      </c>
      <c r="G54" s="295">
        <f>(F54/100)*'Cost assumptions'!D16</f>
        <v>350.4597</v>
      </c>
      <c r="H54" s="308">
        <f>G54/'Flock assumptions'!$D$6</f>
        <v>7.0091939999999999</v>
      </c>
      <c r="I54" s="24"/>
      <c r="J54" s="235"/>
      <c r="K54" s="235"/>
      <c r="L54" s="235"/>
      <c r="M54" s="24"/>
      <c r="N54" s="24"/>
      <c r="O54" s="24"/>
      <c r="P54" s="24"/>
    </row>
    <row r="55" spans="2:16" ht="15.75" x14ac:dyDescent="0.25">
      <c r="B55" s="309" t="s">
        <v>274</v>
      </c>
      <c r="C55" s="250"/>
      <c r="D55" s="293">
        <f>D46+D52+D54</f>
        <v>579.4778846153846</v>
      </c>
      <c r="E55" s="293">
        <f>E46+E52+E54</f>
        <v>9.7125129629629647</v>
      </c>
      <c r="F55" s="293">
        <f>F46+F52+F54</f>
        <v>30660.972699999998</v>
      </c>
      <c r="G55" s="57">
        <f>G46+G52+G54</f>
        <v>1846.2968845801779</v>
      </c>
      <c r="H55" s="57">
        <f>H46+H52+H54</f>
        <v>36.925937691603558</v>
      </c>
      <c r="I55" s="24"/>
      <c r="J55" s="235"/>
      <c r="K55" s="235"/>
      <c r="L55" s="235"/>
      <c r="M55" s="24"/>
      <c r="N55" s="24"/>
      <c r="O55" s="24"/>
      <c r="P55" s="24"/>
    </row>
    <row r="56" spans="2:16" ht="15.75" x14ac:dyDescent="0.25">
      <c r="B56" s="296"/>
      <c r="C56" s="45"/>
      <c r="D56" s="290"/>
      <c r="E56" s="290"/>
      <c r="F56" s="290"/>
      <c r="G56" s="56"/>
      <c r="H56" s="56"/>
      <c r="I56" s="24"/>
      <c r="J56" s="235"/>
      <c r="K56" s="235"/>
      <c r="L56" s="235"/>
      <c r="M56" s="24"/>
      <c r="N56" s="24"/>
      <c r="O56" s="24"/>
      <c r="P56" s="24"/>
    </row>
    <row r="57" spans="2:16" ht="15.75" customHeight="1" x14ac:dyDescent="0.25">
      <c r="B57" s="24" t="s">
        <v>175</v>
      </c>
      <c r="C57" s="24"/>
      <c r="D57" s="24"/>
      <c r="E57" s="24"/>
      <c r="F57" s="24"/>
      <c r="G57" s="24"/>
      <c r="H57" s="24"/>
      <c r="I57" s="24"/>
      <c r="J57" s="235"/>
      <c r="K57" s="235"/>
      <c r="L57" s="235"/>
      <c r="M57" s="24"/>
      <c r="N57" s="24"/>
      <c r="O57" s="24"/>
      <c r="P57" s="24"/>
    </row>
    <row r="58" spans="2:16" ht="15.75" x14ac:dyDescent="0.25">
      <c r="B58" s="310"/>
      <c r="C58" s="60"/>
      <c r="D58" s="60"/>
      <c r="E58" s="61" t="s">
        <v>135</v>
      </c>
      <c r="F58" s="61" t="s">
        <v>140</v>
      </c>
      <c r="G58" s="61" t="s">
        <v>347</v>
      </c>
      <c r="H58" s="235"/>
      <c r="I58" s="235"/>
      <c r="J58" s="235"/>
      <c r="K58" s="235"/>
      <c r="L58" s="235"/>
      <c r="M58" s="24"/>
      <c r="N58" s="24"/>
      <c r="O58" s="24"/>
      <c r="P58" s="24"/>
    </row>
    <row r="59" spans="2:16" ht="15.75" x14ac:dyDescent="0.25">
      <c r="B59" s="24" t="s">
        <v>133</v>
      </c>
      <c r="C59" s="24"/>
      <c r="D59" s="24"/>
      <c r="E59" s="48">
        <f>(C43*'Cost assumptions'!D9)+(C44*'Cost assumptions'!D10)+('Feed assumptions'!C45*'Cost assumptions'!D11)</f>
        <v>77.668830841168671</v>
      </c>
      <c r="F59" s="48">
        <f>E59/20</f>
        <v>3.8834415420584336</v>
      </c>
      <c r="G59" s="311">
        <f>E59/2000</f>
        <v>3.8834415420584335E-2</v>
      </c>
      <c r="H59" s="235"/>
      <c r="I59" s="235"/>
      <c r="J59" s="235"/>
      <c r="K59" s="235"/>
      <c r="L59" s="235"/>
      <c r="M59" s="24"/>
      <c r="N59" s="24"/>
      <c r="O59" s="24"/>
      <c r="P59" s="24"/>
    </row>
    <row r="60" spans="2:16" ht="15.75" x14ac:dyDescent="0.25">
      <c r="B60" s="51" t="s">
        <v>134</v>
      </c>
      <c r="C60" s="51"/>
      <c r="D60" s="51"/>
      <c r="E60" s="52"/>
      <c r="F60" s="52">
        <f>(C48*'Cost assumptions'!D12)+(C49*'Cost assumptions'!D13)+(C50*'Cost assumptions'!D14)+(C51*'Cost assumptions'!D15)</f>
        <v>13.748536560929757</v>
      </c>
      <c r="G60" s="312">
        <f>F60/100</f>
        <v>0.13748536560929758</v>
      </c>
      <c r="H60" s="235"/>
      <c r="I60" s="235"/>
      <c r="J60" s="235"/>
      <c r="K60" s="235"/>
      <c r="L60" s="235"/>
      <c r="M60" s="24"/>
      <c r="N60" s="24"/>
      <c r="O60" s="24"/>
      <c r="P60" s="24"/>
    </row>
    <row r="61" spans="2:16" ht="15.75" x14ac:dyDescent="0.25">
      <c r="B61" s="24"/>
      <c r="C61" s="24"/>
      <c r="D61" s="24"/>
      <c r="E61" s="24"/>
      <c r="F61" s="24"/>
      <c r="G61" s="24"/>
      <c r="H61" s="235"/>
      <c r="I61" s="235"/>
      <c r="J61" s="235"/>
      <c r="K61" s="235"/>
      <c r="L61" s="235"/>
      <c r="M61" s="24"/>
      <c r="N61" s="24"/>
      <c r="O61" s="24"/>
      <c r="P61" s="24"/>
    </row>
    <row r="62" spans="2:16" ht="15.75" x14ac:dyDescent="0.25">
      <c r="B62" s="221" t="s">
        <v>213</v>
      </c>
      <c r="C62" s="221"/>
      <c r="D62" s="222"/>
      <c r="E62" s="222"/>
      <c r="F62" s="222"/>
      <c r="G62" s="313">
        <f>(SUM(E12:J13)*J10)+(SUM(M12:M13)*M10*0.5)+(SUM(D12:D13)*D10*1.15)</f>
        <v>20907.5</v>
      </c>
      <c r="H62" s="235"/>
      <c r="I62" s="235"/>
      <c r="J62" s="235"/>
      <c r="K62" s="235"/>
      <c r="L62" s="235"/>
      <c r="M62" s="24"/>
      <c r="N62" s="24"/>
      <c r="O62" s="24"/>
      <c r="P62" s="24"/>
    </row>
    <row r="63" spans="2:16" ht="15.75" x14ac:dyDescent="0.25">
      <c r="B63" s="178" t="s">
        <v>214</v>
      </c>
      <c r="C63" s="178"/>
      <c r="D63" s="184"/>
      <c r="E63" s="184"/>
      <c r="F63" s="184"/>
      <c r="G63" s="314">
        <f>(F37*'Flock assumptions'!D6)/G62</f>
        <v>0.1154179869663996</v>
      </c>
      <c r="H63" s="235"/>
      <c r="I63" s="235"/>
      <c r="J63" s="235"/>
      <c r="K63" s="235"/>
      <c r="L63" s="235"/>
      <c r="M63" s="24"/>
      <c r="N63" s="24"/>
      <c r="O63" s="24"/>
      <c r="P63" s="24"/>
    </row>
  </sheetData>
  <sheetProtection sheet="1" objects="1" scenarios="1"/>
  <mergeCells count="5">
    <mergeCell ref="D5:M5"/>
    <mergeCell ref="D11:M11"/>
    <mergeCell ref="D15:M15"/>
    <mergeCell ref="D22:M22"/>
    <mergeCell ref="B2:L2"/>
  </mergeCells>
  <conditionalFormatting sqref="P9">
    <cfRule type="cellIs" dxfId="3" priority="9" operator="lessThan">
      <formula>365</formula>
    </cfRule>
    <cfRule type="cellIs" dxfId="2" priority="10" operator="greaterThan">
      <formula>365</formula>
    </cfRule>
  </conditionalFormatting>
  <conditionalFormatting sqref="P20">
    <cfRule type="cellIs" dxfId="1" priority="11" operator="lessThan">
      <formula>$P$17</formula>
    </cfRule>
    <cfRule type="cellIs" dxfId="0" priority="12" operator="greaterThan">
      <formula>$P$17</formula>
    </cfRule>
  </conditionalFormatting>
  <pageMargins left="0.7" right="0.7" top="0.75" bottom="0.75" header="0.3" footer="0.3"/>
  <pageSetup scale="62" fitToHeight="0" orientation="landscape" r:id="rId1"/>
  <rowBreaks count="1" manualBreakCount="1">
    <brk id="31" min="1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T41"/>
  <sheetViews>
    <sheetView showGridLines="0" zoomScaleNormal="100" workbookViewId="0">
      <selection activeCell="B8" sqref="B8"/>
    </sheetView>
  </sheetViews>
  <sheetFormatPr defaultColWidth="0" defaultRowHeight="15" zeroHeight="1" x14ac:dyDescent="0.25"/>
  <cols>
    <col min="1" max="1" width="3.125" style="1" customWidth="1"/>
    <col min="2" max="2" width="23.375" style="1" customWidth="1"/>
    <col min="3" max="6" width="13.625" style="1" customWidth="1"/>
    <col min="7" max="7" width="10.75" style="1" customWidth="1"/>
    <col min="8" max="8" width="3.125" style="1" customWidth="1"/>
    <col min="9" max="9" width="21.75" style="1" customWidth="1"/>
    <col min="10" max="10" width="15.25" style="1" customWidth="1"/>
    <col min="11" max="11" width="12.625" style="1" customWidth="1"/>
    <col min="12" max="13" width="3.125" style="1" customWidth="1"/>
    <col min="14" max="14" width="3.125" style="1" hidden="1" customWidth="1"/>
    <col min="15" max="20" width="0" style="1" hidden="1" customWidth="1"/>
    <col min="21" max="16384" width="9" style="1" hidden="1"/>
  </cols>
  <sheetData>
    <row r="1" spans="2:13" x14ac:dyDescent="0.25"/>
    <row r="2" spans="2:13" ht="21" x14ac:dyDescent="0.35">
      <c r="B2" s="378" t="s">
        <v>352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24"/>
    </row>
    <row r="3" spans="2:13" ht="15.75" x14ac:dyDescent="0.25">
      <c r="B3" s="242"/>
      <c r="C3" s="242"/>
      <c r="D3" s="242"/>
      <c r="E3" s="24"/>
      <c r="F3" s="24"/>
      <c r="G3" s="24"/>
      <c r="H3" s="24"/>
      <c r="I3" s="24"/>
      <c r="J3" s="24"/>
      <c r="K3" s="24"/>
      <c r="L3" s="24"/>
      <c r="M3" s="24"/>
    </row>
    <row r="4" spans="2:13" ht="15.75" x14ac:dyDescent="0.25">
      <c r="B4" s="264" t="s">
        <v>170</v>
      </c>
      <c r="C4" s="24"/>
      <c r="D4" s="24"/>
      <c r="E4" s="24"/>
      <c r="F4" s="24"/>
      <c r="G4" s="24"/>
      <c r="H4" s="24"/>
      <c r="I4" s="51" t="s">
        <v>223</v>
      </c>
      <c r="J4" s="51"/>
      <c r="K4" s="51"/>
      <c r="L4" s="24"/>
      <c r="M4" s="24"/>
    </row>
    <row r="5" spans="2:13" ht="16.5" customHeight="1" x14ac:dyDescent="0.25">
      <c r="B5" s="380" t="s">
        <v>350</v>
      </c>
      <c r="C5" s="380"/>
      <c r="D5" s="380"/>
      <c r="E5" s="380"/>
      <c r="F5" s="380"/>
      <c r="G5" s="188"/>
      <c r="H5" s="24"/>
      <c r="I5" s="229" t="s">
        <v>316</v>
      </c>
      <c r="J5" s="310"/>
      <c r="K5" s="261" t="s">
        <v>334</v>
      </c>
      <c r="L5" s="24"/>
      <c r="M5" s="24"/>
    </row>
    <row r="6" spans="2:13" ht="15.75" x14ac:dyDescent="0.25">
      <c r="B6" s="315"/>
      <c r="C6" s="315" t="s">
        <v>226</v>
      </c>
      <c r="D6" s="315" t="s">
        <v>69</v>
      </c>
      <c r="E6" s="315" t="s">
        <v>227</v>
      </c>
      <c r="F6" s="315" t="s">
        <v>212</v>
      </c>
      <c r="G6" s="315" t="s">
        <v>13</v>
      </c>
      <c r="H6" s="24"/>
      <c r="I6" s="25" t="s">
        <v>91</v>
      </c>
      <c r="J6" s="24"/>
      <c r="K6" s="48">
        <f>'Feed assumptions'!F37</f>
        <v>48.262031249999993</v>
      </c>
      <c r="L6" s="24"/>
      <c r="M6" s="24"/>
    </row>
    <row r="7" spans="2:13" ht="15.75" x14ac:dyDescent="0.25">
      <c r="B7" s="229" t="s">
        <v>1</v>
      </c>
      <c r="C7" s="261" t="s">
        <v>67</v>
      </c>
      <c r="D7" s="261" t="s">
        <v>351</v>
      </c>
      <c r="E7" s="261" t="s">
        <v>67</v>
      </c>
      <c r="F7" s="261" t="s">
        <v>351</v>
      </c>
      <c r="G7" s="261" t="s">
        <v>221</v>
      </c>
      <c r="H7" s="24"/>
      <c r="I7" s="25" t="s">
        <v>108</v>
      </c>
      <c r="J7" s="24"/>
      <c r="K7" s="48">
        <f>'Feed assumptions'!H55</f>
        <v>36.925937691603558</v>
      </c>
      <c r="L7" s="24"/>
      <c r="M7" s="24"/>
    </row>
    <row r="8" spans="2:13" ht="15.75" x14ac:dyDescent="0.25">
      <c r="B8" s="91" t="s">
        <v>72</v>
      </c>
      <c r="C8" s="105">
        <v>1</v>
      </c>
      <c r="D8" s="106">
        <v>0.4</v>
      </c>
      <c r="E8" s="105">
        <v>2</v>
      </c>
      <c r="F8" s="125">
        <v>0.4</v>
      </c>
      <c r="G8" s="48">
        <f>((C8*D8*('Flock assumptions'!$D$6+'Flock assumptions'!$D$9))+(E8*F8*'Flock assumptions'!$E$14))/100</f>
        <v>0.88800000000000001</v>
      </c>
      <c r="H8" s="24"/>
      <c r="I8" s="25" t="s">
        <v>107</v>
      </c>
      <c r="J8" s="24"/>
      <c r="K8" s="48">
        <f>'Buildings &amp; machinery'!F56+'Buildings &amp; machinery'!G56</f>
        <v>39.044967</v>
      </c>
      <c r="L8" s="24"/>
      <c r="M8" s="24"/>
    </row>
    <row r="9" spans="2:13" ht="15.75" x14ac:dyDescent="0.25">
      <c r="B9" s="91" t="s">
        <v>234</v>
      </c>
      <c r="C9" s="105">
        <v>0.1</v>
      </c>
      <c r="D9" s="106">
        <v>0.8</v>
      </c>
      <c r="E9" s="105">
        <v>0.2</v>
      </c>
      <c r="F9" s="125">
        <f>D9/3</f>
        <v>0.26666666666666666</v>
      </c>
      <c r="G9" s="48">
        <f>((C9*D9*('Flock assumptions'!$D$6+'Flock assumptions'!$D$9))+(E9*F9*'Flock assumptions'!$E$14))/100</f>
        <v>8.6933333333333349E-2</v>
      </c>
      <c r="H9" s="24"/>
      <c r="I9" s="25" t="s">
        <v>98</v>
      </c>
      <c r="J9" s="24"/>
      <c r="K9" s="48">
        <f>G21</f>
        <v>5.4749333333333334</v>
      </c>
      <c r="L9" s="24"/>
      <c r="M9" s="24"/>
    </row>
    <row r="10" spans="2:13" ht="15.75" x14ac:dyDescent="0.25">
      <c r="B10" s="91" t="s">
        <v>235</v>
      </c>
      <c r="C10" s="105">
        <v>0</v>
      </c>
      <c r="D10" s="106">
        <v>1.06</v>
      </c>
      <c r="E10" s="105">
        <v>0</v>
      </c>
      <c r="F10" s="125">
        <f t="shared" ref="F10:F13" si="0">D10/3</f>
        <v>0.35333333333333333</v>
      </c>
      <c r="G10" s="48">
        <f>((C10*D10*('Flock assumptions'!$D$6+'Flock assumptions'!$D$9))+(E10*F10*'Flock assumptions'!$E$14))/100</f>
        <v>0</v>
      </c>
      <c r="H10" s="24"/>
      <c r="I10" s="25" t="s">
        <v>236</v>
      </c>
      <c r="J10" s="24"/>
      <c r="K10" s="52">
        <f>F35</f>
        <v>51.464610000000008</v>
      </c>
      <c r="L10" s="24"/>
      <c r="M10" s="24"/>
    </row>
    <row r="11" spans="2:13" ht="15.75" x14ac:dyDescent="0.25">
      <c r="B11" s="91" t="s">
        <v>254</v>
      </c>
      <c r="C11" s="105">
        <v>0</v>
      </c>
      <c r="D11" s="106">
        <v>4.92</v>
      </c>
      <c r="E11" s="105">
        <v>0</v>
      </c>
      <c r="F11" s="125">
        <f t="shared" si="0"/>
        <v>1.64</v>
      </c>
      <c r="G11" s="48">
        <f>((C11*D11*('Flock assumptions'!$D$6+'Flock assumptions'!$D$9))+(E11*F11*'Flock assumptions'!$E$14))/100</f>
        <v>0</v>
      </c>
      <c r="H11" s="24"/>
      <c r="I11" s="238"/>
      <c r="J11" s="235" t="s">
        <v>13</v>
      </c>
      <c r="K11" s="48">
        <f>SUM(K6:K10)</f>
        <v>181.1724792749369</v>
      </c>
      <c r="L11" s="24"/>
      <c r="M11" s="24"/>
    </row>
    <row r="12" spans="2:13" ht="15.75" x14ac:dyDescent="0.25">
      <c r="B12" s="91" t="s">
        <v>333</v>
      </c>
      <c r="C12" s="105">
        <v>0</v>
      </c>
      <c r="D12" s="106">
        <v>0</v>
      </c>
      <c r="E12" s="105">
        <v>0</v>
      </c>
      <c r="F12" s="125">
        <f t="shared" si="0"/>
        <v>0</v>
      </c>
      <c r="G12" s="48">
        <f>((C12*D12*('Flock assumptions'!$D$6+'Flock assumptions'!$D$9))+(E12*F12*'Flock assumptions'!$E$14))/100</f>
        <v>0</v>
      </c>
      <c r="H12" s="24"/>
      <c r="I12" s="24"/>
      <c r="J12" s="24"/>
      <c r="K12" s="24"/>
      <c r="L12" s="24"/>
      <c r="M12" s="24"/>
    </row>
    <row r="13" spans="2:13" ht="15.75" x14ac:dyDescent="0.25">
      <c r="B13" s="99" t="s">
        <v>333</v>
      </c>
      <c r="C13" s="107">
        <v>0</v>
      </c>
      <c r="D13" s="108">
        <v>0</v>
      </c>
      <c r="E13" s="107">
        <v>0</v>
      </c>
      <c r="F13" s="126">
        <f t="shared" si="0"/>
        <v>0</v>
      </c>
      <c r="G13" s="52">
        <f>((C13*D13*('Flock assumptions'!$D$6+'Flock assumptions'!$D$9))+(E13*F13*'Flock assumptions'!$E$14))/100</f>
        <v>0</v>
      </c>
      <c r="H13" s="24"/>
      <c r="I13" s="51" t="s">
        <v>90</v>
      </c>
      <c r="J13" s="51"/>
      <c r="K13" s="316">
        <f>(K11*'Cost assumptions'!$D$35*Budget!$G$28/100)</f>
        <v>9.8512535605746923</v>
      </c>
      <c r="L13" s="24"/>
      <c r="M13" s="24"/>
    </row>
    <row r="14" spans="2:13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15.75" customHeight="1" x14ac:dyDescent="0.25">
      <c r="B15" s="381" t="s">
        <v>349</v>
      </c>
      <c r="C15" s="381"/>
      <c r="D15" s="381"/>
      <c r="E15" s="381"/>
      <c r="F15" s="381"/>
      <c r="G15" s="317"/>
      <c r="H15" s="24"/>
      <c r="I15" s="24"/>
      <c r="J15" s="24"/>
      <c r="K15" s="24"/>
      <c r="L15" s="24"/>
      <c r="M15" s="24"/>
    </row>
    <row r="16" spans="2:13" ht="15.75" customHeight="1" x14ac:dyDescent="0.25">
      <c r="B16" s="229" t="s">
        <v>1</v>
      </c>
      <c r="C16" s="261" t="s">
        <v>335</v>
      </c>
      <c r="D16" s="318"/>
      <c r="E16" s="318"/>
      <c r="F16" s="318"/>
      <c r="G16" s="65" t="s">
        <v>334</v>
      </c>
      <c r="H16" s="24"/>
      <c r="I16" s="24"/>
      <c r="J16" s="24"/>
      <c r="K16" s="24"/>
      <c r="L16" s="24"/>
      <c r="M16" s="24"/>
    </row>
    <row r="17" spans="2:20" ht="14.25" customHeight="1" x14ac:dyDescent="0.25">
      <c r="B17" s="91" t="s">
        <v>73</v>
      </c>
      <c r="C17" s="125">
        <v>100</v>
      </c>
      <c r="D17" s="24"/>
      <c r="E17" s="24"/>
      <c r="F17" s="24"/>
      <c r="G17" s="48">
        <f>C17/'Flock assumptions'!$D$6</f>
        <v>2</v>
      </c>
      <c r="H17" s="24"/>
      <c r="I17" s="24"/>
      <c r="J17" s="24"/>
      <c r="K17" s="24"/>
      <c r="L17" s="24"/>
      <c r="M17" s="24"/>
    </row>
    <row r="18" spans="2:20" ht="15.75" x14ac:dyDescent="0.25">
      <c r="B18" s="91" t="s">
        <v>70</v>
      </c>
      <c r="C18" s="125">
        <v>125</v>
      </c>
      <c r="D18" s="24"/>
      <c r="E18" s="24"/>
      <c r="F18" s="24"/>
      <c r="G18" s="48">
        <f>C18/'Flock assumptions'!$D$6</f>
        <v>2.5</v>
      </c>
      <c r="H18" s="24"/>
      <c r="I18" s="24"/>
      <c r="J18" s="24"/>
      <c r="K18" s="24"/>
      <c r="L18" s="24"/>
      <c r="M18" s="24"/>
    </row>
    <row r="19" spans="2:20" ht="15.75" x14ac:dyDescent="0.25">
      <c r="B19" s="91" t="s">
        <v>333</v>
      </c>
      <c r="C19" s="125">
        <v>0</v>
      </c>
      <c r="D19" s="24"/>
      <c r="E19" s="24"/>
      <c r="F19" s="24"/>
      <c r="G19" s="48">
        <f>C19/'Flock assumptions'!$D$6</f>
        <v>0</v>
      </c>
      <c r="H19" s="24"/>
      <c r="I19" s="24"/>
      <c r="J19" s="24"/>
      <c r="K19" s="24"/>
      <c r="L19" s="24"/>
      <c r="M19" s="24"/>
    </row>
    <row r="20" spans="2:20" ht="15.75" x14ac:dyDescent="0.25">
      <c r="B20" s="91" t="s">
        <v>333</v>
      </c>
      <c r="C20" s="125">
        <v>0</v>
      </c>
      <c r="D20" s="24"/>
      <c r="E20" s="24"/>
      <c r="F20" s="24"/>
      <c r="G20" s="52">
        <f>C20/'Flock assumptions'!$D$6</f>
        <v>0</v>
      </c>
      <c r="H20" s="24"/>
      <c r="I20" s="24"/>
      <c r="J20" s="24"/>
      <c r="K20" s="24"/>
      <c r="L20" s="24"/>
      <c r="M20" s="24"/>
    </row>
    <row r="21" spans="2:20" ht="15.75" x14ac:dyDescent="0.25">
      <c r="B21" s="319"/>
      <c r="C21" s="51"/>
      <c r="D21" s="51"/>
      <c r="E21" s="51"/>
      <c r="F21" s="51" t="s">
        <v>13</v>
      </c>
      <c r="G21" s="84">
        <f>SUM(G8:G13)+SUM(G17:G20)</f>
        <v>5.4749333333333334</v>
      </c>
      <c r="H21" s="24"/>
      <c r="I21" s="24"/>
      <c r="J21" s="24"/>
      <c r="K21" s="24"/>
      <c r="L21" s="24"/>
      <c r="M21" s="24"/>
    </row>
    <row r="22" spans="2:20" ht="14.25" customHeight="1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2:20" ht="21" customHeight="1" x14ac:dyDescent="0.25">
      <c r="B23" s="24" t="s">
        <v>171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T23" s="15"/>
    </row>
    <row r="24" spans="2:20" ht="15.75" x14ac:dyDescent="0.25">
      <c r="B24" s="227"/>
      <c r="C24" s="228"/>
      <c r="D24" s="315" t="s">
        <v>86</v>
      </c>
      <c r="E24" s="315"/>
      <c r="F24" s="315" t="s">
        <v>13</v>
      </c>
      <c r="G24" s="24"/>
      <c r="H24" s="24"/>
    </row>
    <row r="25" spans="2:20" ht="15.75" x14ac:dyDescent="0.25">
      <c r="B25" s="320" t="s">
        <v>74</v>
      </c>
      <c r="C25" s="229" t="s">
        <v>75</v>
      </c>
      <c r="D25" s="261" t="s">
        <v>87</v>
      </c>
      <c r="E25" s="261" t="s">
        <v>123</v>
      </c>
      <c r="F25" s="261" t="s">
        <v>221</v>
      </c>
      <c r="G25" s="24"/>
      <c r="H25" s="24"/>
    </row>
    <row r="26" spans="2:20" ht="15.75" x14ac:dyDescent="0.25">
      <c r="B26" s="24" t="s">
        <v>82</v>
      </c>
      <c r="C26" s="67" t="s">
        <v>184</v>
      </c>
      <c r="D26" s="243">
        <f>'Flock assumptions'!D6</f>
        <v>50</v>
      </c>
      <c r="E26" s="127">
        <v>1</v>
      </c>
      <c r="F26" s="50">
        <f>E26</f>
        <v>1</v>
      </c>
      <c r="G26" s="24"/>
      <c r="H26" s="24"/>
    </row>
    <row r="27" spans="2:20" ht="15.75" x14ac:dyDescent="0.25">
      <c r="B27" s="24" t="s">
        <v>115</v>
      </c>
      <c r="C27" s="67" t="s">
        <v>78</v>
      </c>
      <c r="D27" s="24">
        <v>1</v>
      </c>
      <c r="E27" s="127">
        <v>100</v>
      </c>
      <c r="F27" s="50">
        <f>E27/'Flock assumptions'!$D$6</f>
        <v>2</v>
      </c>
      <c r="G27" s="24"/>
      <c r="H27" s="24"/>
      <c r="P27" s="17"/>
    </row>
    <row r="28" spans="2:20" ht="15.75" x14ac:dyDescent="0.25">
      <c r="B28" s="24" t="s">
        <v>38</v>
      </c>
      <c r="C28" s="67" t="s">
        <v>159</v>
      </c>
      <c r="D28" s="128">
        <v>7.0000000000000007E-2</v>
      </c>
      <c r="E28" s="48">
        <f>SUM('Flock assumptions'!J10)</f>
        <v>441.68299999999999</v>
      </c>
      <c r="F28" s="50">
        <f>(D28*E28)</f>
        <v>30.917810000000003</v>
      </c>
      <c r="G28" s="24"/>
      <c r="H28" s="24"/>
      <c r="P28" s="16"/>
    </row>
    <row r="29" spans="2:20" ht="15.75" x14ac:dyDescent="0.25">
      <c r="B29" s="24" t="s">
        <v>76</v>
      </c>
      <c r="C29" s="67" t="s">
        <v>222</v>
      </c>
      <c r="D29" s="129">
        <v>0.25</v>
      </c>
      <c r="E29" s="127">
        <v>5</v>
      </c>
      <c r="F29" s="298">
        <f>(D29*E29)</f>
        <v>1.25</v>
      </c>
      <c r="G29" s="24"/>
      <c r="H29" s="24"/>
    </row>
    <row r="30" spans="2:20" ht="15.75" x14ac:dyDescent="0.25">
      <c r="B30" s="24" t="s">
        <v>66</v>
      </c>
      <c r="C30" s="67" t="s">
        <v>114</v>
      </c>
      <c r="D30" s="129">
        <v>1</v>
      </c>
      <c r="E30" s="48">
        <f>'Cost assumptions'!D17/100</f>
        <v>0.8</v>
      </c>
      <c r="F30" s="298">
        <f>((D30*1+'Cost assumptions'!E17)*E30*'Flock assumptions'!D17*365)/'Flock assumptions'!$D$6</f>
        <v>11.796800000000001</v>
      </c>
      <c r="G30" s="24"/>
      <c r="H30" s="24"/>
      <c r="I30" s="24"/>
      <c r="J30" s="24"/>
      <c r="K30" s="24"/>
      <c r="L30" s="24"/>
      <c r="M30" s="24"/>
    </row>
    <row r="31" spans="2:20" ht="15.75" x14ac:dyDescent="0.25">
      <c r="B31" s="24" t="s">
        <v>106</v>
      </c>
      <c r="C31" s="67" t="s">
        <v>78</v>
      </c>
      <c r="D31" s="129">
        <v>0</v>
      </c>
      <c r="E31" s="127">
        <v>0</v>
      </c>
      <c r="F31" s="298">
        <f>D31*('Flock assumptions'!$D$6+'Flock assumptions'!$D$9)/'Flock assumptions'!$D$6</f>
        <v>0</v>
      </c>
      <c r="G31" s="24"/>
      <c r="H31" s="24"/>
      <c r="I31" s="24"/>
      <c r="J31" s="24"/>
      <c r="K31" s="24"/>
      <c r="L31" s="24"/>
      <c r="M31" s="24"/>
    </row>
    <row r="32" spans="2:20" ht="15.75" x14ac:dyDescent="0.25">
      <c r="B32" s="24" t="s">
        <v>77</v>
      </c>
      <c r="C32" s="67" t="s">
        <v>79</v>
      </c>
      <c r="D32" s="129">
        <v>0.25</v>
      </c>
      <c r="E32" s="127">
        <v>600</v>
      </c>
      <c r="F32" s="298">
        <f>(D32*E32)/'Flock assumptions'!$D$6</f>
        <v>3</v>
      </c>
      <c r="G32" s="24"/>
      <c r="H32" s="24"/>
      <c r="I32" s="24"/>
      <c r="J32" s="24"/>
      <c r="K32" s="24"/>
      <c r="L32" s="24"/>
      <c r="M32" s="24"/>
    </row>
    <row r="33" spans="2:16" ht="15.75" x14ac:dyDescent="0.25">
      <c r="B33" s="24" t="s">
        <v>83</v>
      </c>
      <c r="C33" s="67" t="s">
        <v>79</v>
      </c>
      <c r="D33" s="129">
        <v>0.25</v>
      </c>
      <c r="E33" s="127">
        <v>300</v>
      </c>
      <c r="F33" s="298">
        <f>(D33*E33)/'Flock assumptions'!$D$6</f>
        <v>1.5</v>
      </c>
      <c r="G33" s="24"/>
      <c r="H33" s="24"/>
      <c r="I33" s="24"/>
      <c r="J33" s="24"/>
      <c r="K33" s="24"/>
      <c r="L33" s="24"/>
      <c r="M33" s="24"/>
    </row>
    <row r="34" spans="2:16" ht="17.25" customHeight="1" x14ac:dyDescent="0.25">
      <c r="B34" s="24" t="s">
        <v>80</v>
      </c>
      <c r="C34" s="67" t="s">
        <v>78</v>
      </c>
      <c r="D34" s="24">
        <v>1</v>
      </c>
      <c r="E34" s="127">
        <v>0</v>
      </c>
      <c r="F34" s="287">
        <f>(D34*E34)/'Flock assumptions'!$D$6</f>
        <v>0</v>
      </c>
      <c r="G34" s="24"/>
      <c r="H34" s="24"/>
      <c r="I34" s="24"/>
      <c r="J34" s="24"/>
      <c r="K34" s="24"/>
      <c r="L34" s="24"/>
      <c r="M34" s="24"/>
      <c r="P34" s="15"/>
    </row>
    <row r="35" spans="2:16" ht="15.75" x14ac:dyDescent="0.25">
      <c r="B35" s="44" t="s">
        <v>81</v>
      </c>
      <c r="C35" s="51"/>
      <c r="D35" s="51"/>
      <c r="E35" s="52"/>
      <c r="F35" s="52">
        <f>SUM(F26:F34)</f>
        <v>51.464610000000008</v>
      </c>
      <c r="G35" s="24"/>
      <c r="H35" s="24"/>
      <c r="I35" s="24"/>
      <c r="J35" s="24"/>
      <c r="K35" s="24"/>
      <c r="L35" s="24"/>
      <c r="M35" s="24"/>
      <c r="P35" s="15"/>
    </row>
    <row r="36" spans="2:16" ht="15.75" hidden="1" x14ac:dyDescent="0.25">
      <c r="H36" s="24"/>
      <c r="I36" s="24"/>
      <c r="J36" s="24"/>
      <c r="K36" s="24"/>
      <c r="L36" s="24"/>
      <c r="M36" s="24"/>
    </row>
    <row r="41" spans="2:16" ht="18.75" hidden="1" customHeight="1" x14ac:dyDescent="0.25"/>
  </sheetData>
  <sheetProtection sheet="1" objects="1" scenarios="1"/>
  <mergeCells count="3">
    <mergeCell ref="B5:F5"/>
    <mergeCell ref="B15:F15"/>
    <mergeCell ref="B2:L2"/>
  </mergeCells>
  <pageMargins left="0.7" right="0.7" top="0.75" bottom="0.75" header="0.3" footer="0.3"/>
  <pageSetup scale="81" fitToWidth="2" orientation="landscape" r:id="rId1"/>
  <ignoredErrors>
    <ignoredError sqref="F9:F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N65"/>
  <sheetViews>
    <sheetView showGridLines="0" zoomScaleNormal="100" workbookViewId="0">
      <selection activeCell="B8" sqref="B8"/>
    </sheetView>
  </sheetViews>
  <sheetFormatPr defaultColWidth="0" defaultRowHeight="15" zeroHeight="1" x14ac:dyDescent="0.25"/>
  <cols>
    <col min="1" max="1" width="3.125" style="6" customWidth="1"/>
    <col min="2" max="2" width="45.875" style="6" customWidth="1"/>
    <col min="3" max="3" width="12.75" style="6" customWidth="1"/>
    <col min="4" max="7" width="10.625" style="6" customWidth="1"/>
    <col min="8" max="8" width="11.375" style="6" customWidth="1"/>
    <col min="9" max="11" width="11.625" style="6" customWidth="1"/>
    <col min="12" max="12" width="10.625" style="6" customWidth="1"/>
    <col min="13" max="13" width="3.125" style="6" customWidth="1"/>
    <col min="14" max="14" width="10" style="6" hidden="1" customWidth="1"/>
    <col min="15" max="16384" width="9" style="6" hidden="1"/>
  </cols>
  <sheetData>
    <row r="1" spans="2:12" x14ac:dyDescent="0.25"/>
    <row r="2" spans="2:12" ht="21" x14ac:dyDescent="0.35">
      <c r="B2" s="378" t="s">
        <v>355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2:12" x14ac:dyDescent="0.25"/>
    <row r="4" spans="2:12" ht="15.75" x14ac:dyDescent="0.25">
      <c r="B4" s="250" t="s">
        <v>356</v>
      </c>
      <c r="C4" s="250"/>
      <c r="D4" s="250"/>
      <c r="E4" s="250"/>
      <c r="F4" s="250"/>
      <c r="G4" s="250"/>
      <c r="H4" s="250"/>
      <c r="I4" s="250"/>
      <c r="J4" s="250"/>
      <c r="L4" s="45"/>
    </row>
    <row r="5" spans="2:12" ht="15" customHeight="1" x14ac:dyDescent="0.25">
      <c r="B5" s="321" t="s">
        <v>316</v>
      </c>
      <c r="C5" s="81" t="s">
        <v>18</v>
      </c>
      <c r="D5" s="81" t="s">
        <v>19</v>
      </c>
      <c r="E5" s="81" t="s">
        <v>33</v>
      </c>
      <c r="F5" s="81" t="s">
        <v>40</v>
      </c>
      <c r="G5" s="81" t="s">
        <v>21</v>
      </c>
      <c r="H5" s="81" t="s">
        <v>8</v>
      </c>
      <c r="I5" s="81" t="s">
        <v>20</v>
      </c>
      <c r="J5" s="81" t="s">
        <v>342</v>
      </c>
      <c r="K5" s="81" t="s">
        <v>22</v>
      </c>
      <c r="L5" s="45"/>
    </row>
    <row r="6" spans="2:12" ht="15" customHeight="1" x14ac:dyDescent="0.25">
      <c r="B6" s="322"/>
      <c r="C6" s="82" t="s">
        <v>341</v>
      </c>
      <c r="D6" s="82" t="s">
        <v>340</v>
      </c>
      <c r="E6" s="82" t="s">
        <v>30</v>
      </c>
      <c r="F6" s="82" t="s">
        <v>31</v>
      </c>
      <c r="G6" s="82" t="s">
        <v>31</v>
      </c>
      <c r="H6" s="82" t="s">
        <v>339</v>
      </c>
      <c r="I6" s="82" t="s">
        <v>31</v>
      </c>
      <c r="J6" s="82" t="s">
        <v>109</v>
      </c>
      <c r="K6" s="82" t="s">
        <v>32</v>
      </c>
      <c r="L6" s="45"/>
    </row>
    <row r="7" spans="2:12" ht="15" customHeight="1" x14ac:dyDescent="0.25">
      <c r="B7" s="209" t="s">
        <v>353</v>
      </c>
      <c r="C7" s="145"/>
      <c r="D7" s="145"/>
      <c r="E7" s="145"/>
      <c r="F7" s="145"/>
      <c r="G7" s="145"/>
      <c r="H7" s="145"/>
      <c r="I7" s="145"/>
      <c r="J7" s="145"/>
      <c r="K7" s="145"/>
      <c r="L7" s="45"/>
    </row>
    <row r="8" spans="2:12" ht="15" customHeight="1" x14ac:dyDescent="0.25">
      <c r="B8" s="109" t="s">
        <v>229</v>
      </c>
      <c r="C8" s="98">
        <v>10000</v>
      </c>
      <c r="D8" s="88">
        <v>0.2</v>
      </c>
      <c r="E8" s="110">
        <v>25</v>
      </c>
      <c r="F8" s="111">
        <v>8.0000000000000002E-3</v>
      </c>
      <c r="G8" s="112">
        <v>1.4999999999999999E-2</v>
      </c>
      <c r="H8" s="145"/>
      <c r="I8" s="323"/>
      <c r="J8" s="145"/>
      <c r="K8" s="88">
        <v>1</v>
      </c>
      <c r="L8" s="45"/>
    </row>
    <row r="9" spans="2:12" ht="15" customHeight="1" x14ac:dyDescent="0.25">
      <c r="B9" s="109" t="s">
        <v>97</v>
      </c>
      <c r="C9" s="98">
        <v>1500</v>
      </c>
      <c r="D9" s="88">
        <v>0.2</v>
      </c>
      <c r="E9" s="110">
        <v>20</v>
      </c>
      <c r="F9" s="112">
        <v>0</v>
      </c>
      <c r="G9" s="112">
        <v>0.03</v>
      </c>
      <c r="H9" s="145"/>
      <c r="I9" s="323"/>
      <c r="J9" s="145"/>
      <c r="K9" s="88">
        <v>1</v>
      </c>
      <c r="L9" s="45"/>
    </row>
    <row r="10" spans="2:12" ht="15" customHeight="1" x14ac:dyDescent="0.25">
      <c r="B10" s="113" t="s">
        <v>164</v>
      </c>
      <c r="C10" s="98">
        <v>0</v>
      </c>
      <c r="D10" s="88">
        <v>0</v>
      </c>
      <c r="E10" s="110">
        <v>0</v>
      </c>
      <c r="F10" s="112">
        <v>0</v>
      </c>
      <c r="G10" s="112">
        <v>0</v>
      </c>
      <c r="H10" s="145"/>
      <c r="I10" s="323"/>
      <c r="J10" s="145"/>
      <c r="K10" s="88">
        <v>0</v>
      </c>
      <c r="L10" s="45"/>
    </row>
    <row r="11" spans="2:12" ht="15" customHeight="1" x14ac:dyDescent="0.25">
      <c r="B11" s="324" t="s">
        <v>354</v>
      </c>
      <c r="C11" s="325"/>
      <c r="D11" s="170"/>
      <c r="E11" s="145"/>
      <c r="F11" s="323"/>
      <c r="G11" s="145"/>
      <c r="H11" s="323"/>
      <c r="I11" s="323"/>
      <c r="J11" s="145"/>
      <c r="K11" s="170"/>
      <c r="L11" s="45"/>
    </row>
    <row r="12" spans="2:12" ht="15" customHeight="1" x14ac:dyDescent="0.25">
      <c r="B12" s="109" t="s">
        <v>255</v>
      </c>
      <c r="C12" s="98">
        <v>27000</v>
      </c>
      <c r="D12" s="88">
        <v>0.2</v>
      </c>
      <c r="E12" s="110">
        <v>15</v>
      </c>
      <c r="F12" s="112">
        <v>0.02</v>
      </c>
      <c r="G12" s="112">
        <v>2.5000000000000001E-2</v>
      </c>
      <c r="H12" s="110">
        <f>55*'Cost assumptions'!D30</f>
        <v>2.42</v>
      </c>
      <c r="I12" s="112">
        <f>H12*0.15</f>
        <v>0.36299999999999999</v>
      </c>
      <c r="J12" s="110">
        <v>50</v>
      </c>
      <c r="K12" s="88">
        <v>0.5</v>
      </c>
      <c r="L12" s="45"/>
    </row>
    <row r="13" spans="2:12" ht="15.75" x14ac:dyDescent="0.25">
      <c r="B13" s="109" t="s">
        <v>104</v>
      </c>
      <c r="C13" s="98">
        <v>15000</v>
      </c>
      <c r="D13" s="88">
        <v>0.15</v>
      </c>
      <c r="E13" s="110">
        <v>12</v>
      </c>
      <c r="F13" s="112">
        <v>0.02</v>
      </c>
      <c r="G13" s="112">
        <v>3.5000000000000003E-2</v>
      </c>
      <c r="H13" s="110">
        <v>7.4999999999999997E-2</v>
      </c>
      <c r="I13" s="112">
        <v>0.08</v>
      </c>
      <c r="J13" s="109">
        <v>2000</v>
      </c>
      <c r="K13" s="88">
        <v>0.5</v>
      </c>
      <c r="L13" s="45"/>
    </row>
    <row r="14" spans="2:12" ht="15.75" x14ac:dyDescent="0.25">
      <c r="B14" s="109" t="s">
        <v>23</v>
      </c>
      <c r="C14" s="98">
        <v>5000</v>
      </c>
      <c r="D14" s="88">
        <v>0.2</v>
      </c>
      <c r="E14" s="110">
        <v>15</v>
      </c>
      <c r="F14" s="112">
        <v>0.01</v>
      </c>
      <c r="G14" s="112">
        <v>0.02</v>
      </c>
      <c r="H14" s="110">
        <v>0</v>
      </c>
      <c r="I14" s="112">
        <v>0</v>
      </c>
      <c r="J14" s="109">
        <v>0</v>
      </c>
      <c r="K14" s="88">
        <v>1</v>
      </c>
      <c r="L14" s="45"/>
    </row>
    <row r="15" spans="2:12" ht="15.75" x14ac:dyDescent="0.25">
      <c r="B15" s="109" t="s">
        <v>160</v>
      </c>
      <c r="C15" s="98">
        <v>2000</v>
      </c>
      <c r="D15" s="88">
        <v>0.2</v>
      </c>
      <c r="E15" s="110">
        <v>10</v>
      </c>
      <c r="F15" s="112">
        <v>0.01</v>
      </c>
      <c r="G15" s="112">
        <v>0.05</v>
      </c>
      <c r="H15" s="110">
        <v>0</v>
      </c>
      <c r="I15" s="112">
        <v>0</v>
      </c>
      <c r="J15" s="109">
        <v>0</v>
      </c>
      <c r="K15" s="88">
        <v>0</v>
      </c>
      <c r="L15" s="45"/>
    </row>
    <row r="16" spans="2:12" ht="15.75" x14ac:dyDescent="0.25">
      <c r="B16" s="109" t="s">
        <v>103</v>
      </c>
      <c r="C16" s="98">
        <v>7500</v>
      </c>
      <c r="D16" s="88">
        <v>0.15</v>
      </c>
      <c r="E16" s="110">
        <v>10</v>
      </c>
      <c r="F16" s="112">
        <v>0.02</v>
      </c>
      <c r="G16" s="112">
        <v>0.02</v>
      </c>
      <c r="H16" s="110">
        <v>0.33</v>
      </c>
      <c r="I16" s="112">
        <v>0.08</v>
      </c>
      <c r="J16" s="110">
        <v>100</v>
      </c>
      <c r="K16" s="88">
        <v>0</v>
      </c>
      <c r="L16" s="45"/>
    </row>
    <row r="17" spans="2:13" ht="15.75" x14ac:dyDescent="0.25">
      <c r="B17" s="115" t="s">
        <v>165</v>
      </c>
      <c r="C17" s="100">
        <v>0</v>
      </c>
      <c r="D17" s="114">
        <v>0</v>
      </c>
      <c r="E17" s="116">
        <v>0</v>
      </c>
      <c r="F17" s="117">
        <v>0</v>
      </c>
      <c r="G17" s="116">
        <v>0</v>
      </c>
      <c r="H17" s="117">
        <v>0</v>
      </c>
      <c r="I17" s="117">
        <v>0</v>
      </c>
      <c r="J17" s="116">
        <v>0</v>
      </c>
      <c r="K17" s="114">
        <v>0</v>
      </c>
      <c r="L17" s="45"/>
    </row>
    <row r="18" spans="2:13" ht="15.75" x14ac:dyDescent="0.25">
      <c r="B18" s="326" t="s">
        <v>13</v>
      </c>
      <c r="C18" s="239">
        <f>SUM(C8:C17)</f>
        <v>68000</v>
      </c>
      <c r="D18" s="239">
        <f>SUMPRODUCT(C8:C16,D8:D16)</f>
        <v>12475</v>
      </c>
      <c r="E18" s="250"/>
      <c r="F18" s="327"/>
      <c r="G18" s="327"/>
      <c r="H18" s="327"/>
      <c r="I18" s="327"/>
      <c r="J18" s="327"/>
      <c r="K18" s="327"/>
      <c r="L18" s="45"/>
      <c r="M18" s="328"/>
    </row>
    <row r="19" spans="2:13" ht="15.75" x14ac:dyDescent="0.25">
      <c r="B19" s="71" t="s">
        <v>359</v>
      </c>
      <c r="C19" s="236"/>
      <c r="D19" s="236"/>
      <c r="E19" s="45"/>
      <c r="F19" s="43"/>
      <c r="G19" s="43"/>
      <c r="H19" s="43"/>
      <c r="I19" s="43"/>
      <c r="J19" s="43"/>
      <c r="K19" s="43"/>
      <c r="L19" s="45"/>
      <c r="M19" s="328"/>
    </row>
    <row r="20" spans="2:13" ht="15" customHeight="1" x14ac:dyDescent="0.25">
      <c r="B20" s="329"/>
      <c r="C20" s="330"/>
      <c r="D20" s="45"/>
      <c r="E20" s="45"/>
      <c r="F20" s="43"/>
      <c r="G20" s="43"/>
      <c r="H20" s="43"/>
      <c r="I20" s="43"/>
      <c r="J20" s="43"/>
      <c r="K20" s="43"/>
      <c r="L20" s="45"/>
      <c r="M20" s="328"/>
    </row>
    <row r="21" spans="2:13" ht="15" customHeight="1" x14ac:dyDescent="0.25">
      <c r="B21" s="45" t="s">
        <v>343</v>
      </c>
      <c r="C21" s="330"/>
      <c r="D21" s="45"/>
      <c r="E21" s="45"/>
      <c r="F21" s="43"/>
      <c r="G21" s="43"/>
      <c r="H21" s="43"/>
      <c r="I21" s="43"/>
      <c r="J21" s="43"/>
      <c r="K21" s="43"/>
      <c r="L21" s="45"/>
      <c r="M21" s="328"/>
    </row>
    <row r="22" spans="2:13" ht="15.75" x14ac:dyDescent="0.25">
      <c r="B22" s="321" t="s">
        <v>316</v>
      </c>
      <c r="C22" s="81" t="s">
        <v>121</v>
      </c>
      <c r="D22" s="81" t="s">
        <v>26</v>
      </c>
      <c r="E22" s="81" t="s">
        <v>25</v>
      </c>
      <c r="F22" s="81" t="s">
        <v>24</v>
      </c>
      <c r="G22" s="81" t="s">
        <v>21</v>
      </c>
      <c r="H22" s="81" t="s">
        <v>8</v>
      </c>
      <c r="I22" s="81" t="s">
        <v>20</v>
      </c>
      <c r="J22" s="81" t="s">
        <v>27</v>
      </c>
      <c r="K22" s="45"/>
      <c r="L22" s="118" t="s">
        <v>63</v>
      </c>
    </row>
    <row r="23" spans="2:13" ht="15.75" x14ac:dyDescent="0.25">
      <c r="B23" s="331"/>
      <c r="C23" s="82" t="s">
        <v>357</v>
      </c>
      <c r="D23" s="82" t="s">
        <v>357</v>
      </c>
      <c r="E23" s="82"/>
      <c r="F23" s="82"/>
      <c r="G23" s="82"/>
      <c r="H23" s="82"/>
      <c r="I23" s="82"/>
      <c r="J23" s="82" t="s">
        <v>28</v>
      </c>
      <c r="K23" s="45"/>
      <c r="L23" s="42" t="s">
        <v>102</v>
      </c>
    </row>
    <row r="24" spans="2:13" ht="15.75" x14ac:dyDescent="0.25">
      <c r="B24" s="291" t="str">
        <f>B8</f>
        <v>Buildings for kidding and storage</v>
      </c>
      <c r="C24" s="119">
        <f>(C8+(C8*D8))/2</f>
        <v>6000</v>
      </c>
      <c r="D24" s="119">
        <f>C24/2*Budget!$G$35/100</f>
        <v>210.00000000000003</v>
      </c>
      <c r="E24" s="119">
        <f>IFERROR(C8*(1-D8)/E8,0)</f>
        <v>320</v>
      </c>
      <c r="F24" s="120">
        <f>C8*F8</f>
        <v>80</v>
      </c>
      <c r="G24" s="120">
        <f>G8*C8</f>
        <v>150</v>
      </c>
      <c r="H24" s="325"/>
      <c r="I24" s="325"/>
      <c r="J24" s="325"/>
      <c r="K24" s="45"/>
      <c r="L24" s="192">
        <f>IFERROR(SUM(D24:G24)/C8,0)</f>
        <v>7.5999999999999998E-2</v>
      </c>
    </row>
    <row r="25" spans="2:13" ht="15.75" x14ac:dyDescent="0.25">
      <c r="B25" s="291" t="str">
        <f>B9</f>
        <v>Working system, pens, feeders, water</v>
      </c>
      <c r="C25" s="119">
        <f>(C9+(C9*D9))/2</f>
        <v>900</v>
      </c>
      <c r="D25" s="119">
        <f>C25/2*Budget!$G$35/100</f>
        <v>31.500000000000004</v>
      </c>
      <c r="E25" s="119">
        <f>IFERROR(C9*(1-D9)/E9,0)</f>
        <v>60</v>
      </c>
      <c r="F25" s="120">
        <f>C9*F9</f>
        <v>0</v>
      </c>
      <c r="G25" s="120">
        <f>G9*C9</f>
        <v>45</v>
      </c>
      <c r="H25" s="325"/>
      <c r="I25" s="325"/>
      <c r="J25" s="325"/>
      <c r="K25" s="45"/>
      <c r="L25" s="192">
        <f>IFERROR(SUM(D25:G25)/C9,0)</f>
        <v>9.0999999999999998E-2</v>
      </c>
    </row>
    <row r="26" spans="2:13" ht="15.75" x14ac:dyDescent="0.25">
      <c r="B26" s="291" t="str">
        <f>B10</f>
        <v>Line to add optional facility</v>
      </c>
      <c r="C26" s="119">
        <f>(C10+(C10*D10))/2</f>
        <v>0</v>
      </c>
      <c r="D26" s="119">
        <f>C26/2*Budget!$G$35/100</f>
        <v>0</v>
      </c>
      <c r="E26" s="119">
        <f>IFERROR(C10*(1-D10)/E10,0)</f>
        <v>0</v>
      </c>
      <c r="F26" s="120">
        <f>C10*F10</f>
        <v>0</v>
      </c>
      <c r="G26" s="120">
        <f>G10*C10</f>
        <v>0</v>
      </c>
      <c r="H26" s="325"/>
      <c r="I26" s="325"/>
      <c r="J26" s="325"/>
      <c r="K26" s="45"/>
      <c r="L26" s="192">
        <f>IFERROR(SUM(D26:G26)/C10,0)</f>
        <v>0</v>
      </c>
    </row>
    <row r="27" spans="2:13" ht="15.75" x14ac:dyDescent="0.25">
      <c r="B27" s="291" t="str">
        <f t="shared" ref="B27:B32" si="0">B12</f>
        <v>Tractor-loader, 55 Hp TWD (hr)</v>
      </c>
      <c r="C27" s="120">
        <f t="shared" ref="C27:C32" si="1">(C12+(C12*D12))/2</f>
        <v>16200</v>
      </c>
      <c r="D27" s="119">
        <f>C27/2*Budget!$G$35/100</f>
        <v>567.00000000000011</v>
      </c>
      <c r="E27" s="120">
        <f t="shared" ref="E27:E32" si="2">IFERROR(C12*(1-D12)/E12,0)</f>
        <v>1440</v>
      </c>
      <c r="F27" s="120">
        <f t="shared" ref="F27:F32" si="3">C12*F12</f>
        <v>540</v>
      </c>
      <c r="G27" s="120">
        <f t="shared" ref="G27:G32" si="4">C12*G12</f>
        <v>675</v>
      </c>
      <c r="H27" s="120">
        <f>H12*J12*'Cost assumptions'!$D$28</f>
        <v>350.9</v>
      </c>
      <c r="I27" s="120">
        <f t="shared" ref="I27:I32" si="5">H27*I12</f>
        <v>127.37669999999999</v>
      </c>
      <c r="J27" s="120">
        <f t="shared" ref="J27:J32" si="6">IFERROR(SUM(G27:I27)/J12,0)</f>
        <v>23.065534000000003</v>
      </c>
      <c r="K27" s="45"/>
      <c r="L27" s="192">
        <f t="shared" ref="L27:L32" si="7">IFERROR(SUM(D27:G27)/C12,0)</f>
        <v>0.11933333333333333</v>
      </c>
    </row>
    <row r="28" spans="2:13" ht="15.75" x14ac:dyDescent="0.25">
      <c r="B28" s="291" t="str">
        <f t="shared" si="0"/>
        <v>Pickup (mi)</v>
      </c>
      <c r="C28" s="120">
        <f t="shared" si="1"/>
        <v>8625</v>
      </c>
      <c r="D28" s="119">
        <f>C28/2*Budget!$G$35/100</f>
        <v>301.87500000000006</v>
      </c>
      <c r="E28" s="120">
        <f t="shared" si="2"/>
        <v>1062.5</v>
      </c>
      <c r="F28" s="120">
        <f t="shared" si="3"/>
        <v>300</v>
      </c>
      <c r="G28" s="120">
        <f t="shared" si="4"/>
        <v>525</v>
      </c>
      <c r="H28" s="119">
        <f>H13*J13*'Cost assumptions'!$D$29</f>
        <v>496.5</v>
      </c>
      <c r="I28" s="119">
        <f t="shared" si="5"/>
        <v>39.72</v>
      </c>
      <c r="J28" s="120">
        <f t="shared" si="6"/>
        <v>0.53061000000000003</v>
      </c>
      <c r="K28" s="45"/>
      <c r="L28" s="192">
        <f t="shared" si="7"/>
        <v>0.14595833333333333</v>
      </c>
    </row>
    <row r="29" spans="2:13" ht="15.75" x14ac:dyDescent="0.25">
      <c r="B29" s="291" t="str">
        <f t="shared" si="0"/>
        <v>Stock trailer, 16 ft.</v>
      </c>
      <c r="C29" s="120">
        <f t="shared" si="1"/>
        <v>3000</v>
      </c>
      <c r="D29" s="119">
        <f>C29/2*Budget!$G$35/100</f>
        <v>105.00000000000001</v>
      </c>
      <c r="E29" s="120">
        <f t="shared" si="2"/>
        <v>266.66666666666669</v>
      </c>
      <c r="F29" s="120">
        <f t="shared" si="3"/>
        <v>50</v>
      </c>
      <c r="G29" s="120">
        <f t="shared" si="4"/>
        <v>100</v>
      </c>
      <c r="H29" s="119">
        <f>H14*J14*'Cost assumptions'!$D$28</f>
        <v>0</v>
      </c>
      <c r="I29" s="119">
        <f t="shared" si="5"/>
        <v>0</v>
      </c>
      <c r="J29" s="120">
        <f t="shared" si="6"/>
        <v>0</v>
      </c>
      <c r="K29" s="45"/>
      <c r="L29" s="192">
        <f t="shared" si="7"/>
        <v>0.10433333333333335</v>
      </c>
    </row>
    <row r="30" spans="2:13" ht="15.75" x14ac:dyDescent="0.25">
      <c r="B30" s="291" t="str">
        <f t="shared" si="0"/>
        <v>Rotary mower, 8 ft.</v>
      </c>
      <c r="C30" s="120">
        <f t="shared" si="1"/>
        <v>1200</v>
      </c>
      <c r="D30" s="119">
        <f>C30/2*Budget!$G$35/100</f>
        <v>42.000000000000007</v>
      </c>
      <c r="E30" s="120">
        <f t="shared" si="2"/>
        <v>160</v>
      </c>
      <c r="F30" s="120">
        <f t="shared" si="3"/>
        <v>20</v>
      </c>
      <c r="G30" s="120">
        <f t="shared" si="4"/>
        <v>100</v>
      </c>
      <c r="H30" s="119">
        <f>H15*J15*'Cost assumptions'!$D$28</f>
        <v>0</v>
      </c>
      <c r="I30" s="119">
        <f t="shared" si="5"/>
        <v>0</v>
      </c>
      <c r="J30" s="120">
        <f t="shared" si="6"/>
        <v>0</v>
      </c>
      <c r="K30" s="45"/>
      <c r="L30" s="192">
        <f t="shared" si="7"/>
        <v>0.161</v>
      </c>
    </row>
    <row r="31" spans="2:13" ht="15.75" x14ac:dyDescent="0.25">
      <c r="B31" s="291" t="str">
        <f t="shared" si="0"/>
        <v>ATV (hr)</v>
      </c>
      <c r="C31" s="120">
        <f t="shared" si="1"/>
        <v>4312.5</v>
      </c>
      <c r="D31" s="119">
        <f>C31/2*Budget!$G$35/100</f>
        <v>150.93750000000003</v>
      </c>
      <c r="E31" s="120">
        <f t="shared" si="2"/>
        <v>637.5</v>
      </c>
      <c r="F31" s="120">
        <f t="shared" si="3"/>
        <v>150</v>
      </c>
      <c r="G31" s="120">
        <f t="shared" si="4"/>
        <v>150</v>
      </c>
      <c r="H31" s="119">
        <f>H16*J16*'Cost assumptions'!$D$28</f>
        <v>95.7</v>
      </c>
      <c r="I31" s="119">
        <f t="shared" si="5"/>
        <v>7.6560000000000006</v>
      </c>
      <c r="J31" s="120">
        <f t="shared" si="6"/>
        <v>2.53356</v>
      </c>
      <c r="K31" s="45"/>
      <c r="L31" s="192">
        <f t="shared" si="7"/>
        <v>0.145125</v>
      </c>
    </row>
    <row r="32" spans="2:13" ht="15.75" x14ac:dyDescent="0.25">
      <c r="B32" s="294" t="str">
        <f t="shared" si="0"/>
        <v>Line to add optional equipment</v>
      </c>
      <c r="C32" s="121">
        <f t="shared" si="1"/>
        <v>0</v>
      </c>
      <c r="D32" s="122">
        <f>C32/2*Budget!$G$35/100</f>
        <v>0</v>
      </c>
      <c r="E32" s="121">
        <f t="shared" si="2"/>
        <v>0</v>
      </c>
      <c r="F32" s="121">
        <f t="shared" si="3"/>
        <v>0</v>
      </c>
      <c r="G32" s="121">
        <f t="shared" si="4"/>
        <v>0</v>
      </c>
      <c r="H32" s="122">
        <f>H17*J17*'Cost assumptions'!$D$28</f>
        <v>0</v>
      </c>
      <c r="I32" s="122">
        <f t="shared" si="5"/>
        <v>0</v>
      </c>
      <c r="J32" s="121">
        <f t="shared" si="6"/>
        <v>0</v>
      </c>
      <c r="K32" s="45"/>
      <c r="L32" s="192">
        <f t="shared" si="7"/>
        <v>0</v>
      </c>
    </row>
    <row r="33" spans="2:12" ht="15.75" x14ac:dyDescent="0.25">
      <c r="B33" s="326" t="s">
        <v>13</v>
      </c>
      <c r="C33" s="239">
        <f t="shared" ref="C33:I33" si="8">SUM(C24:C32)</f>
        <v>40237.5</v>
      </c>
      <c r="D33" s="239">
        <f t="shared" si="8"/>
        <v>1408.3125000000002</v>
      </c>
      <c r="E33" s="239">
        <f t="shared" si="8"/>
        <v>3946.6666666666665</v>
      </c>
      <c r="F33" s="239">
        <f t="shared" si="8"/>
        <v>1140</v>
      </c>
      <c r="G33" s="239">
        <f t="shared" si="8"/>
        <v>1745</v>
      </c>
      <c r="H33" s="239">
        <f t="shared" si="8"/>
        <v>943.1</v>
      </c>
      <c r="I33" s="239">
        <f t="shared" si="8"/>
        <v>174.7527</v>
      </c>
      <c r="J33" s="239"/>
      <c r="K33" s="45"/>
      <c r="L33" s="45"/>
    </row>
    <row r="34" spans="2:12" ht="15" customHeight="1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2:12" ht="15" customHeight="1" x14ac:dyDescent="0.25">
      <c r="B35" s="45" t="s">
        <v>344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2:12" ht="15.75" x14ac:dyDescent="0.25">
      <c r="B36" s="321" t="s">
        <v>316</v>
      </c>
      <c r="C36" s="81" t="s">
        <v>121</v>
      </c>
      <c r="D36" s="81" t="s">
        <v>29</v>
      </c>
      <c r="E36" s="81" t="s">
        <v>25</v>
      </c>
      <c r="F36" s="81" t="s">
        <v>24</v>
      </c>
      <c r="G36" s="81" t="s">
        <v>21</v>
      </c>
      <c r="H36" s="81" t="s">
        <v>8</v>
      </c>
      <c r="I36" s="81" t="s">
        <v>20</v>
      </c>
      <c r="J36" s="45"/>
      <c r="K36" s="45"/>
      <c r="L36" s="45"/>
    </row>
    <row r="37" spans="2:12" ht="15.75" x14ac:dyDescent="0.25">
      <c r="B37" s="250"/>
      <c r="C37" s="82" t="s">
        <v>357</v>
      </c>
      <c r="D37" s="82" t="s">
        <v>345</v>
      </c>
      <c r="E37" s="82"/>
      <c r="F37" s="82"/>
      <c r="G37" s="82"/>
      <c r="H37" s="82"/>
      <c r="I37" s="82"/>
      <c r="J37" s="45"/>
      <c r="K37" s="45"/>
      <c r="L37" s="45"/>
    </row>
    <row r="38" spans="2:12" ht="15.75" x14ac:dyDescent="0.25">
      <c r="B38" s="291" t="str">
        <f>B8</f>
        <v>Buildings for kidding and storage</v>
      </c>
      <c r="C38" s="236">
        <f>C24*K8</f>
        <v>6000</v>
      </c>
      <c r="D38" s="236">
        <f>D24*K8</f>
        <v>210.00000000000003</v>
      </c>
      <c r="E38" s="236">
        <f>E24*$K$8</f>
        <v>320</v>
      </c>
      <c r="F38" s="236">
        <f t="shared" ref="E38:F40" si="9">F24*$K$8</f>
        <v>80</v>
      </c>
      <c r="G38" s="236">
        <f>G24*K8</f>
        <v>150</v>
      </c>
      <c r="H38" s="325"/>
      <c r="I38" s="325"/>
      <c r="J38" s="45"/>
      <c r="K38" s="45"/>
      <c r="L38" s="45"/>
    </row>
    <row r="39" spans="2:12" ht="15.75" x14ac:dyDescent="0.25">
      <c r="B39" s="291" t="str">
        <f>B9</f>
        <v>Working system, pens, feeders, water</v>
      </c>
      <c r="C39" s="236">
        <f>C25*K9</f>
        <v>900</v>
      </c>
      <c r="D39" s="236">
        <f>D25*K9</f>
        <v>31.500000000000004</v>
      </c>
      <c r="E39" s="236">
        <f t="shared" si="9"/>
        <v>60</v>
      </c>
      <c r="F39" s="236">
        <f t="shared" si="9"/>
        <v>0</v>
      </c>
      <c r="G39" s="236">
        <f>G25*K9</f>
        <v>45</v>
      </c>
      <c r="H39" s="325"/>
      <c r="I39" s="325"/>
      <c r="J39" s="45"/>
      <c r="K39" s="45"/>
      <c r="L39" s="45"/>
    </row>
    <row r="40" spans="2:12" ht="15.75" x14ac:dyDescent="0.25">
      <c r="B40" s="291" t="str">
        <f>B10</f>
        <v>Line to add optional facility</v>
      </c>
      <c r="C40" s="236">
        <f>C26*K10</f>
        <v>0</v>
      </c>
      <c r="D40" s="236">
        <f>D26*K10</f>
        <v>0</v>
      </c>
      <c r="E40" s="236">
        <f t="shared" si="9"/>
        <v>0</v>
      </c>
      <c r="F40" s="236">
        <f t="shared" si="9"/>
        <v>0</v>
      </c>
      <c r="G40" s="236">
        <f>G26*K10</f>
        <v>0</v>
      </c>
      <c r="H40" s="325"/>
      <c r="I40" s="325"/>
      <c r="J40" s="45"/>
      <c r="K40" s="45" t="s">
        <v>34</v>
      </c>
      <c r="L40" s="45"/>
    </row>
    <row r="41" spans="2:12" ht="15.75" x14ac:dyDescent="0.25">
      <c r="B41" s="291" t="str">
        <f t="shared" ref="B41:B46" si="10">B12</f>
        <v>Tractor-loader, 55 Hp TWD (hr)</v>
      </c>
      <c r="C41" s="236">
        <f t="shared" ref="C41:C46" si="11">C27*K12</f>
        <v>8100</v>
      </c>
      <c r="D41" s="236">
        <f t="shared" ref="D41:D46" si="12">D27*K12</f>
        <v>283.50000000000006</v>
      </c>
      <c r="E41" s="236">
        <f t="shared" ref="E41:E46" si="13">E27*K12</f>
        <v>720</v>
      </c>
      <c r="F41" s="236">
        <f t="shared" ref="F41:F46" si="14">F27*K12</f>
        <v>270</v>
      </c>
      <c r="G41" s="236">
        <f t="shared" ref="G41:G46" si="15">G27*K12</f>
        <v>337.5</v>
      </c>
      <c r="H41" s="236">
        <f>H27*K12</f>
        <v>175.45</v>
      </c>
      <c r="I41" s="236">
        <f>I27*K12</f>
        <v>63.688349999999993</v>
      </c>
      <c r="J41" s="45"/>
      <c r="K41" s="45"/>
      <c r="L41" s="45"/>
    </row>
    <row r="42" spans="2:12" ht="15.75" x14ac:dyDescent="0.25">
      <c r="B42" s="291" t="str">
        <f t="shared" si="10"/>
        <v>Pickup (mi)</v>
      </c>
      <c r="C42" s="236">
        <f t="shared" si="11"/>
        <v>4312.5</v>
      </c>
      <c r="D42" s="236">
        <f t="shared" si="12"/>
        <v>150.93750000000003</v>
      </c>
      <c r="E42" s="236">
        <f t="shared" si="13"/>
        <v>531.25</v>
      </c>
      <c r="F42" s="236">
        <f t="shared" si="14"/>
        <v>150</v>
      </c>
      <c r="G42" s="236">
        <f t="shared" si="15"/>
        <v>262.5</v>
      </c>
      <c r="H42" s="236">
        <f>H28*K13</f>
        <v>248.25</v>
      </c>
      <c r="I42" s="236">
        <f>I28*K13</f>
        <v>19.86</v>
      </c>
      <c r="J42" s="45"/>
      <c r="K42" s="45"/>
      <c r="L42" s="45"/>
    </row>
    <row r="43" spans="2:12" ht="15.75" x14ac:dyDescent="0.25">
      <c r="B43" s="291" t="str">
        <f t="shared" si="10"/>
        <v>Stock trailer, 16 ft.</v>
      </c>
      <c r="C43" s="236">
        <f t="shared" si="11"/>
        <v>3000</v>
      </c>
      <c r="D43" s="236">
        <f t="shared" si="12"/>
        <v>105.00000000000001</v>
      </c>
      <c r="E43" s="236">
        <f t="shared" si="13"/>
        <v>266.66666666666669</v>
      </c>
      <c r="F43" s="236">
        <f t="shared" si="14"/>
        <v>50</v>
      </c>
      <c r="G43" s="236">
        <f t="shared" si="15"/>
        <v>100</v>
      </c>
      <c r="H43" s="236">
        <f>H29*K14</f>
        <v>0</v>
      </c>
      <c r="I43" s="236">
        <f>I29*K14</f>
        <v>0</v>
      </c>
      <c r="J43" s="45"/>
      <c r="K43" s="45"/>
      <c r="L43" s="45"/>
    </row>
    <row r="44" spans="2:12" ht="15.75" x14ac:dyDescent="0.25">
      <c r="B44" s="291" t="str">
        <f t="shared" si="10"/>
        <v>Rotary mower, 8 ft.</v>
      </c>
      <c r="C44" s="236">
        <f t="shared" si="11"/>
        <v>0</v>
      </c>
      <c r="D44" s="236">
        <f t="shared" si="12"/>
        <v>0</v>
      </c>
      <c r="E44" s="236">
        <f t="shared" si="13"/>
        <v>0</v>
      </c>
      <c r="F44" s="236">
        <f t="shared" si="14"/>
        <v>0</v>
      </c>
      <c r="G44" s="236">
        <f t="shared" si="15"/>
        <v>0</v>
      </c>
      <c r="H44" s="236">
        <f>H30*K15</f>
        <v>0</v>
      </c>
      <c r="I44" s="236">
        <f>I30*K15</f>
        <v>0</v>
      </c>
      <c r="J44" s="45"/>
      <c r="K44" s="45"/>
      <c r="L44" s="45"/>
    </row>
    <row r="45" spans="2:12" ht="15.75" x14ac:dyDescent="0.25">
      <c r="B45" s="291" t="str">
        <f t="shared" si="10"/>
        <v>ATV (hr)</v>
      </c>
      <c r="C45" s="236">
        <f t="shared" si="11"/>
        <v>0</v>
      </c>
      <c r="D45" s="236">
        <f t="shared" si="12"/>
        <v>0</v>
      </c>
      <c r="E45" s="236">
        <f t="shared" si="13"/>
        <v>0</v>
      </c>
      <c r="F45" s="236">
        <f t="shared" si="14"/>
        <v>0</v>
      </c>
      <c r="G45" s="236">
        <f t="shared" si="15"/>
        <v>0</v>
      </c>
      <c r="H45" s="236">
        <f>H31*K16</f>
        <v>0</v>
      </c>
      <c r="I45" s="236">
        <f>I31*K16</f>
        <v>0</v>
      </c>
      <c r="J45" s="45"/>
      <c r="K45" s="45"/>
      <c r="L45" s="45"/>
    </row>
    <row r="46" spans="2:12" ht="15.75" x14ac:dyDescent="0.25">
      <c r="B46" s="294" t="str">
        <f t="shared" si="10"/>
        <v>Line to add optional equipment</v>
      </c>
      <c r="C46" s="239">
        <f t="shared" si="11"/>
        <v>0</v>
      </c>
      <c r="D46" s="239">
        <f t="shared" si="12"/>
        <v>0</v>
      </c>
      <c r="E46" s="239">
        <f t="shared" si="13"/>
        <v>0</v>
      </c>
      <c r="F46" s="239">
        <f t="shared" si="14"/>
        <v>0</v>
      </c>
      <c r="G46" s="239">
        <f t="shared" si="15"/>
        <v>0</v>
      </c>
      <c r="H46" s="239">
        <f>H32*$K$12</f>
        <v>0</v>
      </c>
      <c r="I46" s="239">
        <f>I32*$K$12</f>
        <v>0</v>
      </c>
      <c r="J46" s="45"/>
      <c r="K46" s="45"/>
      <c r="L46" s="45"/>
    </row>
    <row r="47" spans="2:12" ht="15.75" x14ac:dyDescent="0.25">
      <c r="B47" s="332" t="s">
        <v>13</v>
      </c>
      <c r="C47" s="236">
        <f t="shared" ref="C47:I47" si="16">SUM(C38:C45)</f>
        <v>22312.5</v>
      </c>
      <c r="D47" s="236">
        <f t="shared" si="16"/>
        <v>780.93750000000011</v>
      </c>
      <c r="E47" s="236">
        <f t="shared" si="16"/>
        <v>1897.9166666666667</v>
      </c>
      <c r="F47" s="236">
        <f t="shared" si="16"/>
        <v>550</v>
      </c>
      <c r="G47" s="236">
        <f t="shared" si="16"/>
        <v>895</v>
      </c>
      <c r="H47" s="236">
        <f t="shared" si="16"/>
        <v>423.7</v>
      </c>
      <c r="I47" s="236">
        <f t="shared" si="16"/>
        <v>83.548349999999999</v>
      </c>
      <c r="J47" s="45"/>
      <c r="K47" s="45"/>
      <c r="L47" s="45"/>
    </row>
    <row r="48" spans="2:12" ht="15.75" customHeight="1" x14ac:dyDescent="0.25">
      <c r="B48" s="326" t="s">
        <v>35</v>
      </c>
      <c r="C48" s="333">
        <f t="shared" ref="C48:I48" si="17">C47/C33</f>
        <v>0.55452003727865795</v>
      </c>
      <c r="D48" s="333">
        <f t="shared" si="17"/>
        <v>0.55452003727865795</v>
      </c>
      <c r="E48" s="333">
        <f t="shared" si="17"/>
        <v>0.48089104729729731</v>
      </c>
      <c r="F48" s="333">
        <f t="shared" si="17"/>
        <v>0.48245614035087719</v>
      </c>
      <c r="G48" s="333">
        <f t="shared" si="17"/>
        <v>0.5128939828080229</v>
      </c>
      <c r="H48" s="333">
        <f t="shared" si="17"/>
        <v>0.44926306860354148</v>
      </c>
      <c r="I48" s="333">
        <f t="shared" si="17"/>
        <v>0.47809475905093313</v>
      </c>
      <c r="J48" s="45"/>
      <c r="K48" s="45"/>
      <c r="L48" s="45"/>
    </row>
    <row r="49" spans="2:12" ht="15.75" customHeight="1" x14ac:dyDescent="0.25">
      <c r="B49" s="329"/>
      <c r="C49" s="334"/>
      <c r="D49" s="45"/>
      <c r="E49" s="45"/>
      <c r="F49" s="45"/>
      <c r="G49" s="335"/>
      <c r="H49" s="45"/>
      <c r="I49" s="45"/>
      <c r="J49" s="45"/>
      <c r="K49" s="45"/>
      <c r="L49" s="45"/>
    </row>
    <row r="50" spans="2:12" ht="15.75" customHeight="1" x14ac:dyDescent="0.25">
      <c r="B50" s="45" t="s">
        <v>228</v>
      </c>
      <c r="C50" s="334"/>
      <c r="D50" s="45"/>
      <c r="E50" s="45"/>
      <c r="F50" s="45"/>
      <c r="G50" s="45"/>
      <c r="H50" s="45"/>
      <c r="I50" s="45"/>
      <c r="J50" s="45"/>
      <c r="K50" s="45"/>
      <c r="L50" s="45"/>
    </row>
    <row r="51" spans="2:12" ht="15.75" x14ac:dyDescent="0.25">
      <c r="B51" s="321" t="s">
        <v>316</v>
      </c>
      <c r="C51" s="81" t="s">
        <v>121</v>
      </c>
      <c r="D51" s="81" t="s">
        <v>29</v>
      </c>
      <c r="E51" s="81" t="s">
        <v>25</v>
      </c>
      <c r="F51" s="81" t="s">
        <v>24</v>
      </c>
      <c r="G51" s="81" t="s">
        <v>257</v>
      </c>
      <c r="H51" s="45"/>
      <c r="I51" s="45"/>
      <c r="J51" s="45"/>
      <c r="K51" s="45"/>
      <c r="L51" s="45"/>
    </row>
    <row r="52" spans="2:12" ht="15.75" x14ac:dyDescent="0.25">
      <c r="B52" s="336"/>
      <c r="C52" s="82" t="s">
        <v>357</v>
      </c>
      <c r="D52" s="82" t="s">
        <v>345</v>
      </c>
      <c r="E52" s="82"/>
      <c r="F52" s="82"/>
      <c r="G52" s="82" t="s">
        <v>346</v>
      </c>
      <c r="H52" s="45"/>
      <c r="I52" s="45"/>
      <c r="J52" s="45"/>
      <c r="K52" s="45"/>
      <c r="L52" s="45"/>
    </row>
    <row r="53" spans="2:12" ht="15.75" x14ac:dyDescent="0.25">
      <c r="B53" s="45" t="s">
        <v>122</v>
      </c>
      <c r="C53" s="56">
        <f>SUM(C38:C40)/'Flock assumptions'!D6</f>
        <v>138</v>
      </c>
      <c r="D53" s="56">
        <f>SUM(D38:D40)/'Flock assumptions'!D6</f>
        <v>4.830000000000001</v>
      </c>
      <c r="E53" s="56">
        <f>SUM(E38:E40)/'Flock assumptions'!D6</f>
        <v>7.6</v>
      </c>
      <c r="F53" s="56">
        <f>SUM(F38:F40)/'Flock assumptions'!D6</f>
        <v>1.6</v>
      </c>
      <c r="G53" s="298">
        <f>SUM(G38:G40)/'Flock assumptions'!D6</f>
        <v>3.9</v>
      </c>
      <c r="H53" s="45"/>
      <c r="I53" s="45"/>
      <c r="J53" s="45"/>
      <c r="K53" s="45"/>
      <c r="L53" s="45"/>
    </row>
    <row r="54" spans="2:12" ht="15.75" x14ac:dyDescent="0.25">
      <c r="B54" s="45" t="s">
        <v>36</v>
      </c>
      <c r="C54" s="56">
        <f>SUM(C41:C46)/'Flock assumptions'!D6</f>
        <v>308.25</v>
      </c>
      <c r="D54" s="56">
        <f>SUM(D41:D46)/'Flock assumptions'!D6</f>
        <v>10.788750000000002</v>
      </c>
      <c r="E54" s="56">
        <f>SUM(E41:E46)/'Flock assumptions'!D6</f>
        <v>30.358333333333334</v>
      </c>
      <c r="F54" s="56">
        <f>SUM(F41:F46)/'Flock assumptions'!D6</f>
        <v>9.4</v>
      </c>
      <c r="G54" s="298">
        <f>SUM(G41:I46)/'Flock assumptions'!D6</f>
        <v>24.144967000000001</v>
      </c>
      <c r="H54" s="45"/>
      <c r="I54" s="45"/>
      <c r="J54" s="45"/>
      <c r="K54" s="45"/>
      <c r="L54" s="45"/>
    </row>
    <row r="55" spans="2:12" ht="15.75" x14ac:dyDescent="0.25">
      <c r="B55" s="250" t="s">
        <v>62</v>
      </c>
      <c r="C55" s="57">
        <f>'Flock assumptions'!I23</f>
        <v>326.20250000000004</v>
      </c>
      <c r="D55" s="57">
        <f>'Flock assumptions'!I23*Budget!G35/100</f>
        <v>22.834175000000005</v>
      </c>
      <c r="E55" s="57"/>
      <c r="F55" s="57"/>
      <c r="G55" s="57"/>
      <c r="H55" s="45"/>
      <c r="I55" s="45"/>
      <c r="J55" s="45"/>
      <c r="K55" s="45"/>
      <c r="L55" s="45"/>
    </row>
    <row r="56" spans="2:12" ht="15.75" x14ac:dyDescent="0.25">
      <c r="B56" s="326" t="s">
        <v>13</v>
      </c>
      <c r="C56" s="57">
        <f>SUM(C53:C55)</f>
        <v>772.4525000000001</v>
      </c>
      <c r="D56" s="287">
        <f>SUM(D53:D55)</f>
        <v>38.452925000000008</v>
      </c>
      <c r="E56" s="287">
        <f>SUM(E53:E54)</f>
        <v>37.958333333333336</v>
      </c>
      <c r="F56" s="287">
        <f>SUM(F53:F54)</f>
        <v>11</v>
      </c>
      <c r="G56" s="57">
        <f>SUM(G53:G54)</f>
        <v>28.044967</v>
      </c>
      <c r="H56" s="45"/>
      <c r="I56" s="45"/>
      <c r="J56" s="45"/>
      <c r="K56" s="45"/>
      <c r="L56" s="45"/>
    </row>
    <row r="57" spans="2:12" ht="15.75" customHeight="1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2:12" ht="15.75" customHeight="1" x14ac:dyDescent="0.25">
      <c r="B58" s="45" t="s">
        <v>169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2:12" ht="15.75" x14ac:dyDescent="0.25">
      <c r="B59" s="321" t="s">
        <v>316</v>
      </c>
      <c r="C59" s="321"/>
      <c r="D59" s="81"/>
      <c r="E59" s="81"/>
      <c r="F59" s="81" t="s">
        <v>22</v>
      </c>
      <c r="G59" s="81" t="s">
        <v>68</v>
      </c>
      <c r="H59" s="45"/>
      <c r="I59" s="45"/>
      <c r="J59" s="45"/>
      <c r="K59" s="45"/>
      <c r="L59" s="45"/>
    </row>
    <row r="60" spans="2:12" ht="15.75" x14ac:dyDescent="0.25">
      <c r="B60" s="322"/>
      <c r="C60" s="82" t="s">
        <v>75</v>
      </c>
      <c r="D60" s="82" t="s">
        <v>123</v>
      </c>
      <c r="E60" s="82" t="s">
        <v>143</v>
      </c>
      <c r="F60" s="82" t="s">
        <v>358</v>
      </c>
      <c r="G60" s="82" t="s">
        <v>184</v>
      </c>
      <c r="H60" s="45"/>
      <c r="I60" s="45"/>
      <c r="J60" s="45"/>
      <c r="K60" s="45"/>
      <c r="L60" s="45"/>
    </row>
    <row r="61" spans="2:12" ht="15.75" x14ac:dyDescent="0.25">
      <c r="B61" s="45" t="s">
        <v>62</v>
      </c>
      <c r="C61" s="337" t="s">
        <v>184</v>
      </c>
      <c r="D61" s="45">
        <f>'Flock assumptions'!I23</f>
        <v>326.20250000000004</v>
      </c>
      <c r="E61" s="46">
        <f>'Flock assumptions'!D6</f>
        <v>50</v>
      </c>
      <c r="F61" s="236">
        <f>E61*D61</f>
        <v>16310.125000000002</v>
      </c>
      <c r="G61" s="236">
        <f>F61/'Flock assumptions'!$D$6</f>
        <v>326.20250000000004</v>
      </c>
      <c r="H61" s="45"/>
      <c r="I61" s="45"/>
      <c r="J61" s="45"/>
      <c r="K61" s="45"/>
      <c r="L61" s="45"/>
    </row>
    <row r="62" spans="2:12" ht="15.75" x14ac:dyDescent="0.25">
      <c r="B62" s="45" t="str">
        <f>B53</f>
        <v>Buildings and facilities</v>
      </c>
      <c r="C62" s="337" t="s">
        <v>360</v>
      </c>
      <c r="D62" s="45"/>
      <c r="E62" s="45"/>
      <c r="F62" s="236">
        <f>(C8*K8)+(C9*K9)+(C10*K10)</f>
        <v>11500</v>
      </c>
      <c r="G62" s="236">
        <f>F62/'Flock assumptions'!$D$6</f>
        <v>230</v>
      </c>
      <c r="H62" s="45"/>
      <c r="I62" s="45"/>
      <c r="J62" s="45"/>
      <c r="K62" s="45"/>
      <c r="L62" s="45"/>
    </row>
    <row r="63" spans="2:12" ht="15.75" x14ac:dyDescent="0.25">
      <c r="B63" s="250" t="s">
        <v>124</v>
      </c>
      <c r="C63" s="338" t="s">
        <v>360</v>
      </c>
      <c r="D63" s="250"/>
      <c r="E63" s="250"/>
      <c r="F63" s="239">
        <f>(C12*K12)+(C13*K13)+(C14*K14)+(C15*K15)+(C16*K16)+(C17*K17)</f>
        <v>26000</v>
      </c>
      <c r="G63" s="239">
        <f>F63/'Flock assumptions'!$D$6</f>
        <v>520</v>
      </c>
      <c r="H63" s="45"/>
      <c r="I63" s="45"/>
      <c r="J63" s="45"/>
      <c r="K63" s="45"/>
      <c r="L63" s="45"/>
    </row>
    <row r="64" spans="2:12" ht="15.75" x14ac:dyDescent="0.25">
      <c r="B64" s="240"/>
      <c r="C64" s="250"/>
      <c r="D64" s="250"/>
      <c r="E64" s="76" t="s">
        <v>13</v>
      </c>
      <c r="F64" s="339">
        <f>SUM(F61:F63)</f>
        <v>53810.125</v>
      </c>
      <c r="G64" s="339">
        <f>SUM(G61:G63)</f>
        <v>1076.2025000000001</v>
      </c>
      <c r="H64" s="45"/>
      <c r="I64" s="45"/>
      <c r="J64" s="45"/>
      <c r="K64" s="45"/>
      <c r="L64" s="45"/>
    </row>
    <row r="65" spans="2:12" ht="15.75" hidden="1" x14ac:dyDescent="0.25"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</row>
  </sheetData>
  <sheetProtection sheet="1" objects="1" scenarios="1"/>
  <mergeCells count="1">
    <mergeCell ref="B2:L2"/>
  </mergeCells>
  <pageMargins left="0.7" right="0.7" top="0.75" bottom="0.75" header="0.3" footer="0.3"/>
  <pageSetup scale="74" fitToHeight="2" orientation="landscape" r:id="rId1"/>
  <rowBreaks count="1" manualBreakCount="1">
    <brk id="34" min="1" max="11" man="1"/>
  </rowBreaks>
  <ignoredErrors>
    <ignoredError sqref="H12:I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95914E1A9804181E196FA66AF5914" ma:contentTypeVersion="22" ma:contentTypeDescription="Create a new document." ma:contentTypeScope="" ma:versionID="902bb9753b7e981363232741cb3f5c6f">
  <xsd:schema xmlns:xsd="http://www.w3.org/2001/XMLSchema" xmlns:xs="http://www.w3.org/2001/XMLSchema" xmlns:p="http://schemas.microsoft.com/office/2006/metadata/properties" xmlns:ns2="9f608c11-4ccd-421c-a88d-29e29a7a365f" xmlns:ns3="7bd0c97a-79aa-4cc6-bd7d-1cd468b1e455" targetNamespace="http://schemas.microsoft.com/office/2006/metadata/properties" ma:root="true" ma:fieldsID="9d632cf5e169f413de75443aa3fb789d" ns2:_="" ns3:_="">
    <xsd:import namespace="9f608c11-4ccd-421c-a88d-29e29a7a365f"/>
    <xsd:import namespace="7bd0c97a-79aa-4cc6-bd7d-1cd468b1e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ast_x0020_update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8c11-4ccd-421c-a88d-29e29a7a3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_x0020_update" ma:index="19" nillable="true" ma:displayName="last update" ma:format="DateOnly" ma:internalName="last_x0020_update">
      <xsd:simpleType>
        <xsd:restriction base="dms:DateTime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c97a-79aa-4cc6-bd7d-1cd468b1e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1755391-8c5a-49fe-93a6-be9ca737bd28}" ma:internalName="TaxCatchAll" ma:showField="CatchAllData" ma:web="7bd0c97a-79aa-4cc6-bd7d-1cd468b1e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f608c11-4ccd-421c-a88d-29e29a7a365f" xsi:nil="true"/>
    <lcf76f155ced4ddcb4097134ff3c332f xmlns="9f608c11-4ccd-421c-a88d-29e29a7a365f">
      <Terms xmlns="http://schemas.microsoft.com/office/infopath/2007/PartnerControls"/>
    </lcf76f155ced4ddcb4097134ff3c332f>
    <TaxCatchAll xmlns="7bd0c97a-79aa-4cc6-bd7d-1cd468b1e455" xsi:nil="true"/>
    <last_x0020_update xmlns="9f608c11-4ccd-421c-a88d-29e29a7a365f" xsi:nil="true"/>
  </documentManagement>
</p:properties>
</file>

<file path=customXml/itemProps1.xml><?xml version="1.0" encoding="utf-8"?>
<ds:datastoreItem xmlns:ds="http://schemas.openxmlformats.org/officeDocument/2006/customXml" ds:itemID="{1BF4D95D-F5A8-4D59-B865-453570A294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B40AF-A8C9-40DE-8540-1A5F876A8C14}"/>
</file>

<file path=customXml/itemProps3.xml><?xml version="1.0" encoding="utf-8"?>
<ds:datastoreItem xmlns:ds="http://schemas.openxmlformats.org/officeDocument/2006/customXml" ds:itemID="{A63EED37-1A0B-4843-BFBB-D74C4C7ACC6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73a3dab4-b00d-4a1f-a26d-4395bc4ed9d3"/>
    <ds:schemaRef ds:uri="4094fec7-eb86-4f33-885f-f4ec695342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Budget</vt:lpstr>
      <vt:lpstr>Cost assumptions</vt:lpstr>
      <vt:lpstr>Flock assumptions</vt:lpstr>
      <vt:lpstr>Feed assumptions</vt:lpstr>
      <vt:lpstr>Other assumptions</vt:lpstr>
      <vt:lpstr>Buildings &amp; machinery</vt:lpstr>
      <vt:lpstr>Budget!Print_Area</vt:lpstr>
      <vt:lpstr>'Buildings &amp; machinery'!Print_Area</vt:lpstr>
      <vt:lpstr>'Cost assumptions'!Print_Area</vt:lpstr>
      <vt:lpstr>'Feed assumptions'!Print_Area</vt:lpstr>
      <vt:lpstr>'Flock assumptions'!Print_Area</vt:lpstr>
      <vt:lpstr>'Other assumptions'!Print_Area</vt:lpstr>
    </vt:vector>
  </TitlesOfParts>
  <Company>University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Lutes, Jennifer</dc:creator>
  <cp:lastModifiedBy>Stokes, Victoria</cp:lastModifiedBy>
  <cp:lastPrinted>2025-09-16T18:42:38Z</cp:lastPrinted>
  <dcterms:created xsi:type="dcterms:W3CDTF">2019-05-16T19:13:47Z</dcterms:created>
  <dcterms:modified xsi:type="dcterms:W3CDTF">2025-10-29T16:00:21Z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0x010100BE995914E1A9804181E196FA66AF5914</vt:lpwstr>
  </property>
</Properties>
</file>