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mailmissouri-my.sharepoint.com/personal/abrfyp_umsystem_edu/Documents/Google Drive/Documentos/Assistant Ext Prof Mizzou (1)/Reports and tools/Drones/Drones review/Published version/"/>
    </mc:Choice>
  </mc:AlternateContent>
  <xr:revisionPtr revIDLastSave="90" documentId="8_{C9F258E7-A302-4F13-857D-9CE850763DCC}" xr6:coauthVersionLast="47" xr6:coauthVersionMax="47" xr10:uidLastSave="{D7CFAB89-CA34-4FB2-9C0F-AE367E3AD6C7}"/>
  <workbookProtection lockStructure="1"/>
  <bookViews>
    <workbookView xWindow="-120" yWindow="-120" windowWidth="29040" windowHeight="15720" xr2:uid="{E2432907-BF4B-432B-B226-B77E0AC53E90}"/>
  </bookViews>
  <sheets>
    <sheet name="Introduction" sheetId="6" r:id="rId1"/>
    <sheet name="Inputs and summary" sheetId="5" r:id="rId2"/>
    <sheet name="Cost by acreage and interest" sheetId="4" r:id="rId3"/>
    <sheet name="Model" sheetId="3" r:id="rId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Acres_applied_per_charge_cycle">'Inputs and summary'!$B$9</definedName>
    <definedName name="Acres_applied_per_flight">'Inputs and summary'!$B$8</definedName>
    <definedName name="Acres_applied_per_hour">Model!$B$7</definedName>
    <definedName name="Acres_of_lifespan_drone">'Inputs and summary'!$B$6</definedName>
    <definedName name="Applied_acres_per_year">Model!$B$4</definedName>
    <definedName name="Batteries_lifespan">'Inputs and summary'!$F$6</definedName>
    <definedName name="battery_lifespan">'Inputs and summary'!$F$9</definedName>
    <definedName name="Battery_salvage_value">'Inputs and summary'!$G$9</definedName>
    <definedName name="Capital_recovery__total_year">Model!$E$41</definedName>
    <definedName name="charge_cycles_a_year">Model!$B$8</definedName>
    <definedName name="Charge_cycles_per_year">Model!$B$8</definedName>
    <definedName name="Charges_of_lifespan__batteries">'Inputs and summary'!$B$10</definedName>
    <definedName name="Cleaning_the_drone__hours">'Inputs and summary'!$B$14</definedName>
    <definedName name="Diesel_price____gallon">'Inputs and summary'!$B$17</definedName>
    <definedName name="Diesel_use__gallon_hour">'Inputs and summary'!$B$18</definedName>
    <definedName name="Dish_soap_price____2.64L">'Inputs and summary'!$B$16</definedName>
    <definedName name="Dish_soap_qtt._L_day">'Inputs and summary'!$B$15</definedName>
    <definedName name="Drone_maintanance_cost____year_acre">'Inputs and summary'!$B$26</definedName>
    <definedName name="Drone_price">'Inputs and summary'!#REF!</definedName>
    <definedName name="drone_salvage_value">'Inputs and summary'!$H$2</definedName>
    <definedName name="drone_use_perc">'Inputs and summary'!$I$2</definedName>
    <definedName name="Extra_batteries_price">'Inputs and summary'!$E$9</definedName>
    <definedName name="Flights_per_hour">Model!$B$11</definedName>
    <definedName name="Generator_lifespan">'Inputs and summary'!$F$3</definedName>
    <definedName name="generator_maintenance_cost">'Inputs and summary'!$G$3</definedName>
    <definedName name="Generator_price">'Inputs and summary'!$E$3</definedName>
    <definedName name="generator_salvage_value">'Inputs and summary'!$H$3</definedName>
    <definedName name="generator_use_perc">'Inputs and summary'!$I$3</definedName>
    <definedName name="Hours_per_day_applying">'Inputs and summary'!$B$23</definedName>
    <definedName name="Interest_rate">Model!$B$5</definedName>
    <definedName name="Labor_cost____hour">'Inputs and summary'!$B$21</definedName>
    <definedName name="N_of_batteries_included_with_drone">'Inputs and summary'!$B$5</definedName>
    <definedName name="N_of_extra_batteries">'Inputs and summary'!#REF!</definedName>
    <definedName name="pump_and_transfer_lifespan">'Inputs and summary'!$F$5</definedName>
    <definedName name="Pump_and_transfer_system_price">'Inputs and summary'!$E$6</definedName>
    <definedName name="Pump_maintenance">'Inputs and summary'!$G$6</definedName>
    <definedName name="pump_maintenance_year">'Inputs and summary'!$G$6</definedName>
    <definedName name="pump_salvage_value">'Inputs and summary'!$H$6</definedName>
    <definedName name="pump_use_perc">'Inputs and summary'!$I$6</definedName>
    <definedName name="Pumping_in_and_mixing__hours">'Inputs and summary'!$B$13</definedName>
    <definedName name="Recharge_of_a_battery___pumping__hours">Model!$B$6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Time_recharging_battery__hours">'Inputs and summary'!$B$12</definedName>
    <definedName name="Trailer_lifespan">'Inputs and summary'!$F$4</definedName>
    <definedName name="trailer_maintenance_cost">'Inputs and summary'!$G$4</definedName>
    <definedName name="Trailer_price">'Inputs and summary'!$E$4</definedName>
    <definedName name="trailer_salvage_value">'Inputs and summary'!$H$4</definedName>
    <definedName name="trailer_use_perc">'Inputs and summary'!$I$4</definedName>
    <definedName name="truck_maintenance_cost">'Inputs and summary'!$G$5</definedName>
    <definedName name="Truck_price">'Inputs and summary'!$E$5</definedName>
    <definedName name="truck_salvage_value">'Inputs and summary'!$H$5</definedName>
    <definedName name="truck_use_perc">'Inputs and summary'!$I$5</definedName>
    <definedName name="wrn.all." hidden="1">{"detail",#N/A,FALSE,"Trac_Table";"tractable",#N/A,FALSE,"Trac_Table";"sensitivity",#N/A,FALSE,"Trac_Table"}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5" l="1"/>
  <c r="H2" i="5"/>
  <c r="B13" i="5"/>
  <c r="B12" i="5"/>
  <c r="G13" i="4"/>
  <c r="Z148" i="3" a="1"/>
  <c r="Z148" i="3" s="1"/>
  <c r="Y148" i="3"/>
  <c r="Z147" i="3" a="1"/>
  <c r="Z147" i="3" s="1"/>
  <c r="Y147" i="3"/>
  <c r="Z146" i="3" a="1"/>
  <c r="Z146" i="3" s="1"/>
  <c r="Y146" i="3"/>
  <c r="Z145" i="3" a="1"/>
  <c r="Z145" i="3" s="1"/>
  <c r="Y145" i="3"/>
  <c r="Z144" i="3" a="1"/>
  <c r="Z144" i="3" s="1"/>
  <c r="Y144" i="3"/>
  <c r="Z143" i="3" a="1"/>
  <c r="Z143" i="3" s="1"/>
  <c r="Y143" i="3"/>
  <c r="Z142" i="3" a="1"/>
  <c r="Z142" i="3" s="1"/>
  <c r="Y142" i="3"/>
  <c r="Z141" i="3" a="1"/>
  <c r="Z141" i="3" s="1"/>
  <c r="Y141" i="3"/>
  <c r="Z140" i="3" a="1"/>
  <c r="Z140" i="3" s="1"/>
  <c r="Y140" i="3"/>
  <c r="Z139" i="3" a="1"/>
  <c r="Z139" i="3" s="1"/>
  <c r="Y139" i="3"/>
  <c r="Z138" i="3" a="1"/>
  <c r="Z138" i="3" s="1"/>
  <c r="Y138" i="3"/>
  <c r="Z137" i="3" a="1"/>
  <c r="Z137" i="3" s="1"/>
  <c r="Y137" i="3"/>
  <c r="Z136" i="3" a="1"/>
  <c r="Z136" i="3" s="1"/>
  <c r="Y136" i="3"/>
  <c r="Z135" i="3" a="1"/>
  <c r="Z135" i="3" s="1"/>
  <c r="Y135" i="3"/>
  <c r="Z134" i="3" a="1"/>
  <c r="Z134" i="3" s="1"/>
  <c r="Y134" i="3"/>
  <c r="Z133" i="3" a="1"/>
  <c r="Z133" i="3" s="1"/>
  <c r="Y133" i="3"/>
  <c r="Z132" i="3" a="1"/>
  <c r="Z132" i="3" s="1"/>
  <c r="Y132" i="3"/>
  <c r="Z131" i="3" a="1"/>
  <c r="Z131" i="3" s="1"/>
  <c r="Y131" i="3"/>
  <c r="Z130" i="3" a="1"/>
  <c r="Z130" i="3" s="1"/>
  <c r="Y130" i="3"/>
  <c r="Z129" i="3" a="1"/>
  <c r="Z129" i="3" s="1"/>
  <c r="Y129" i="3"/>
  <c r="Z128" i="3" a="1"/>
  <c r="Z128" i="3" s="1"/>
  <c r="Y128" i="3"/>
  <c r="Z127" i="3" a="1"/>
  <c r="Z127" i="3" s="1"/>
  <c r="Y127" i="3"/>
  <c r="Z126" i="3" a="1"/>
  <c r="Z126" i="3" s="1"/>
  <c r="Y126" i="3"/>
  <c r="Z125" i="3" a="1"/>
  <c r="Z125" i="3" s="1"/>
  <c r="Y125" i="3"/>
  <c r="Z124" i="3" a="1"/>
  <c r="Z124" i="3" s="1"/>
  <c r="Y124" i="3"/>
  <c r="Z123" i="3" a="1"/>
  <c r="Z123" i="3" s="1"/>
  <c r="Y123" i="3"/>
  <c r="Z122" i="3" a="1"/>
  <c r="Z122" i="3" s="1"/>
  <c r="Y122" i="3"/>
  <c r="Z121" i="3" a="1"/>
  <c r="Z121" i="3" s="1"/>
  <c r="Y121" i="3"/>
  <c r="Z120" i="3" a="1"/>
  <c r="Z120" i="3" s="1"/>
  <c r="Y120" i="3"/>
  <c r="Z119" i="3" a="1"/>
  <c r="Z119" i="3" s="1"/>
  <c r="Y119" i="3"/>
  <c r="Z118" i="3" a="1"/>
  <c r="Z118" i="3" s="1"/>
  <c r="Y118" i="3"/>
  <c r="Z117" i="3" a="1"/>
  <c r="Z117" i="3" s="1"/>
  <c r="Y117" i="3"/>
  <c r="Z116" i="3" a="1"/>
  <c r="Z116" i="3" s="1"/>
  <c r="Y116" i="3"/>
  <c r="Z115" i="3" a="1"/>
  <c r="Z115" i="3" s="1"/>
  <c r="Y115" i="3"/>
  <c r="Z114" i="3" a="1"/>
  <c r="Z114" i="3" s="1"/>
  <c r="Y114" i="3"/>
  <c r="Z113" i="3" a="1"/>
  <c r="Z113" i="3" s="1"/>
  <c r="Y113" i="3"/>
  <c r="Z112" i="3" a="1"/>
  <c r="Z112" i="3" s="1"/>
  <c r="Y112" i="3"/>
  <c r="Z111" i="3" a="1"/>
  <c r="Z111" i="3" s="1"/>
  <c r="Y111" i="3"/>
  <c r="Z110" i="3" a="1"/>
  <c r="Z110" i="3" s="1"/>
  <c r="Y110" i="3"/>
  <c r="Z109" i="3" a="1"/>
  <c r="Z109" i="3" s="1"/>
  <c r="Y109" i="3"/>
  <c r="Z108" i="3" a="1"/>
  <c r="Z108" i="3" s="1"/>
  <c r="Y108" i="3"/>
  <c r="Z107" i="3" a="1"/>
  <c r="Z107" i="3" s="1"/>
  <c r="Y107" i="3"/>
  <c r="Z106" i="3" a="1"/>
  <c r="Z106" i="3" s="1"/>
  <c r="Y106" i="3"/>
  <c r="Z105" i="3" a="1"/>
  <c r="Z105" i="3" s="1"/>
  <c r="Y105" i="3"/>
  <c r="Z104" i="3" a="1"/>
  <c r="Z104" i="3" s="1"/>
  <c r="Y104" i="3"/>
  <c r="Z103" i="3" a="1"/>
  <c r="Z103" i="3" s="1"/>
  <c r="Y103" i="3"/>
  <c r="Z102" i="3" a="1"/>
  <c r="Z102" i="3" s="1"/>
  <c r="Y102" i="3"/>
  <c r="Z101" i="3" a="1"/>
  <c r="Z101" i="3" s="1"/>
  <c r="Y101" i="3"/>
  <c r="Z100" i="3" a="1"/>
  <c r="Z100" i="3" s="1"/>
  <c r="Y100" i="3"/>
  <c r="Z99" i="3" a="1"/>
  <c r="Z99" i="3" s="1"/>
  <c r="Y99" i="3"/>
  <c r="Z98" i="3" a="1"/>
  <c r="Z98" i="3" s="1"/>
  <c r="Y98" i="3"/>
  <c r="Z97" i="3" a="1"/>
  <c r="Z97" i="3" s="1"/>
  <c r="Y97" i="3"/>
  <c r="Z96" i="3" a="1"/>
  <c r="Z96" i="3" s="1"/>
  <c r="Y96" i="3"/>
  <c r="Z95" i="3" a="1"/>
  <c r="Z95" i="3" s="1"/>
  <c r="Y95" i="3"/>
  <c r="Z94" i="3" a="1"/>
  <c r="Z94" i="3" s="1"/>
  <c r="Y94" i="3"/>
  <c r="Z93" i="3" a="1"/>
  <c r="Z93" i="3" s="1"/>
  <c r="Y93" i="3"/>
  <c r="Z92" i="3" a="1"/>
  <c r="Z92" i="3" s="1"/>
  <c r="Y92" i="3"/>
  <c r="Z91" i="3" a="1"/>
  <c r="Z91" i="3" s="1"/>
  <c r="Y91" i="3"/>
  <c r="Z90" i="3" a="1"/>
  <c r="Z90" i="3" s="1"/>
  <c r="Y90" i="3"/>
  <c r="Z89" i="3" a="1"/>
  <c r="Z89" i="3" s="1"/>
  <c r="Y89" i="3"/>
  <c r="Z88" i="3" a="1"/>
  <c r="Z88" i="3" s="1"/>
  <c r="Y88" i="3"/>
  <c r="Z87" i="3" a="1"/>
  <c r="Z87" i="3" s="1"/>
  <c r="Y87" i="3"/>
  <c r="Z86" i="3" a="1"/>
  <c r="Z86" i="3" s="1"/>
  <c r="Y86" i="3"/>
  <c r="Z85" i="3" a="1"/>
  <c r="Z85" i="3" s="1"/>
  <c r="Y85" i="3"/>
  <c r="Z84" i="3" a="1"/>
  <c r="Z84" i="3" s="1"/>
  <c r="Y84" i="3"/>
  <c r="Z83" i="3" a="1"/>
  <c r="Z83" i="3" s="1"/>
  <c r="Y83" i="3"/>
  <c r="Z82" i="3" a="1"/>
  <c r="Z82" i="3" s="1"/>
  <c r="Y82" i="3"/>
  <c r="Z81" i="3" a="1"/>
  <c r="Z81" i="3" s="1"/>
  <c r="Y81" i="3"/>
  <c r="Z80" i="3" a="1"/>
  <c r="Z80" i="3" s="1"/>
  <c r="Y80" i="3"/>
  <c r="Z79" i="3" a="1"/>
  <c r="Z79" i="3" s="1"/>
  <c r="Y79" i="3"/>
  <c r="Z78" i="3" a="1"/>
  <c r="Z78" i="3" s="1"/>
  <c r="Y78" i="3"/>
  <c r="Z77" i="3" a="1"/>
  <c r="Z77" i="3" s="1"/>
  <c r="Y77" i="3"/>
  <c r="Z76" i="3" a="1"/>
  <c r="Z76" i="3" s="1"/>
  <c r="Y76" i="3"/>
  <c r="Z75" i="3" a="1"/>
  <c r="Z75" i="3" s="1"/>
  <c r="Y75" i="3"/>
  <c r="Z74" i="3" a="1"/>
  <c r="Z74" i="3" s="1"/>
  <c r="Y74" i="3"/>
  <c r="Z73" i="3" a="1"/>
  <c r="Z73" i="3" s="1"/>
  <c r="Y73" i="3"/>
  <c r="Z72" i="3" a="1"/>
  <c r="Z72" i="3" s="1"/>
  <c r="Y72" i="3"/>
  <c r="Z71" i="3" a="1"/>
  <c r="Z71" i="3" s="1"/>
  <c r="Y71" i="3"/>
  <c r="Z70" i="3" a="1"/>
  <c r="Z70" i="3" s="1"/>
  <c r="Y70" i="3"/>
  <c r="Z69" i="3" a="1"/>
  <c r="Z69" i="3" s="1"/>
  <c r="Y69" i="3"/>
  <c r="Z68" i="3" a="1"/>
  <c r="Z68" i="3" s="1"/>
  <c r="Y68" i="3"/>
  <c r="Z67" i="3" a="1"/>
  <c r="Z67" i="3" s="1"/>
  <c r="Y67" i="3"/>
  <c r="Z66" i="3" a="1"/>
  <c r="Z66" i="3" s="1"/>
  <c r="Y66" i="3"/>
  <c r="Z65" i="3" a="1"/>
  <c r="Z65" i="3" s="1"/>
  <c r="Y65" i="3"/>
  <c r="Z64" i="3" a="1"/>
  <c r="Z64" i="3" s="1"/>
  <c r="Y64" i="3"/>
  <c r="Z63" i="3" a="1"/>
  <c r="Z63" i="3" s="1"/>
  <c r="Y63" i="3"/>
  <c r="Z62" i="3" a="1"/>
  <c r="Z62" i="3" s="1"/>
  <c r="Y62" i="3"/>
  <c r="Z61" i="3" a="1"/>
  <c r="Z61" i="3" s="1"/>
  <c r="Y61" i="3"/>
  <c r="Z60" i="3" a="1"/>
  <c r="Z60" i="3" s="1"/>
  <c r="Y60" i="3"/>
  <c r="Z59" i="3" a="1"/>
  <c r="Z59" i="3" s="1"/>
  <c r="Y59" i="3"/>
  <c r="Z58" i="3" a="1"/>
  <c r="Z58" i="3" s="1"/>
  <c r="Y58" i="3"/>
  <c r="Z57" i="3" a="1"/>
  <c r="Z57" i="3" s="1"/>
  <c r="Y57" i="3"/>
  <c r="Z56" i="3" a="1"/>
  <c r="Z56" i="3" s="1"/>
  <c r="Y56" i="3"/>
  <c r="Z55" i="3" a="1"/>
  <c r="Z55" i="3" s="1"/>
  <c r="Y55" i="3"/>
  <c r="Z54" i="3" a="1"/>
  <c r="Z54" i="3" s="1"/>
  <c r="Y54" i="3"/>
  <c r="Z53" i="3" a="1"/>
  <c r="Z53" i="3" s="1"/>
  <c r="Y53" i="3"/>
  <c r="Z52" i="3" a="1"/>
  <c r="Z52" i="3" s="1"/>
  <c r="Y52" i="3"/>
  <c r="Z51" i="3" a="1"/>
  <c r="Z51" i="3" s="1"/>
  <c r="Y51" i="3"/>
  <c r="Z50" i="3" a="1"/>
  <c r="Z50" i="3" s="1"/>
  <c r="Y50" i="3"/>
  <c r="Z49" i="3" a="1"/>
  <c r="Z49" i="3" s="1"/>
  <c r="Y49" i="3"/>
  <c r="Z48" i="3" a="1"/>
  <c r="Z48" i="3" s="1"/>
  <c r="Y48" i="3"/>
  <c r="Z47" i="3" a="1"/>
  <c r="Z47" i="3" s="1"/>
  <c r="Y47" i="3"/>
  <c r="Z46" i="3" a="1"/>
  <c r="Z46" i="3" s="1"/>
  <c r="Y46" i="3"/>
  <c r="Z45" i="3" a="1"/>
  <c r="Z45" i="3" s="1"/>
  <c r="Y45" i="3"/>
  <c r="Z44" i="3" a="1"/>
  <c r="Z44" i="3" s="1"/>
  <c r="Y44" i="3"/>
  <c r="Z43" i="3" a="1"/>
  <c r="Z43" i="3" s="1"/>
  <c r="Y43" i="3"/>
  <c r="Z42" i="3" a="1"/>
  <c r="Z42" i="3" s="1"/>
  <c r="Y42" i="3"/>
  <c r="Z41" i="3" a="1"/>
  <c r="Z41" i="3" s="1"/>
  <c r="Y41" i="3"/>
  <c r="E41" i="3"/>
  <c r="F41" i="3" s="1"/>
  <c r="D41" i="3"/>
  <c r="C41" i="3"/>
  <c r="B41" i="3"/>
  <c r="Z40" i="3" a="1"/>
  <c r="Z40" i="3" s="1"/>
  <c r="Y40" i="3"/>
  <c r="Z39" i="3" a="1"/>
  <c r="Z39" i="3" s="1"/>
  <c r="Y39" i="3"/>
  <c r="Z38" i="3" a="1"/>
  <c r="Z38" i="3" s="1"/>
  <c r="Y38" i="3"/>
  <c r="Z37" i="3" a="1"/>
  <c r="Z37" i="3" s="1"/>
  <c r="Y37" i="3"/>
  <c r="H37" i="3"/>
  <c r="F37" i="3"/>
  <c r="G37" i="3" s="1"/>
  <c r="E37" i="3"/>
  <c r="D37" i="3"/>
  <c r="C37" i="3"/>
  <c r="B37" i="3"/>
  <c r="Z36" i="3" a="1"/>
  <c r="Z36" i="3" s="1"/>
  <c r="Y36" i="3"/>
  <c r="E36" i="3"/>
  <c r="C36" i="3"/>
  <c r="B36" i="3"/>
  <c r="Z35" i="3" a="1"/>
  <c r="Z35" i="3" s="1"/>
  <c r="Y35" i="3"/>
  <c r="H35" i="3"/>
  <c r="F35" i="3"/>
  <c r="G35" i="3" s="1"/>
  <c r="E35" i="3"/>
  <c r="D35" i="3"/>
  <c r="C35" i="3"/>
  <c r="B35" i="3"/>
  <c r="Z34" i="3" a="1"/>
  <c r="Z34" i="3" s="1"/>
  <c r="Y34" i="3"/>
  <c r="H34" i="3"/>
  <c r="F34" i="3"/>
  <c r="G34" i="3" s="1"/>
  <c r="E34" i="3"/>
  <c r="D34" i="3"/>
  <c r="C34" i="3"/>
  <c r="B34" i="3"/>
  <c r="Z33" i="3" a="1"/>
  <c r="Z33" i="3" s="1"/>
  <c r="Y33" i="3"/>
  <c r="H33" i="3"/>
  <c r="E33" i="3"/>
  <c r="C33" i="3"/>
  <c r="B33" i="3"/>
  <c r="D33" i="3" s="1"/>
  <c r="Z32" i="3" a="1"/>
  <c r="Z32" i="3" s="1"/>
  <c r="Y32" i="3"/>
  <c r="Z31" i="3" a="1"/>
  <c r="Z31" i="3" s="1"/>
  <c r="Y31" i="3"/>
  <c r="Z30" i="3" a="1"/>
  <c r="Z30" i="3" s="1"/>
  <c r="Y30" i="3"/>
  <c r="Z29" i="3" a="1"/>
  <c r="Z29" i="3" s="1"/>
  <c r="Y29" i="3"/>
  <c r="Z28" i="3" a="1"/>
  <c r="Z28" i="3" s="1"/>
  <c r="Y28" i="3"/>
  <c r="Z27" i="3" a="1"/>
  <c r="Z27" i="3" s="1"/>
  <c r="Y27" i="3"/>
  <c r="Z26" i="3" a="1"/>
  <c r="Z26" i="3" s="1"/>
  <c r="Y26" i="3"/>
  <c r="Z25" i="3" a="1"/>
  <c r="Z25" i="3" s="1"/>
  <c r="Y25" i="3"/>
  <c r="Z24" i="3" a="1"/>
  <c r="Z24" i="3" s="1"/>
  <c r="Y24" i="3"/>
  <c r="Z23" i="3" a="1"/>
  <c r="Z23" i="3" s="1"/>
  <c r="Y23" i="3"/>
  <c r="Z22" i="3" a="1"/>
  <c r="Z22" i="3" s="1"/>
  <c r="Y22" i="3"/>
  <c r="Z21" i="3" a="1"/>
  <c r="Z21" i="3" s="1"/>
  <c r="Y21" i="3"/>
  <c r="Z20" i="3" a="1"/>
  <c r="Z20" i="3" s="1"/>
  <c r="Y20" i="3"/>
  <c r="Z19" i="3" a="1"/>
  <c r="Z19" i="3" s="1"/>
  <c r="Y19" i="3"/>
  <c r="Z18" i="3" a="1"/>
  <c r="Z18" i="3" s="1"/>
  <c r="Y18" i="3"/>
  <c r="Z17" i="3" a="1"/>
  <c r="Z17" i="3" s="1"/>
  <c r="Y17" i="3"/>
  <c r="Z16" i="3" a="1"/>
  <c r="Z16" i="3" s="1"/>
  <c r="Y16" i="3"/>
  <c r="B16" i="3"/>
  <c r="Z15" i="3" a="1"/>
  <c r="Z15" i="3" s="1"/>
  <c r="Y15" i="3"/>
  <c r="Z14" i="3" a="1"/>
  <c r="Z14" i="3" s="1"/>
  <c r="Y14" i="3"/>
  <c r="Z13" i="3" a="1"/>
  <c r="Z13" i="3" s="1"/>
  <c r="Y13" i="3"/>
  <c r="A13" i="3"/>
  <c r="Z12" i="3" a="1"/>
  <c r="Z12" i="3" s="1"/>
  <c r="Y12" i="3"/>
  <c r="Z11" i="3" a="1"/>
  <c r="Z11" i="3" s="1"/>
  <c r="Y11" i="3"/>
  <c r="Z10" i="3" a="1"/>
  <c r="Z10" i="3" s="1"/>
  <c r="Y10" i="3"/>
  <c r="Z9" i="3" a="1"/>
  <c r="Z9" i="3" s="1"/>
  <c r="Y9" i="3"/>
  <c r="Z8" i="3" a="1"/>
  <c r="Z8" i="3" s="1"/>
  <c r="Y8" i="3"/>
  <c r="B8" i="3"/>
  <c r="Z7" i="3" a="1"/>
  <c r="Z7" i="3" s="1"/>
  <c r="Y7" i="3"/>
  <c r="B7" i="3"/>
  <c r="J145" i="3" s="1"/>
  <c r="B145" i="4" s="1"/>
  <c r="Z6" i="3" a="1"/>
  <c r="Z6" i="3" s="1"/>
  <c r="Y6" i="3"/>
  <c r="B6" i="3"/>
  <c r="Z5" i="3" a="1"/>
  <c r="Z5" i="3" s="1"/>
  <c r="Y5" i="3"/>
  <c r="B5" i="3"/>
  <c r="Z4" i="3" a="1"/>
  <c r="Z4" i="3" s="1"/>
  <c r="Y4" i="3"/>
  <c r="B4" i="3"/>
  <c r="Z3" i="3" a="1"/>
  <c r="Z3" i="3" s="1"/>
  <c r="Y3" i="3"/>
  <c r="P148" i="4"/>
  <c r="O148" i="4"/>
  <c r="N148" i="4"/>
  <c r="M148" i="4"/>
  <c r="L148" i="4"/>
  <c r="K148" i="4"/>
  <c r="J148" i="4"/>
  <c r="I148" i="4"/>
  <c r="H148" i="4"/>
  <c r="G148" i="4"/>
  <c r="F148" i="4"/>
  <c r="E148" i="4"/>
  <c r="D148" i="4"/>
  <c r="C148" i="4"/>
  <c r="P147" i="4"/>
  <c r="O147" i="4"/>
  <c r="N147" i="4"/>
  <c r="M147" i="4"/>
  <c r="L147" i="4"/>
  <c r="K147" i="4"/>
  <c r="J147" i="4"/>
  <c r="I147" i="4"/>
  <c r="H147" i="4"/>
  <c r="G147" i="4"/>
  <c r="F147" i="4"/>
  <c r="E147" i="4"/>
  <c r="D147" i="4"/>
  <c r="C147" i="4"/>
  <c r="P146" i="4"/>
  <c r="O146" i="4"/>
  <c r="N146" i="4"/>
  <c r="M146" i="4"/>
  <c r="L146" i="4"/>
  <c r="K146" i="4"/>
  <c r="J146" i="4"/>
  <c r="I146" i="4"/>
  <c r="H146" i="4"/>
  <c r="G146" i="4"/>
  <c r="F146" i="4"/>
  <c r="E146" i="4"/>
  <c r="D146" i="4"/>
  <c r="C146" i="4"/>
  <c r="P145" i="4"/>
  <c r="O145" i="4"/>
  <c r="N145" i="4"/>
  <c r="M145" i="4"/>
  <c r="L145" i="4"/>
  <c r="K145" i="4"/>
  <c r="J145" i="4"/>
  <c r="I145" i="4"/>
  <c r="H145" i="4"/>
  <c r="G145" i="4"/>
  <c r="F145" i="4"/>
  <c r="E145" i="4"/>
  <c r="D145" i="4"/>
  <c r="C145" i="4"/>
  <c r="P144" i="4"/>
  <c r="O144" i="4"/>
  <c r="N144" i="4"/>
  <c r="M144" i="4"/>
  <c r="L144" i="4"/>
  <c r="K144" i="4"/>
  <c r="J144" i="4"/>
  <c r="I144" i="4"/>
  <c r="H144" i="4"/>
  <c r="G144" i="4"/>
  <c r="F144" i="4"/>
  <c r="E144" i="4"/>
  <c r="D144" i="4"/>
  <c r="C144" i="4"/>
  <c r="P143" i="4"/>
  <c r="O143" i="4"/>
  <c r="N143" i="4"/>
  <c r="M143" i="4"/>
  <c r="L143" i="4"/>
  <c r="K143" i="4"/>
  <c r="J143" i="4"/>
  <c r="I143" i="4"/>
  <c r="H143" i="4"/>
  <c r="G143" i="4"/>
  <c r="F143" i="4"/>
  <c r="E143" i="4"/>
  <c r="D143" i="4"/>
  <c r="C143" i="4"/>
  <c r="P142" i="4"/>
  <c r="O142" i="4"/>
  <c r="N142" i="4"/>
  <c r="M142" i="4"/>
  <c r="L142" i="4"/>
  <c r="K142" i="4"/>
  <c r="J142" i="4"/>
  <c r="I142" i="4"/>
  <c r="H142" i="4"/>
  <c r="G142" i="4"/>
  <c r="F142" i="4"/>
  <c r="E142" i="4"/>
  <c r="D142" i="4"/>
  <c r="C142" i="4"/>
  <c r="P141" i="4"/>
  <c r="O141" i="4"/>
  <c r="N141" i="4"/>
  <c r="M141" i="4"/>
  <c r="L141" i="4"/>
  <c r="K141" i="4"/>
  <c r="J141" i="4"/>
  <c r="I141" i="4"/>
  <c r="H141" i="4"/>
  <c r="G141" i="4"/>
  <c r="F141" i="4"/>
  <c r="E141" i="4"/>
  <c r="D141" i="4"/>
  <c r="C141" i="4"/>
  <c r="P140" i="4"/>
  <c r="O140" i="4"/>
  <c r="N140" i="4"/>
  <c r="M140" i="4"/>
  <c r="L140" i="4"/>
  <c r="K140" i="4"/>
  <c r="J140" i="4"/>
  <c r="I140" i="4"/>
  <c r="H140" i="4"/>
  <c r="G140" i="4"/>
  <c r="F140" i="4"/>
  <c r="E140" i="4"/>
  <c r="D140" i="4"/>
  <c r="C140" i="4"/>
  <c r="P139" i="4"/>
  <c r="O139" i="4"/>
  <c r="N139" i="4"/>
  <c r="M139" i="4"/>
  <c r="L139" i="4"/>
  <c r="K139" i="4"/>
  <c r="J139" i="4"/>
  <c r="I139" i="4"/>
  <c r="H139" i="4"/>
  <c r="G139" i="4"/>
  <c r="F139" i="4"/>
  <c r="E139" i="4"/>
  <c r="D139" i="4"/>
  <c r="C139" i="4"/>
  <c r="P138" i="4"/>
  <c r="O138" i="4"/>
  <c r="N138" i="4"/>
  <c r="M138" i="4"/>
  <c r="L138" i="4"/>
  <c r="K138" i="4"/>
  <c r="J138" i="4"/>
  <c r="I138" i="4"/>
  <c r="H138" i="4"/>
  <c r="G138" i="4"/>
  <c r="F138" i="4"/>
  <c r="E138" i="4"/>
  <c r="D138" i="4"/>
  <c r="C138" i="4"/>
  <c r="P137" i="4"/>
  <c r="O137" i="4"/>
  <c r="N137" i="4"/>
  <c r="M137" i="4"/>
  <c r="L137" i="4"/>
  <c r="K137" i="4"/>
  <c r="J137" i="4"/>
  <c r="I137" i="4"/>
  <c r="H137" i="4"/>
  <c r="G137" i="4"/>
  <c r="F137" i="4"/>
  <c r="E137" i="4"/>
  <c r="D137" i="4"/>
  <c r="C137" i="4"/>
  <c r="P136" i="4"/>
  <c r="O136" i="4"/>
  <c r="N136" i="4"/>
  <c r="M136" i="4"/>
  <c r="L136" i="4"/>
  <c r="K136" i="4"/>
  <c r="J136" i="4"/>
  <c r="I136" i="4"/>
  <c r="H136" i="4"/>
  <c r="G136" i="4"/>
  <c r="F136" i="4"/>
  <c r="E136" i="4"/>
  <c r="D136" i="4"/>
  <c r="C136" i="4"/>
  <c r="P135" i="4"/>
  <c r="O135" i="4"/>
  <c r="N135" i="4"/>
  <c r="M135" i="4"/>
  <c r="L135" i="4"/>
  <c r="K135" i="4"/>
  <c r="J135" i="4"/>
  <c r="I135" i="4"/>
  <c r="H135" i="4"/>
  <c r="G135" i="4"/>
  <c r="F135" i="4"/>
  <c r="E135" i="4"/>
  <c r="D135" i="4"/>
  <c r="C135" i="4"/>
  <c r="P134" i="4"/>
  <c r="O134" i="4"/>
  <c r="N134" i="4"/>
  <c r="M134" i="4"/>
  <c r="L134" i="4"/>
  <c r="K134" i="4"/>
  <c r="J134" i="4"/>
  <c r="I134" i="4"/>
  <c r="H134" i="4"/>
  <c r="G134" i="4"/>
  <c r="F134" i="4"/>
  <c r="E134" i="4"/>
  <c r="D134" i="4"/>
  <c r="C134" i="4"/>
  <c r="P133" i="4"/>
  <c r="O133" i="4"/>
  <c r="N133" i="4"/>
  <c r="M133" i="4"/>
  <c r="L133" i="4"/>
  <c r="K133" i="4"/>
  <c r="J133" i="4"/>
  <c r="I133" i="4"/>
  <c r="H133" i="4"/>
  <c r="G133" i="4"/>
  <c r="F133" i="4"/>
  <c r="E133" i="4"/>
  <c r="D133" i="4"/>
  <c r="C133" i="4"/>
  <c r="P132" i="4"/>
  <c r="O132" i="4"/>
  <c r="N132" i="4"/>
  <c r="M132" i="4"/>
  <c r="L132" i="4"/>
  <c r="K132" i="4"/>
  <c r="J132" i="4"/>
  <c r="I132" i="4"/>
  <c r="H132" i="4"/>
  <c r="G132" i="4"/>
  <c r="F132" i="4"/>
  <c r="E132" i="4"/>
  <c r="D132" i="4"/>
  <c r="C132" i="4"/>
  <c r="P131" i="4"/>
  <c r="O131" i="4"/>
  <c r="N131" i="4"/>
  <c r="M131" i="4"/>
  <c r="L131" i="4"/>
  <c r="K131" i="4"/>
  <c r="J131" i="4"/>
  <c r="I131" i="4"/>
  <c r="H131" i="4"/>
  <c r="G131" i="4"/>
  <c r="F131" i="4"/>
  <c r="E131" i="4"/>
  <c r="D131" i="4"/>
  <c r="C131" i="4"/>
  <c r="P130" i="4"/>
  <c r="O130" i="4"/>
  <c r="N130" i="4"/>
  <c r="M130" i="4"/>
  <c r="L130" i="4"/>
  <c r="K130" i="4"/>
  <c r="J130" i="4"/>
  <c r="I130" i="4"/>
  <c r="H130" i="4"/>
  <c r="G130" i="4"/>
  <c r="F130" i="4"/>
  <c r="E130" i="4"/>
  <c r="D130" i="4"/>
  <c r="C130" i="4"/>
  <c r="P129" i="4"/>
  <c r="O129" i="4"/>
  <c r="N129" i="4"/>
  <c r="M129" i="4"/>
  <c r="L129" i="4"/>
  <c r="K129" i="4"/>
  <c r="J129" i="4"/>
  <c r="I129" i="4"/>
  <c r="H129" i="4"/>
  <c r="G129" i="4"/>
  <c r="F129" i="4"/>
  <c r="E129" i="4"/>
  <c r="D129" i="4"/>
  <c r="C129" i="4"/>
  <c r="P128" i="4"/>
  <c r="O128" i="4"/>
  <c r="N128" i="4"/>
  <c r="M128" i="4"/>
  <c r="L128" i="4"/>
  <c r="K128" i="4"/>
  <c r="J128" i="4"/>
  <c r="I128" i="4"/>
  <c r="H128" i="4"/>
  <c r="G128" i="4"/>
  <c r="F128" i="4"/>
  <c r="E128" i="4"/>
  <c r="D128" i="4"/>
  <c r="C128" i="4"/>
  <c r="P127" i="4"/>
  <c r="O127" i="4"/>
  <c r="N127" i="4"/>
  <c r="M127" i="4"/>
  <c r="L127" i="4"/>
  <c r="K127" i="4"/>
  <c r="J127" i="4"/>
  <c r="I127" i="4"/>
  <c r="H127" i="4"/>
  <c r="G127" i="4"/>
  <c r="F127" i="4"/>
  <c r="E127" i="4"/>
  <c r="D127" i="4"/>
  <c r="C127" i="4"/>
  <c r="P126" i="4"/>
  <c r="O126" i="4"/>
  <c r="N126" i="4"/>
  <c r="M126" i="4"/>
  <c r="L126" i="4"/>
  <c r="K126" i="4"/>
  <c r="J126" i="4"/>
  <c r="I126" i="4"/>
  <c r="H126" i="4"/>
  <c r="G126" i="4"/>
  <c r="F126" i="4"/>
  <c r="E126" i="4"/>
  <c r="D126" i="4"/>
  <c r="C126" i="4"/>
  <c r="P125" i="4"/>
  <c r="O125" i="4"/>
  <c r="N125" i="4"/>
  <c r="M125" i="4"/>
  <c r="L125" i="4"/>
  <c r="K125" i="4"/>
  <c r="J125" i="4"/>
  <c r="I125" i="4"/>
  <c r="H125" i="4"/>
  <c r="G125" i="4"/>
  <c r="F125" i="4"/>
  <c r="E125" i="4"/>
  <c r="D125" i="4"/>
  <c r="C125" i="4"/>
  <c r="P124" i="4"/>
  <c r="O124" i="4"/>
  <c r="N124" i="4"/>
  <c r="M124" i="4"/>
  <c r="L124" i="4"/>
  <c r="K124" i="4"/>
  <c r="J124" i="4"/>
  <c r="I124" i="4"/>
  <c r="H124" i="4"/>
  <c r="G124" i="4"/>
  <c r="F124" i="4"/>
  <c r="E124" i="4"/>
  <c r="D124" i="4"/>
  <c r="C124" i="4"/>
  <c r="P123" i="4"/>
  <c r="O123" i="4"/>
  <c r="N123" i="4"/>
  <c r="M123" i="4"/>
  <c r="L123" i="4"/>
  <c r="K123" i="4"/>
  <c r="J123" i="4"/>
  <c r="I123" i="4"/>
  <c r="H123" i="4"/>
  <c r="G123" i="4"/>
  <c r="F123" i="4"/>
  <c r="E123" i="4"/>
  <c r="D123" i="4"/>
  <c r="C123" i="4"/>
  <c r="P122" i="4"/>
  <c r="O122" i="4"/>
  <c r="N122" i="4"/>
  <c r="M122" i="4"/>
  <c r="L122" i="4"/>
  <c r="K122" i="4"/>
  <c r="J122" i="4"/>
  <c r="I122" i="4"/>
  <c r="H122" i="4"/>
  <c r="G122" i="4"/>
  <c r="F122" i="4"/>
  <c r="E122" i="4"/>
  <c r="D122" i="4"/>
  <c r="C122" i="4"/>
  <c r="P121" i="4"/>
  <c r="O121" i="4"/>
  <c r="N121" i="4"/>
  <c r="M121" i="4"/>
  <c r="L121" i="4"/>
  <c r="K121" i="4"/>
  <c r="J121" i="4"/>
  <c r="I121" i="4"/>
  <c r="H121" i="4"/>
  <c r="G121" i="4"/>
  <c r="F121" i="4"/>
  <c r="E121" i="4"/>
  <c r="D121" i="4"/>
  <c r="C121" i="4"/>
  <c r="P120" i="4"/>
  <c r="O120" i="4"/>
  <c r="N120" i="4"/>
  <c r="M120" i="4"/>
  <c r="L120" i="4"/>
  <c r="K120" i="4"/>
  <c r="J120" i="4"/>
  <c r="I120" i="4"/>
  <c r="H120" i="4"/>
  <c r="G120" i="4"/>
  <c r="F120" i="4"/>
  <c r="E120" i="4"/>
  <c r="D120" i="4"/>
  <c r="C120" i="4"/>
  <c r="P119" i="4"/>
  <c r="O119" i="4"/>
  <c r="N119" i="4"/>
  <c r="M119" i="4"/>
  <c r="L119" i="4"/>
  <c r="K119" i="4"/>
  <c r="J119" i="4"/>
  <c r="I119" i="4"/>
  <c r="H119" i="4"/>
  <c r="G119" i="4"/>
  <c r="F119" i="4"/>
  <c r="E119" i="4"/>
  <c r="D119" i="4"/>
  <c r="C119" i="4"/>
  <c r="P118" i="4"/>
  <c r="O118" i="4"/>
  <c r="N118" i="4"/>
  <c r="M118" i="4"/>
  <c r="L118" i="4"/>
  <c r="K118" i="4"/>
  <c r="J118" i="4"/>
  <c r="I118" i="4"/>
  <c r="H118" i="4"/>
  <c r="G118" i="4"/>
  <c r="F118" i="4"/>
  <c r="E118" i="4"/>
  <c r="D118" i="4"/>
  <c r="C118" i="4"/>
  <c r="P117" i="4"/>
  <c r="O117" i="4"/>
  <c r="N117" i="4"/>
  <c r="M117" i="4"/>
  <c r="L117" i="4"/>
  <c r="K117" i="4"/>
  <c r="J117" i="4"/>
  <c r="I117" i="4"/>
  <c r="H117" i="4"/>
  <c r="G117" i="4"/>
  <c r="F117" i="4"/>
  <c r="E117" i="4"/>
  <c r="D117" i="4"/>
  <c r="C117" i="4"/>
  <c r="P116" i="4"/>
  <c r="O116" i="4"/>
  <c r="N116" i="4"/>
  <c r="M116" i="4"/>
  <c r="L116" i="4"/>
  <c r="K116" i="4"/>
  <c r="J116" i="4"/>
  <c r="I116" i="4"/>
  <c r="H116" i="4"/>
  <c r="G116" i="4"/>
  <c r="F116" i="4"/>
  <c r="E116" i="4"/>
  <c r="D116" i="4"/>
  <c r="C116" i="4"/>
  <c r="P115" i="4"/>
  <c r="O115" i="4"/>
  <c r="N115" i="4"/>
  <c r="M115" i="4"/>
  <c r="L115" i="4"/>
  <c r="K115" i="4"/>
  <c r="J115" i="4"/>
  <c r="I115" i="4"/>
  <c r="H115" i="4"/>
  <c r="G115" i="4"/>
  <c r="F115" i="4"/>
  <c r="E115" i="4"/>
  <c r="D115" i="4"/>
  <c r="C115" i="4"/>
  <c r="P114" i="4"/>
  <c r="O114" i="4"/>
  <c r="N114" i="4"/>
  <c r="M114" i="4"/>
  <c r="L114" i="4"/>
  <c r="K114" i="4"/>
  <c r="J114" i="4"/>
  <c r="I114" i="4"/>
  <c r="H114" i="4"/>
  <c r="G114" i="4"/>
  <c r="F114" i="4"/>
  <c r="E114" i="4"/>
  <c r="D114" i="4"/>
  <c r="C114" i="4"/>
  <c r="P113" i="4"/>
  <c r="O113" i="4"/>
  <c r="N113" i="4"/>
  <c r="M113" i="4"/>
  <c r="L113" i="4"/>
  <c r="K113" i="4"/>
  <c r="J113" i="4"/>
  <c r="I113" i="4"/>
  <c r="H113" i="4"/>
  <c r="G113" i="4"/>
  <c r="F113" i="4"/>
  <c r="E113" i="4"/>
  <c r="D113" i="4"/>
  <c r="C113" i="4"/>
  <c r="P112" i="4"/>
  <c r="O112" i="4"/>
  <c r="N112" i="4"/>
  <c r="M112" i="4"/>
  <c r="L112" i="4"/>
  <c r="K112" i="4"/>
  <c r="J112" i="4"/>
  <c r="I112" i="4"/>
  <c r="H112" i="4"/>
  <c r="G112" i="4"/>
  <c r="F112" i="4"/>
  <c r="E112" i="4"/>
  <c r="D112" i="4"/>
  <c r="C112" i="4"/>
  <c r="P111" i="4"/>
  <c r="O111" i="4"/>
  <c r="N111" i="4"/>
  <c r="M111" i="4"/>
  <c r="L111" i="4"/>
  <c r="K111" i="4"/>
  <c r="J111" i="4"/>
  <c r="I111" i="4"/>
  <c r="H111" i="4"/>
  <c r="G111" i="4"/>
  <c r="F111" i="4"/>
  <c r="E111" i="4"/>
  <c r="D111" i="4"/>
  <c r="C111" i="4"/>
  <c r="P110" i="4"/>
  <c r="O110" i="4"/>
  <c r="N110" i="4"/>
  <c r="M110" i="4"/>
  <c r="L110" i="4"/>
  <c r="K110" i="4"/>
  <c r="J110" i="4"/>
  <c r="I110" i="4"/>
  <c r="H110" i="4"/>
  <c r="G110" i="4"/>
  <c r="F110" i="4"/>
  <c r="E110" i="4"/>
  <c r="D110" i="4"/>
  <c r="C110" i="4"/>
  <c r="P109" i="4"/>
  <c r="O109" i="4"/>
  <c r="N109" i="4"/>
  <c r="M109" i="4"/>
  <c r="L109" i="4"/>
  <c r="K109" i="4"/>
  <c r="J109" i="4"/>
  <c r="I109" i="4"/>
  <c r="H109" i="4"/>
  <c r="G109" i="4"/>
  <c r="F109" i="4"/>
  <c r="E109" i="4"/>
  <c r="D109" i="4"/>
  <c r="C109" i="4"/>
  <c r="P108" i="4"/>
  <c r="O108" i="4"/>
  <c r="N108" i="4"/>
  <c r="M108" i="4"/>
  <c r="L108" i="4"/>
  <c r="K108" i="4"/>
  <c r="J108" i="4"/>
  <c r="I108" i="4"/>
  <c r="H108" i="4"/>
  <c r="G108" i="4"/>
  <c r="F108" i="4"/>
  <c r="E108" i="4"/>
  <c r="D108" i="4"/>
  <c r="C108" i="4"/>
  <c r="P107" i="4"/>
  <c r="O107" i="4"/>
  <c r="N107" i="4"/>
  <c r="M107" i="4"/>
  <c r="L107" i="4"/>
  <c r="K107" i="4"/>
  <c r="J107" i="4"/>
  <c r="I107" i="4"/>
  <c r="H107" i="4"/>
  <c r="G107" i="4"/>
  <c r="F107" i="4"/>
  <c r="E107" i="4"/>
  <c r="D107" i="4"/>
  <c r="C107" i="4"/>
  <c r="P106" i="4"/>
  <c r="O106" i="4"/>
  <c r="N106" i="4"/>
  <c r="M106" i="4"/>
  <c r="L106" i="4"/>
  <c r="K106" i="4"/>
  <c r="J106" i="4"/>
  <c r="I106" i="4"/>
  <c r="H106" i="4"/>
  <c r="G106" i="4"/>
  <c r="F106" i="4"/>
  <c r="E106" i="4"/>
  <c r="D106" i="4"/>
  <c r="C106" i="4"/>
  <c r="P105" i="4"/>
  <c r="O105" i="4"/>
  <c r="N105" i="4"/>
  <c r="M105" i="4"/>
  <c r="L105" i="4"/>
  <c r="K105" i="4"/>
  <c r="J105" i="4"/>
  <c r="I105" i="4"/>
  <c r="H105" i="4"/>
  <c r="G105" i="4"/>
  <c r="F105" i="4"/>
  <c r="E105" i="4"/>
  <c r="D105" i="4"/>
  <c r="C105" i="4"/>
  <c r="P104" i="4"/>
  <c r="O104" i="4"/>
  <c r="N104" i="4"/>
  <c r="M104" i="4"/>
  <c r="L104" i="4"/>
  <c r="K104" i="4"/>
  <c r="J104" i="4"/>
  <c r="I104" i="4"/>
  <c r="H104" i="4"/>
  <c r="G104" i="4"/>
  <c r="F104" i="4"/>
  <c r="E104" i="4"/>
  <c r="D104" i="4"/>
  <c r="C104" i="4"/>
  <c r="P103" i="4"/>
  <c r="O103" i="4"/>
  <c r="N103" i="4"/>
  <c r="M103" i="4"/>
  <c r="L103" i="4"/>
  <c r="K103" i="4"/>
  <c r="J103" i="4"/>
  <c r="I103" i="4"/>
  <c r="H103" i="4"/>
  <c r="G103" i="4"/>
  <c r="F103" i="4"/>
  <c r="E103" i="4"/>
  <c r="D103" i="4"/>
  <c r="C103" i="4"/>
  <c r="P102" i="4"/>
  <c r="O102" i="4"/>
  <c r="N102" i="4"/>
  <c r="M102" i="4"/>
  <c r="L102" i="4"/>
  <c r="K102" i="4"/>
  <c r="J102" i="4"/>
  <c r="I102" i="4"/>
  <c r="H102" i="4"/>
  <c r="G102" i="4"/>
  <c r="F102" i="4"/>
  <c r="E102" i="4"/>
  <c r="D102" i="4"/>
  <c r="C102" i="4"/>
  <c r="P101" i="4"/>
  <c r="O101" i="4"/>
  <c r="N101" i="4"/>
  <c r="M101" i="4"/>
  <c r="L101" i="4"/>
  <c r="K101" i="4"/>
  <c r="J101" i="4"/>
  <c r="I101" i="4"/>
  <c r="H101" i="4"/>
  <c r="G101" i="4"/>
  <c r="F101" i="4"/>
  <c r="E101" i="4"/>
  <c r="D101" i="4"/>
  <c r="C101" i="4"/>
  <c r="P100" i="4"/>
  <c r="O100" i="4"/>
  <c r="N100" i="4"/>
  <c r="M100" i="4"/>
  <c r="L100" i="4"/>
  <c r="K100" i="4"/>
  <c r="J100" i="4"/>
  <c r="I100" i="4"/>
  <c r="H100" i="4"/>
  <c r="G100" i="4"/>
  <c r="F100" i="4"/>
  <c r="E100" i="4"/>
  <c r="D100" i="4"/>
  <c r="C100" i="4"/>
  <c r="P99" i="4"/>
  <c r="O99" i="4"/>
  <c r="N99" i="4"/>
  <c r="M99" i="4"/>
  <c r="L99" i="4"/>
  <c r="K99" i="4"/>
  <c r="J99" i="4"/>
  <c r="I99" i="4"/>
  <c r="H99" i="4"/>
  <c r="G99" i="4"/>
  <c r="F99" i="4"/>
  <c r="E99" i="4"/>
  <c r="D99" i="4"/>
  <c r="C99" i="4"/>
  <c r="P98" i="4"/>
  <c r="O98" i="4"/>
  <c r="N98" i="4"/>
  <c r="M98" i="4"/>
  <c r="L98" i="4"/>
  <c r="K98" i="4"/>
  <c r="J98" i="4"/>
  <c r="I98" i="4"/>
  <c r="H98" i="4"/>
  <c r="G98" i="4"/>
  <c r="F98" i="4"/>
  <c r="E98" i="4"/>
  <c r="D98" i="4"/>
  <c r="C98" i="4"/>
  <c r="P97" i="4"/>
  <c r="O97" i="4"/>
  <c r="N97" i="4"/>
  <c r="M97" i="4"/>
  <c r="L97" i="4"/>
  <c r="K97" i="4"/>
  <c r="J97" i="4"/>
  <c r="I97" i="4"/>
  <c r="H97" i="4"/>
  <c r="G97" i="4"/>
  <c r="F97" i="4"/>
  <c r="E97" i="4"/>
  <c r="D97" i="4"/>
  <c r="C97" i="4"/>
  <c r="P96" i="4"/>
  <c r="O96" i="4"/>
  <c r="N96" i="4"/>
  <c r="M96" i="4"/>
  <c r="L96" i="4"/>
  <c r="K96" i="4"/>
  <c r="J96" i="4"/>
  <c r="I96" i="4"/>
  <c r="H96" i="4"/>
  <c r="G96" i="4"/>
  <c r="F96" i="4"/>
  <c r="E96" i="4"/>
  <c r="D96" i="4"/>
  <c r="C96" i="4"/>
  <c r="P95" i="4"/>
  <c r="O95" i="4"/>
  <c r="N95" i="4"/>
  <c r="M95" i="4"/>
  <c r="L95" i="4"/>
  <c r="K95" i="4"/>
  <c r="J95" i="4"/>
  <c r="I95" i="4"/>
  <c r="H95" i="4"/>
  <c r="G95" i="4"/>
  <c r="F95" i="4"/>
  <c r="E95" i="4"/>
  <c r="D95" i="4"/>
  <c r="C95" i="4"/>
  <c r="P94" i="4"/>
  <c r="O94" i="4"/>
  <c r="N94" i="4"/>
  <c r="M94" i="4"/>
  <c r="L94" i="4"/>
  <c r="K94" i="4"/>
  <c r="J94" i="4"/>
  <c r="I94" i="4"/>
  <c r="H94" i="4"/>
  <c r="G94" i="4"/>
  <c r="F94" i="4"/>
  <c r="E94" i="4"/>
  <c r="D94" i="4"/>
  <c r="C94" i="4"/>
  <c r="P93" i="4"/>
  <c r="O93" i="4"/>
  <c r="N93" i="4"/>
  <c r="M93" i="4"/>
  <c r="L93" i="4"/>
  <c r="K93" i="4"/>
  <c r="J93" i="4"/>
  <c r="I93" i="4"/>
  <c r="H93" i="4"/>
  <c r="G93" i="4"/>
  <c r="F93" i="4"/>
  <c r="E93" i="4"/>
  <c r="D93" i="4"/>
  <c r="C93" i="4"/>
  <c r="P92" i="4"/>
  <c r="O92" i="4"/>
  <c r="N92" i="4"/>
  <c r="M92" i="4"/>
  <c r="L92" i="4"/>
  <c r="K92" i="4"/>
  <c r="J92" i="4"/>
  <c r="I92" i="4"/>
  <c r="H92" i="4"/>
  <c r="G92" i="4"/>
  <c r="F92" i="4"/>
  <c r="E92" i="4"/>
  <c r="D92" i="4"/>
  <c r="C92" i="4"/>
  <c r="P91" i="4"/>
  <c r="O91" i="4"/>
  <c r="N91" i="4"/>
  <c r="M91" i="4"/>
  <c r="L91" i="4"/>
  <c r="K91" i="4"/>
  <c r="J91" i="4"/>
  <c r="I91" i="4"/>
  <c r="H91" i="4"/>
  <c r="G91" i="4"/>
  <c r="F91" i="4"/>
  <c r="E91" i="4"/>
  <c r="D91" i="4"/>
  <c r="C91" i="4"/>
  <c r="P90" i="4"/>
  <c r="O90" i="4"/>
  <c r="N90" i="4"/>
  <c r="M90" i="4"/>
  <c r="L90" i="4"/>
  <c r="K90" i="4"/>
  <c r="J90" i="4"/>
  <c r="I90" i="4"/>
  <c r="H90" i="4"/>
  <c r="G90" i="4"/>
  <c r="F90" i="4"/>
  <c r="E90" i="4"/>
  <c r="D90" i="4"/>
  <c r="C90" i="4"/>
  <c r="P89" i="4"/>
  <c r="O89" i="4"/>
  <c r="N89" i="4"/>
  <c r="M89" i="4"/>
  <c r="L89" i="4"/>
  <c r="K89" i="4"/>
  <c r="J89" i="4"/>
  <c r="I89" i="4"/>
  <c r="H89" i="4"/>
  <c r="G89" i="4"/>
  <c r="F89" i="4"/>
  <c r="E89" i="4"/>
  <c r="D89" i="4"/>
  <c r="C89" i="4"/>
  <c r="P88" i="4"/>
  <c r="O88" i="4"/>
  <c r="N88" i="4"/>
  <c r="M88" i="4"/>
  <c r="L88" i="4"/>
  <c r="K88" i="4"/>
  <c r="J88" i="4"/>
  <c r="I88" i="4"/>
  <c r="H88" i="4"/>
  <c r="G88" i="4"/>
  <c r="F88" i="4"/>
  <c r="E88" i="4"/>
  <c r="D88" i="4"/>
  <c r="C88" i="4"/>
  <c r="P87" i="4"/>
  <c r="O87" i="4"/>
  <c r="N87" i="4"/>
  <c r="M87" i="4"/>
  <c r="L87" i="4"/>
  <c r="K87" i="4"/>
  <c r="J87" i="4"/>
  <c r="I87" i="4"/>
  <c r="H87" i="4"/>
  <c r="G87" i="4"/>
  <c r="F87" i="4"/>
  <c r="E87" i="4"/>
  <c r="D87" i="4"/>
  <c r="C87" i="4"/>
  <c r="P86" i="4"/>
  <c r="O86" i="4"/>
  <c r="N86" i="4"/>
  <c r="M86" i="4"/>
  <c r="L86" i="4"/>
  <c r="K86" i="4"/>
  <c r="J86" i="4"/>
  <c r="I86" i="4"/>
  <c r="H86" i="4"/>
  <c r="G86" i="4"/>
  <c r="F86" i="4"/>
  <c r="E86" i="4"/>
  <c r="D86" i="4"/>
  <c r="C86" i="4"/>
  <c r="P85" i="4"/>
  <c r="O85" i="4"/>
  <c r="N85" i="4"/>
  <c r="M85" i="4"/>
  <c r="L85" i="4"/>
  <c r="K85" i="4"/>
  <c r="J85" i="4"/>
  <c r="I85" i="4"/>
  <c r="H85" i="4"/>
  <c r="G85" i="4"/>
  <c r="F85" i="4"/>
  <c r="E85" i="4"/>
  <c r="D85" i="4"/>
  <c r="C85" i="4"/>
  <c r="P84" i="4"/>
  <c r="O84" i="4"/>
  <c r="N84" i="4"/>
  <c r="M84" i="4"/>
  <c r="L84" i="4"/>
  <c r="K84" i="4"/>
  <c r="J84" i="4"/>
  <c r="I84" i="4"/>
  <c r="H84" i="4"/>
  <c r="G84" i="4"/>
  <c r="F84" i="4"/>
  <c r="E84" i="4"/>
  <c r="D84" i="4"/>
  <c r="C84" i="4"/>
  <c r="P83" i="4"/>
  <c r="O83" i="4"/>
  <c r="N83" i="4"/>
  <c r="M83" i="4"/>
  <c r="L83" i="4"/>
  <c r="K83" i="4"/>
  <c r="J83" i="4"/>
  <c r="I83" i="4"/>
  <c r="H83" i="4"/>
  <c r="G83" i="4"/>
  <c r="F83" i="4"/>
  <c r="E83" i="4"/>
  <c r="D83" i="4"/>
  <c r="C83" i="4"/>
  <c r="P82" i="4"/>
  <c r="O82" i="4"/>
  <c r="N82" i="4"/>
  <c r="M82" i="4"/>
  <c r="L82" i="4"/>
  <c r="K82" i="4"/>
  <c r="J82" i="4"/>
  <c r="I82" i="4"/>
  <c r="H82" i="4"/>
  <c r="G82" i="4"/>
  <c r="F82" i="4"/>
  <c r="E82" i="4"/>
  <c r="D82" i="4"/>
  <c r="C82" i="4"/>
  <c r="P81" i="4"/>
  <c r="O81" i="4"/>
  <c r="N81" i="4"/>
  <c r="M81" i="4"/>
  <c r="L81" i="4"/>
  <c r="K81" i="4"/>
  <c r="J81" i="4"/>
  <c r="I81" i="4"/>
  <c r="H81" i="4"/>
  <c r="G81" i="4"/>
  <c r="F81" i="4"/>
  <c r="E81" i="4"/>
  <c r="D81" i="4"/>
  <c r="C81" i="4"/>
  <c r="P80" i="4"/>
  <c r="O80" i="4"/>
  <c r="N80" i="4"/>
  <c r="M80" i="4"/>
  <c r="L80" i="4"/>
  <c r="K80" i="4"/>
  <c r="J80" i="4"/>
  <c r="I80" i="4"/>
  <c r="H80" i="4"/>
  <c r="G80" i="4"/>
  <c r="F80" i="4"/>
  <c r="E80" i="4"/>
  <c r="D80" i="4"/>
  <c r="C80" i="4"/>
  <c r="P79" i="4"/>
  <c r="O79" i="4"/>
  <c r="N79" i="4"/>
  <c r="M79" i="4"/>
  <c r="L79" i="4"/>
  <c r="K79" i="4"/>
  <c r="J79" i="4"/>
  <c r="I79" i="4"/>
  <c r="H79" i="4"/>
  <c r="G79" i="4"/>
  <c r="F79" i="4"/>
  <c r="E79" i="4"/>
  <c r="D79" i="4"/>
  <c r="C79" i="4"/>
  <c r="P78" i="4"/>
  <c r="O78" i="4"/>
  <c r="N78" i="4"/>
  <c r="M78" i="4"/>
  <c r="L78" i="4"/>
  <c r="K78" i="4"/>
  <c r="J78" i="4"/>
  <c r="I78" i="4"/>
  <c r="H78" i="4"/>
  <c r="G78" i="4"/>
  <c r="F78" i="4"/>
  <c r="E78" i="4"/>
  <c r="D78" i="4"/>
  <c r="C78" i="4"/>
  <c r="P77" i="4"/>
  <c r="O77" i="4"/>
  <c r="N77" i="4"/>
  <c r="M77" i="4"/>
  <c r="L77" i="4"/>
  <c r="K77" i="4"/>
  <c r="J77" i="4"/>
  <c r="I77" i="4"/>
  <c r="H77" i="4"/>
  <c r="G77" i="4"/>
  <c r="F77" i="4"/>
  <c r="E77" i="4"/>
  <c r="D77" i="4"/>
  <c r="C77" i="4"/>
  <c r="P76" i="4"/>
  <c r="O76" i="4"/>
  <c r="N76" i="4"/>
  <c r="M76" i="4"/>
  <c r="L76" i="4"/>
  <c r="K76" i="4"/>
  <c r="J76" i="4"/>
  <c r="I76" i="4"/>
  <c r="H76" i="4"/>
  <c r="G76" i="4"/>
  <c r="F76" i="4"/>
  <c r="E76" i="4"/>
  <c r="D76" i="4"/>
  <c r="C76" i="4"/>
  <c r="P75" i="4"/>
  <c r="O75" i="4"/>
  <c r="N75" i="4"/>
  <c r="M75" i="4"/>
  <c r="L75" i="4"/>
  <c r="K75" i="4"/>
  <c r="J75" i="4"/>
  <c r="I75" i="4"/>
  <c r="H75" i="4"/>
  <c r="G75" i="4"/>
  <c r="F75" i="4"/>
  <c r="E75" i="4"/>
  <c r="D75" i="4"/>
  <c r="C75" i="4"/>
  <c r="P74" i="4"/>
  <c r="O74" i="4"/>
  <c r="N74" i="4"/>
  <c r="M74" i="4"/>
  <c r="L74" i="4"/>
  <c r="K74" i="4"/>
  <c r="J74" i="4"/>
  <c r="I74" i="4"/>
  <c r="H74" i="4"/>
  <c r="G74" i="4"/>
  <c r="F74" i="4"/>
  <c r="E74" i="4"/>
  <c r="D74" i="4"/>
  <c r="C74" i="4"/>
  <c r="P73" i="4"/>
  <c r="O73" i="4"/>
  <c r="N73" i="4"/>
  <c r="M73" i="4"/>
  <c r="L73" i="4"/>
  <c r="K73" i="4"/>
  <c r="J73" i="4"/>
  <c r="I73" i="4"/>
  <c r="H73" i="4"/>
  <c r="G73" i="4"/>
  <c r="F73" i="4"/>
  <c r="E73" i="4"/>
  <c r="D73" i="4"/>
  <c r="C73" i="4"/>
  <c r="P72" i="4"/>
  <c r="O72" i="4"/>
  <c r="N72" i="4"/>
  <c r="M72" i="4"/>
  <c r="L72" i="4"/>
  <c r="K72" i="4"/>
  <c r="J72" i="4"/>
  <c r="I72" i="4"/>
  <c r="H72" i="4"/>
  <c r="G72" i="4"/>
  <c r="F72" i="4"/>
  <c r="E72" i="4"/>
  <c r="D72" i="4"/>
  <c r="C72" i="4"/>
  <c r="P71" i="4"/>
  <c r="O71" i="4"/>
  <c r="N71" i="4"/>
  <c r="M71" i="4"/>
  <c r="L71" i="4"/>
  <c r="K71" i="4"/>
  <c r="J71" i="4"/>
  <c r="I71" i="4"/>
  <c r="H71" i="4"/>
  <c r="G71" i="4"/>
  <c r="F71" i="4"/>
  <c r="E71" i="4"/>
  <c r="D71" i="4"/>
  <c r="C71" i="4"/>
  <c r="P70" i="4"/>
  <c r="O70" i="4"/>
  <c r="N70" i="4"/>
  <c r="M70" i="4"/>
  <c r="L70" i="4"/>
  <c r="K70" i="4"/>
  <c r="J70" i="4"/>
  <c r="I70" i="4"/>
  <c r="H70" i="4"/>
  <c r="G70" i="4"/>
  <c r="F70" i="4"/>
  <c r="E70" i="4"/>
  <c r="D70" i="4"/>
  <c r="C70" i="4"/>
  <c r="P69" i="4"/>
  <c r="O69" i="4"/>
  <c r="N69" i="4"/>
  <c r="M69" i="4"/>
  <c r="L69" i="4"/>
  <c r="K69" i="4"/>
  <c r="J69" i="4"/>
  <c r="I69" i="4"/>
  <c r="H69" i="4"/>
  <c r="G69" i="4"/>
  <c r="F69" i="4"/>
  <c r="E69" i="4"/>
  <c r="D69" i="4"/>
  <c r="C69" i="4"/>
  <c r="P68" i="4"/>
  <c r="O68" i="4"/>
  <c r="N68" i="4"/>
  <c r="M68" i="4"/>
  <c r="L68" i="4"/>
  <c r="K68" i="4"/>
  <c r="J68" i="4"/>
  <c r="I68" i="4"/>
  <c r="H68" i="4"/>
  <c r="G68" i="4"/>
  <c r="F68" i="4"/>
  <c r="E68" i="4"/>
  <c r="D68" i="4"/>
  <c r="C68" i="4"/>
  <c r="P67" i="4"/>
  <c r="O67" i="4"/>
  <c r="N67" i="4"/>
  <c r="M67" i="4"/>
  <c r="L67" i="4"/>
  <c r="K67" i="4"/>
  <c r="J67" i="4"/>
  <c r="I67" i="4"/>
  <c r="H67" i="4"/>
  <c r="G67" i="4"/>
  <c r="F67" i="4"/>
  <c r="E67" i="4"/>
  <c r="D67" i="4"/>
  <c r="C67" i="4"/>
  <c r="P66" i="4"/>
  <c r="O66" i="4"/>
  <c r="N66" i="4"/>
  <c r="M66" i="4"/>
  <c r="L66" i="4"/>
  <c r="K66" i="4"/>
  <c r="J66" i="4"/>
  <c r="I66" i="4"/>
  <c r="H66" i="4"/>
  <c r="G66" i="4"/>
  <c r="F66" i="4"/>
  <c r="E66" i="4"/>
  <c r="D66" i="4"/>
  <c r="C66" i="4"/>
  <c r="P65" i="4"/>
  <c r="O65" i="4"/>
  <c r="N65" i="4"/>
  <c r="M65" i="4"/>
  <c r="L65" i="4"/>
  <c r="K65" i="4"/>
  <c r="J65" i="4"/>
  <c r="I65" i="4"/>
  <c r="H65" i="4"/>
  <c r="G65" i="4"/>
  <c r="F65" i="4"/>
  <c r="E65" i="4"/>
  <c r="D65" i="4"/>
  <c r="C65" i="4"/>
  <c r="P64" i="4"/>
  <c r="O64" i="4"/>
  <c r="N64" i="4"/>
  <c r="M64" i="4"/>
  <c r="L64" i="4"/>
  <c r="K64" i="4"/>
  <c r="J64" i="4"/>
  <c r="I64" i="4"/>
  <c r="H64" i="4"/>
  <c r="G64" i="4"/>
  <c r="F64" i="4"/>
  <c r="E64" i="4"/>
  <c r="D64" i="4"/>
  <c r="C64" i="4"/>
  <c r="P63" i="4"/>
  <c r="O63" i="4"/>
  <c r="N63" i="4"/>
  <c r="M63" i="4"/>
  <c r="L63" i="4"/>
  <c r="K63" i="4"/>
  <c r="J63" i="4"/>
  <c r="I63" i="4"/>
  <c r="H63" i="4"/>
  <c r="G63" i="4"/>
  <c r="F63" i="4"/>
  <c r="E63" i="4"/>
  <c r="D63" i="4"/>
  <c r="C63" i="4"/>
  <c r="P62" i="4"/>
  <c r="O62" i="4"/>
  <c r="N62" i="4"/>
  <c r="M62" i="4"/>
  <c r="L62" i="4"/>
  <c r="K62" i="4"/>
  <c r="J62" i="4"/>
  <c r="I62" i="4"/>
  <c r="H62" i="4"/>
  <c r="G62" i="4"/>
  <c r="F62" i="4"/>
  <c r="E62" i="4"/>
  <c r="D62" i="4"/>
  <c r="C62" i="4"/>
  <c r="P61" i="4"/>
  <c r="O61" i="4"/>
  <c r="N61" i="4"/>
  <c r="M61" i="4"/>
  <c r="L61" i="4"/>
  <c r="K61" i="4"/>
  <c r="J61" i="4"/>
  <c r="I61" i="4"/>
  <c r="H61" i="4"/>
  <c r="G61" i="4"/>
  <c r="F61" i="4"/>
  <c r="E61" i="4"/>
  <c r="D61" i="4"/>
  <c r="C61" i="4"/>
  <c r="P60" i="4"/>
  <c r="O60" i="4"/>
  <c r="N60" i="4"/>
  <c r="M60" i="4"/>
  <c r="L60" i="4"/>
  <c r="K60" i="4"/>
  <c r="J60" i="4"/>
  <c r="I60" i="4"/>
  <c r="H60" i="4"/>
  <c r="G60" i="4"/>
  <c r="F60" i="4"/>
  <c r="E60" i="4"/>
  <c r="D60" i="4"/>
  <c r="C60" i="4"/>
  <c r="P59" i="4"/>
  <c r="O59" i="4"/>
  <c r="N59" i="4"/>
  <c r="M59" i="4"/>
  <c r="L59" i="4"/>
  <c r="K59" i="4"/>
  <c r="J59" i="4"/>
  <c r="I59" i="4"/>
  <c r="H59" i="4"/>
  <c r="G59" i="4"/>
  <c r="F59" i="4"/>
  <c r="E59" i="4"/>
  <c r="D59" i="4"/>
  <c r="C59" i="4"/>
  <c r="P58" i="4"/>
  <c r="O58" i="4"/>
  <c r="N58" i="4"/>
  <c r="M58" i="4"/>
  <c r="L58" i="4"/>
  <c r="K58" i="4"/>
  <c r="J58" i="4"/>
  <c r="I58" i="4"/>
  <c r="H58" i="4"/>
  <c r="G58" i="4"/>
  <c r="F58" i="4"/>
  <c r="E58" i="4"/>
  <c r="D58" i="4"/>
  <c r="C58" i="4"/>
  <c r="P57" i="4"/>
  <c r="O57" i="4"/>
  <c r="N57" i="4"/>
  <c r="M57" i="4"/>
  <c r="L57" i="4"/>
  <c r="K57" i="4"/>
  <c r="J57" i="4"/>
  <c r="I57" i="4"/>
  <c r="H57" i="4"/>
  <c r="G57" i="4"/>
  <c r="F57" i="4"/>
  <c r="E57" i="4"/>
  <c r="D57" i="4"/>
  <c r="C57" i="4"/>
  <c r="P56" i="4"/>
  <c r="O56" i="4"/>
  <c r="N56" i="4"/>
  <c r="M56" i="4"/>
  <c r="L56" i="4"/>
  <c r="K56" i="4"/>
  <c r="J56" i="4"/>
  <c r="I56" i="4"/>
  <c r="H56" i="4"/>
  <c r="G56" i="4"/>
  <c r="F56" i="4"/>
  <c r="E56" i="4"/>
  <c r="D56" i="4"/>
  <c r="C56" i="4"/>
  <c r="P55" i="4"/>
  <c r="O55" i="4"/>
  <c r="N55" i="4"/>
  <c r="M55" i="4"/>
  <c r="L55" i="4"/>
  <c r="K55" i="4"/>
  <c r="J55" i="4"/>
  <c r="I55" i="4"/>
  <c r="H55" i="4"/>
  <c r="G55" i="4"/>
  <c r="F55" i="4"/>
  <c r="E55" i="4"/>
  <c r="D55" i="4"/>
  <c r="C55" i="4"/>
  <c r="P54" i="4"/>
  <c r="O54" i="4"/>
  <c r="N54" i="4"/>
  <c r="M54" i="4"/>
  <c r="L54" i="4"/>
  <c r="K54" i="4"/>
  <c r="J54" i="4"/>
  <c r="I54" i="4"/>
  <c r="H54" i="4"/>
  <c r="G54" i="4"/>
  <c r="F54" i="4"/>
  <c r="E54" i="4"/>
  <c r="D54" i="4"/>
  <c r="C54" i="4"/>
  <c r="P53" i="4"/>
  <c r="O53" i="4"/>
  <c r="N53" i="4"/>
  <c r="M53" i="4"/>
  <c r="L53" i="4"/>
  <c r="K53" i="4"/>
  <c r="J53" i="4"/>
  <c r="I53" i="4"/>
  <c r="H53" i="4"/>
  <c r="G53" i="4"/>
  <c r="F53" i="4"/>
  <c r="E53" i="4"/>
  <c r="D53" i="4"/>
  <c r="C53" i="4"/>
  <c r="P52" i="4"/>
  <c r="O52" i="4"/>
  <c r="N52" i="4"/>
  <c r="M52" i="4"/>
  <c r="L52" i="4"/>
  <c r="K52" i="4"/>
  <c r="J52" i="4"/>
  <c r="I52" i="4"/>
  <c r="H52" i="4"/>
  <c r="G52" i="4"/>
  <c r="F52" i="4"/>
  <c r="E52" i="4"/>
  <c r="D52" i="4"/>
  <c r="C52" i="4"/>
  <c r="P51" i="4"/>
  <c r="O51" i="4"/>
  <c r="N51" i="4"/>
  <c r="M51" i="4"/>
  <c r="L51" i="4"/>
  <c r="K51" i="4"/>
  <c r="J51" i="4"/>
  <c r="I51" i="4"/>
  <c r="H51" i="4"/>
  <c r="G51" i="4"/>
  <c r="F51" i="4"/>
  <c r="E51" i="4"/>
  <c r="D51" i="4"/>
  <c r="C51" i="4"/>
  <c r="P50" i="4"/>
  <c r="O50" i="4"/>
  <c r="N50" i="4"/>
  <c r="M50" i="4"/>
  <c r="L50" i="4"/>
  <c r="K50" i="4"/>
  <c r="J50" i="4"/>
  <c r="I50" i="4"/>
  <c r="H50" i="4"/>
  <c r="G50" i="4"/>
  <c r="F50" i="4"/>
  <c r="E50" i="4"/>
  <c r="D50" i="4"/>
  <c r="C50" i="4"/>
  <c r="P49" i="4"/>
  <c r="O49" i="4"/>
  <c r="N49" i="4"/>
  <c r="M49" i="4"/>
  <c r="L49" i="4"/>
  <c r="K49" i="4"/>
  <c r="J49" i="4"/>
  <c r="I49" i="4"/>
  <c r="H49" i="4"/>
  <c r="G49" i="4"/>
  <c r="F49" i="4"/>
  <c r="E49" i="4"/>
  <c r="D49" i="4"/>
  <c r="C49" i="4"/>
  <c r="P48" i="4"/>
  <c r="O48" i="4"/>
  <c r="N48" i="4"/>
  <c r="M48" i="4"/>
  <c r="L48" i="4"/>
  <c r="K48" i="4"/>
  <c r="J48" i="4"/>
  <c r="I48" i="4"/>
  <c r="H48" i="4"/>
  <c r="G48" i="4"/>
  <c r="F48" i="4"/>
  <c r="E48" i="4"/>
  <c r="D48" i="4"/>
  <c r="C48" i="4"/>
  <c r="P47" i="4"/>
  <c r="O47" i="4"/>
  <c r="N47" i="4"/>
  <c r="M47" i="4"/>
  <c r="L47" i="4"/>
  <c r="K47" i="4"/>
  <c r="J47" i="4"/>
  <c r="I47" i="4"/>
  <c r="H47" i="4"/>
  <c r="G47" i="4"/>
  <c r="F47" i="4"/>
  <c r="E47" i="4"/>
  <c r="D47" i="4"/>
  <c r="C47" i="4"/>
  <c r="P46" i="4"/>
  <c r="O46" i="4"/>
  <c r="N46" i="4"/>
  <c r="M46" i="4"/>
  <c r="L46" i="4"/>
  <c r="K46" i="4"/>
  <c r="J46" i="4"/>
  <c r="I46" i="4"/>
  <c r="H46" i="4"/>
  <c r="G46" i="4"/>
  <c r="F46" i="4"/>
  <c r="E46" i="4"/>
  <c r="D46" i="4"/>
  <c r="C46" i="4"/>
  <c r="P45" i="4"/>
  <c r="O45" i="4"/>
  <c r="N45" i="4"/>
  <c r="M45" i="4"/>
  <c r="L45" i="4"/>
  <c r="K45" i="4"/>
  <c r="J45" i="4"/>
  <c r="I45" i="4"/>
  <c r="H45" i="4"/>
  <c r="G45" i="4"/>
  <c r="F45" i="4"/>
  <c r="E45" i="4"/>
  <c r="D45" i="4"/>
  <c r="C45" i="4"/>
  <c r="P44" i="4"/>
  <c r="O44" i="4"/>
  <c r="N44" i="4"/>
  <c r="M44" i="4"/>
  <c r="L44" i="4"/>
  <c r="K44" i="4"/>
  <c r="J44" i="4"/>
  <c r="I44" i="4"/>
  <c r="H44" i="4"/>
  <c r="G44" i="4"/>
  <c r="F44" i="4"/>
  <c r="E44" i="4"/>
  <c r="D44" i="4"/>
  <c r="C44" i="4"/>
  <c r="P43" i="4"/>
  <c r="O43" i="4"/>
  <c r="N43" i="4"/>
  <c r="M43" i="4"/>
  <c r="L43" i="4"/>
  <c r="K43" i="4"/>
  <c r="J43" i="4"/>
  <c r="I43" i="4"/>
  <c r="H43" i="4"/>
  <c r="G43" i="4"/>
  <c r="F43" i="4"/>
  <c r="E43" i="4"/>
  <c r="D43" i="4"/>
  <c r="C43" i="4"/>
  <c r="P42" i="4"/>
  <c r="O42" i="4"/>
  <c r="N42" i="4"/>
  <c r="M42" i="4"/>
  <c r="L42" i="4"/>
  <c r="K42" i="4"/>
  <c r="J42" i="4"/>
  <c r="I42" i="4"/>
  <c r="H42" i="4"/>
  <c r="G42" i="4"/>
  <c r="F42" i="4"/>
  <c r="E42" i="4"/>
  <c r="D42" i="4"/>
  <c r="C42" i="4"/>
  <c r="P41" i="4"/>
  <c r="O41" i="4"/>
  <c r="N41" i="4"/>
  <c r="M41" i="4"/>
  <c r="L41" i="4"/>
  <c r="K41" i="4"/>
  <c r="J41" i="4"/>
  <c r="I41" i="4"/>
  <c r="H41" i="4"/>
  <c r="G41" i="4"/>
  <c r="F41" i="4"/>
  <c r="E41" i="4"/>
  <c r="D41" i="4"/>
  <c r="C41" i="4"/>
  <c r="P40" i="4"/>
  <c r="O40" i="4"/>
  <c r="N40" i="4"/>
  <c r="M40" i="4"/>
  <c r="L40" i="4"/>
  <c r="K40" i="4"/>
  <c r="J40" i="4"/>
  <c r="I40" i="4"/>
  <c r="H40" i="4"/>
  <c r="G40" i="4"/>
  <c r="F40" i="4"/>
  <c r="E40" i="4"/>
  <c r="D40" i="4"/>
  <c r="C40" i="4"/>
  <c r="P39" i="4"/>
  <c r="O39" i="4"/>
  <c r="N39" i="4"/>
  <c r="M39" i="4"/>
  <c r="L39" i="4"/>
  <c r="K39" i="4"/>
  <c r="J39" i="4"/>
  <c r="I39" i="4"/>
  <c r="H39" i="4"/>
  <c r="G39" i="4"/>
  <c r="F39" i="4"/>
  <c r="E39" i="4"/>
  <c r="D39" i="4"/>
  <c r="C39" i="4"/>
  <c r="P38" i="4"/>
  <c r="O38" i="4"/>
  <c r="N38" i="4"/>
  <c r="M38" i="4"/>
  <c r="L38" i="4"/>
  <c r="K38" i="4"/>
  <c r="J38" i="4"/>
  <c r="I38" i="4"/>
  <c r="H38" i="4"/>
  <c r="G38" i="4"/>
  <c r="F38" i="4"/>
  <c r="E38" i="4"/>
  <c r="D38" i="4"/>
  <c r="C38" i="4"/>
  <c r="P37" i="4"/>
  <c r="O37" i="4"/>
  <c r="N37" i="4"/>
  <c r="M37" i="4"/>
  <c r="L37" i="4"/>
  <c r="K37" i="4"/>
  <c r="J37" i="4"/>
  <c r="I37" i="4"/>
  <c r="H37" i="4"/>
  <c r="G37" i="4"/>
  <c r="F37" i="4"/>
  <c r="E37" i="4"/>
  <c r="D37" i="4"/>
  <c r="C37" i="4"/>
  <c r="P36" i="4"/>
  <c r="O36" i="4"/>
  <c r="N36" i="4"/>
  <c r="M36" i="4"/>
  <c r="L36" i="4"/>
  <c r="K36" i="4"/>
  <c r="J36" i="4"/>
  <c r="I36" i="4"/>
  <c r="H36" i="4"/>
  <c r="G36" i="4"/>
  <c r="F36" i="4"/>
  <c r="E36" i="4"/>
  <c r="D36" i="4"/>
  <c r="C36" i="4"/>
  <c r="P35" i="4"/>
  <c r="O35" i="4"/>
  <c r="N35" i="4"/>
  <c r="M35" i="4"/>
  <c r="L35" i="4"/>
  <c r="K35" i="4"/>
  <c r="J35" i="4"/>
  <c r="I35" i="4"/>
  <c r="H35" i="4"/>
  <c r="G35" i="4"/>
  <c r="F35" i="4"/>
  <c r="E35" i="4"/>
  <c r="D35" i="4"/>
  <c r="C35" i="4"/>
  <c r="P34" i="4"/>
  <c r="O34" i="4"/>
  <c r="N34" i="4"/>
  <c r="M34" i="4"/>
  <c r="L34" i="4"/>
  <c r="K34" i="4"/>
  <c r="J34" i="4"/>
  <c r="I34" i="4"/>
  <c r="H34" i="4"/>
  <c r="G34" i="4"/>
  <c r="F34" i="4"/>
  <c r="E34" i="4"/>
  <c r="D34" i="4"/>
  <c r="C34" i="4"/>
  <c r="P33" i="4"/>
  <c r="O33" i="4"/>
  <c r="N33" i="4"/>
  <c r="M33" i="4"/>
  <c r="L33" i="4"/>
  <c r="K33" i="4"/>
  <c r="J33" i="4"/>
  <c r="I33" i="4"/>
  <c r="H33" i="4"/>
  <c r="G33" i="4"/>
  <c r="F33" i="4"/>
  <c r="E33" i="4"/>
  <c r="D33" i="4"/>
  <c r="C33" i="4"/>
  <c r="P32" i="4"/>
  <c r="O32" i="4"/>
  <c r="N32" i="4"/>
  <c r="M32" i="4"/>
  <c r="L32" i="4"/>
  <c r="K32" i="4"/>
  <c r="J32" i="4"/>
  <c r="I32" i="4"/>
  <c r="H32" i="4"/>
  <c r="G32" i="4"/>
  <c r="F32" i="4"/>
  <c r="E32" i="4"/>
  <c r="D32" i="4"/>
  <c r="C32" i="4"/>
  <c r="P31" i="4"/>
  <c r="O31" i="4"/>
  <c r="N31" i="4"/>
  <c r="M31" i="4"/>
  <c r="L31" i="4"/>
  <c r="K31" i="4"/>
  <c r="J31" i="4"/>
  <c r="I31" i="4"/>
  <c r="H31" i="4"/>
  <c r="G31" i="4"/>
  <c r="F31" i="4"/>
  <c r="E31" i="4"/>
  <c r="D31" i="4"/>
  <c r="C31" i="4"/>
  <c r="P30" i="4"/>
  <c r="O30" i="4"/>
  <c r="N30" i="4"/>
  <c r="M30" i="4"/>
  <c r="L30" i="4"/>
  <c r="K30" i="4"/>
  <c r="J30" i="4"/>
  <c r="I30" i="4"/>
  <c r="H30" i="4"/>
  <c r="G30" i="4"/>
  <c r="F30" i="4"/>
  <c r="E30" i="4"/>
  <c r="D30" i="4"/>
  <c r="C30" i="4"/>
  <c r="P29" i="4"/>
  <c r="O29" i="4"/>
  <c r="N29" i="4"/>
  <c r="M29" i="4"/>
  <c r="L29" i="4"/>
  <c r="K29" i="4"/>
  <c r="J29" i="4"/>
  <c r="I29" i="4"/>
  <c r="H29" i="4"/>
  <c r="G29" i="4"/>
  <c r="F29" i="4"/>
  <c r="E29" i="4"/>
  <c r="D29" i="4"/>
  <c r="C29" i="4"/>
  <c r="P28" i="4"/>
  <c r="O28" i="4"/>
  <c r="N28" i="4"/>
  <c r="M28" i="4"/>
  <c r="L28" i="4"/>
  <c r="K28" i="4"/>
  <c r="J28" i="4"/>
  <c r="I28" i="4"/>
  <c r="H28" i="4"/>
  <c r="G28" i="4"/>
  <c r="F28" i="4"/>
  <c r="E28" i="4"/>
  <c r="D28" i="4"/>
  <c r="C28" i="4"/>
  <c r="P27" i="4"/>
  <c r="O27" i="4"/>
  <c r="N27" i="4"/>
  <c r="M27" i="4"/>
  <c r="L27" i="4"/>
  <c r="K27" i="4"/>
  <c r="J27" i="4"/>
  <c r="I27" i="4"/>
  <c r="H27" i="4"/>
  <c r="G27" i="4"/>
  <c r="F27" i="4"/>
  <c r="E27" i="4"/>
  <c r="D27" i="4"/>
  <c r="C27" i="4"/>
  <c r="P26" i="4"/>
  <c r="O26" i="4"/>
  <c r="N26" i="4"/>
  <c r="M26" i="4"/>
  <c r="L26" i="4"/>
  <c r="K26" i="4"/>
  <c r="J26" i="4"/>
  <c r="I26" i="4"/>
  <c r="H26" i="4"/>
  <c r="G26" i="4"/>
  <c r="F26" i="4"/>
  <c r="E26" i="4"/>
  <c r="D26" i="4"/>
  <c r="C26" i="4"/>
  <c r="P25" i="4"/>
  <c r="O25" i="4"/>
  <c r="N25" i="4"/>
  <c r="M25" i="4"/>
  <c r="L25" i="4"/>
  <c r="K25" i="4"/>
  <c r="J25" i="4"/>
  <c r="I25" i="4"/>
  <c r="H25" i="4"/>
  <c r="G25" i="4"/>
  <c r="F25" i="4"/>
  <c r="E25" i="4"/>
  <c r="D25" i="4"/>
  <c r="C25" i="4"/>
  <c r="P24" i="4"/>
  <c r="O24" i="4"/>
  <c r="N24" i="4"/>
  <c r="M24" i="4"/>
  <c r="L24" i="4"/>
  <c r="K24" i="4"/>
  <c r="J24" i="4"/>
  <c r="I24" i="4"/>
  <c r="H24" i="4"/>
  <c r="G24" i="4"/>
  <c r="F24" i="4"/>
  <c r="E24" i="4"/>
  <c r="D24" i="4"/>
  <c r="C24" i="4"/>
  <c r="P23" i="4"/>
  <c r="O23" i="4"/>
  <c r="N23" i="4"/>
  <c r="M23" i="4"/>
  <c r="L23" i="4"/>
  <c r="K23" i="4"/>
  <c r="J23" i="4"/>
  <c r="I23" i="4"/>
  <c r="H23" i="4"/>
  <c r="G23" i="4"/>
  <c r="F23" i="4"/>
  <c r="E23" i="4"/>
  <c r="D23" i="4"/>
  <c r="C23" i="4"/>
  <c r="P22" i="4"/>
  <c r="O22" i="4"/>
  <c r="N22" i="4"/>
  <c r="M22" i="4"/>
  <c r="L22" i="4"/>
  <c r="K22" i="4"/>
  <c r="J22" i="4"/>
  <c r="I22" i="4"/>
  <c r="H22" i="4"/>
  <c r="G22" i="4"/>
  <c r="F22" i="4"/>
  <c r="E22" i="4"/>
  <c r="D22" i="4"/>
  <c r="C22" i="4"/>
  <c r="P21" i="4"/>
  <c r="O21" i="4"/>
  <c r="N21" i="4"/>
  <c r="M21" i="4"/>
  <c r="L21" i="4"/>
  <c r="K21" i="4"/>
  <c r="J21" i="4"/>
  <c r="I21" i="4"/>
  <c r="H21" i="4"/>
  <c r="G21" i="4"/>
  <c r="F21" i="4"/>
  <c r="E21" i="4"/>
  <c r="D21" i="4"/>
  <c r="C21" i="4"/>
  <c r="P20" i="4"/>
  <c r="O20" i="4"/>
  <c r="N20" i="4"/>
  <c r="M20" i="4"/>
  <c r="L20" i="4"/>
  <c r="K20" i="4"/>
  <c r="J20" i="4"/>
  <c r="I20" i="4"/>
  <c r="H20" i="4"/>
  <c r="G20" i="4"/>
  <c r="F20" i="4"/>
  <c r="E20" i="4"/>
  <c r="D20" i="4"/>
  <c r="C20" i="4"/>
  <c r="P19" i="4"/>
  <c r="O19" i="4"/>
  <c r="N19" i="4"/>
  <c r="M19" i="4"/>
  <c r="L19" i="4"/>
  <c r="K19" i="4"/>
  <c r="J19" i="4"/>
  <c r="I19" i="4"/>
  <c r="H19" i="4"/>
  <c r="G19" i="4"/>
  <c r="F19" i="4"/>
  <c r="E19" i="4"/>
  <c r="D19" i="4"/>
  <c r="C19" i="4"/>
  <c r="P18" i="4"/>
  <c r="O18" i="4"/>
  <c r="N18" i="4"/>
  <c r="M18" i="4"/>
  <c r="L18" i="4"/>
  <c r="K18" i="4"/>
  <c r="J18" i="4"/>
  <c r="I18" i="4"/>
  <c r="H18" i="4"/>
  <c r="G18" i="4"/>
  <c r="F18" i="4"/>
  <c r="E18" i="4"/>
  <c r="D18" i="4"/>
  <c r="C18" i="4"/>
  <c r="P17" i="4"/>
  <c r="O17" i="4"/>
  <c r="N17" i="4"/>
  <c r="M17" i="4"/>
  <c r="L17" i="4"/>
  <c r="K17" i="4"/>
  <c r="J17" i="4"/>
  <c r="I17" i="4"/>
  <c r="H17" i="4"/>
  <c r="G17" i="4"/>
  <c r="F17" i="4"/>
  <c r="E17" i="4"/>
  <c r="D17" i="4"/>
  <c r="C17" i="4"/>
  <c r="P16" i="4"/>
  <c r="O16" i="4"/>
  <c r="N16" i="4"/>
  <c r="M16" i="4"/>
  <c r="L16" i="4"/>
  <c r="K16" i="4"/>
  <c r="J16" i="4"/>
  <c r="I16" i="4"/>
  <c r="H16" i="4"/>
  <c r="G16" i="4"/>
  <c r="F16" i="4"/>
  <c r="E16" i="4"/>
  <c r="D16" i="4"/>
  <c r="C16" i="4"/>
  <c r="P15" i="4"/>
  <c r="O15" i="4"/>
  <c r="N15" i="4"/>
  <c r="M15" i="4"/>
  <c r="L15" i="4"/>
  <c r="K15" i="4"/>
  <c r="J15" i="4"/>
  <c r="I15" i="4"/>
  <c r="H15" i="4"/>
  <c r="G15" i="4"/>
  <c r="F15" i="4"/>
  <c r="E15" i="4"/>
  <c r="D15" i="4"/>
  <c r="C15" i="4"/>
  <c r="P14" i="4"/>
  <c r="O14" i="4"/>
  <c r="N14" i="4"/>
  <c r="M14" i="4"/>
  <c r="L14" i="4"/>
  <c r="K14" i="4"/>
  <c r="J14" i="4"/>
  <c r="I14" i="4"/>
  <c r="H14" i="4"/>
  <c r="G14" i="4"/>
  <c r="F14" i="4"/>
  <c r="E14" i="4"/>
  <c r="D14" i="4"/>
  <c r="C14" i="4"/>
  <c r="P13" i="4"/>
  <c r="O13" i="4"/>
  <c r="N13" i="4"/>
  <c r="M13" i="4"/>
  <c r="L13" i="4"/>
  <c r="K13" i="4"/>
  <c r="J13" i="4"/>
  <c r="I13" i="4"/>
  <c r="H13" i="4"/>
  <c r="F13" i="4"/>
  <c r="E13" i="4"/>
  <c r="D13" i="4"/>
  <c r="C13" i="4"/>
  <c r="P12" i="4"/>
  <c r="O12" i="4"/>
  <c r="N12" i="4"/>
  <c r="M12" i="4"/>
  <c r="L12" i="4"/>
  <c r="K12" i="4"/>
  <c r="J12" i="4"/>
  <c r="I12" i="4"/>
  <c r="H12" i="4"/>
  <c r="G12" i="4"/>
  <c r="F12" i="4"/>
  <c r="E12" i="4"/>
  <c r="D12" i="4"/>
  <c r="C12" i="4"/>
  <c r="P11" i="4"/>
  <c r="O11" i="4"/>
  <c r="N11" i="4"/>
  <c r="M11" i="4"/>
  <c r="L11" i="4"/>
  <c r="K11" i="4"/>
  <c r="J11" i="4"/>
  <c r="I11" i="4"/>
  <c r="H11" i="4"/>
  <c r="G11" i="4"/>
  <c r="F11" i="4"/>
  <c r="E11" i="4"/>
  <c r="D11" i="4"/>
  <c r="C11" i="4"/>
  <c r="P10" i="4"/>
  <c r="O10" i="4"/>
  <c r="N10" i="4"/>
  <c r="M10" i="4"/>
  <c r="L10" i="4"/>
  <c r="K10" i="4"/>
  <c r="J10" i="4"/>
  <c r="I10" i="4"/>
  <c r="H10" i="4"/>
  <c r="G10" i="4"/>
  <c r="F10" i="4"/>
  <c r="E10" i="4"/>
  <c r="D10" i="4"/>
  <c r="C10" i="4"/>
  <c r="P9" i="4"/>
  <c r="O9" i="4"/>
  <c r="N9" i="4"/>
  <c r="M9" i="4"/>
  <c r="L9" i="4"/>
  <c r="K9" i="4"/>
  <c r="J9" i="4"/>
  <c r="I9" i="4"/>
  <c r="H9" i="4"/>
  <c r="G9" i="4"/>
  <c r="F9" i="4"/>
  <c r="E9" i="4"/>
  <c r="D9" i="4"/>
  <c r="C9" i="4"/>
  <c r="P8" i="4"/>
  <c r="O8" i="4"/>
  <c r="N8" i="4"/>
  <c r="M8" i="4"/>
  <c r="L8" i="4"/>
  <c r="K8" i="4"/>
  <c r="J8" i="4"/>
  <c r="I8" i="4"/>
  <c r="H8" i="4"/>
  <c r="G8" i="4"/>
  <c r="F8" i="4"/>
  <c r="E8" i="4"/>
  <c r="D8" i="4"/>
  <c r="C8" i="4"/>
  <c r="P7" i="4"/>
  <c r="O7" i="4"/>
  <c r="N7" i="4"/>
  <c r="M7" i="4"/>
  <c r="L7" i="4"/>
  <c r="K7" i="4"/>
  <c r="J7" i="4"/>
  <c r="I7" i="4"/>
  <c r="H7" i="4"/>
  <c r="G7" i="4"/>
  <c r="F7" i="4"/>
  <c r="E7" i="4"/>
  <c r="D7" i="4"/>
  <c r="C7" i="4"/>
  <c r="P6" i="4"/>
  <c r="O6" i="4"/>
  <c r="N6" i="4"/>
  <c r="M6" i="4"/>
  <c r="L6" i="4"/>
  <c r="K6" i="4"/>
  <c r="J6" i="4"/>
  <c r="I6" i="4"/>
  <c r="H6" i="4"/>
  <c r="G6" i="4"/>
  <c r="F6" i="4"/>
  <c r="E6" i="4"/>
  <c r="D6" i="4"/>
  <c r="C6" i="4"/>
  <c r="P5" i="4"/>
  <c r="O5" i="4"/>
  <c r="N5" i="4"/>
  <c r="M5" i="4"/>
  <c r="L5" i="4"/>
  <c r="K5" i="4"/>
  <c r="J5" i="4"/>
  <c r="I5" i="4"/>
  <c r="H5" i="4"/>
  <c r="G5" i="4"/>
  <c r="F5" i="4"/>
  <c r="E5" i="4"/>
  <c r="D5" i="4"/>
  <c r="C5" i="4"/>
  <c r="P4" i="4"/>
  <c r="O4" i="4"/>
  <c r="N4" i="4"/>
  <c r="M4" i="4"/>
  <c r="L4" i="4"/>
  <c r="K4" i="4"/>
  <c r="J4" i="4"/>
  <c r="I4" i="4"/>
  <c r="H4" i="4"/>
  <c r="G4" i="4"/>
  <c r="F4" i="4"/>
  <c r="E4" i="4"/>
  <c r="D4" i="4"/>
  <c r="C4" i="4"/>
  <c r="P3" i="4"/>
  <c r="O3" i="4"/>
  <c r="N3" i="4"/>
  <c r="M3" i="4"/>
  <c r="L3" i="4"/>
  <c r="K3" i="4"/>
  <c r="J3" i="4"/>
  <c r="I3" i="4"/>
  <c r="H3" i="4"/>
  <c r="G3" i="4"/>
  <c r="F3" i="4"/>
  <c r="E3" i="4"/>
  <c r="D3" i="4"/>
  <c r="C3" i="4"/>
  <c r="P2" i="4"/>
  <c r="O2" i="4"/>
  <c r="N2" i="4"/>
  <c r="M2" i="4"/>
  <c r="L2" i="4"/>
  <c r="K2" i="4"/>
  <c r="J2" i="4"/>
  <c r="I2" i="4"/>
  <c r="H2" i="4"/>
  <c r="G2" i="4"/>
  <c r="F2" i="4"/>
  <c r="E2" i="4"/>
  <c r="D2" i="4"/>
  <c r="B1" i="4"/>
  <c r="A29" i="5"/>
  <c r="A27" i="5"/>
  <c r="E12" i="5"/>
  <c r="E11" i="5"/>
  <c r="H6" i="5"/>
  <c r="H5" i="5"/>
  <c r="G5" i="5" s="1"/>
  <c r="H4" i="5"/>
  <c r="G4" i="5"/>
  <c r="H3" i="5"/>
  <c r="G3" i="5"/>
  <c r="G2" i="5"/>
  <c r="F2" i="5"/>
  <c r="D36" i="3" l="1"/>
  <c r="F36" i="3" s="1"/>
  <c r="G36" i="3" s="1"/>
  <c r="J50" i="3"/>
  <c r="B50" i="4" s="1"/>
  <c r="J98" i="3"/>
  <c r="B98" i="4" s="1"/>
  <c r="J22" i="3"/>
  <c r="B22" i="4" s="1"/>
  <c r="J82" i="3"/>
  <c r="B82" i="4" s="1"/>
  <c r="J7" i="3"/>
  <c r="B7" i="4" s="1"/>
  <c r="J12" i="3"/>
  <c r="B12" i="4" s="1"/>
  <c r="J4" i="3"/>
  <c r="B4" i="4" s="1"/>
  <c r="J66" i="3"/>
  <c r="B66" i="4" s="1"/>
  <c r="J34" i="3"/>
  <c r="B34" i="4" s="1"/>
  <c r="J18" i="3"/>
  <c r="B18" i="4" s="1"/>
  <c r="J9" i="3"/>
  <c r="B9" i="4" s="1"/>
  <c r="J46" i="3"/>
  <c r="B46" i="4" s="1"/>
  <c r="J62" i="3"/>
  <c r="B62" i="4" s="1"/>
  <c r="J78" i="3"/>
  <c r="B78" i="4" s="1"/>
  <c r="J94" i="3"/>
  <c r="B94" i="4" s="1"/>
  <c r="J110" i="3"/>
  <c r="B110" i="4" s="1"/>
  <c r="J6" i="3"/>
  <c r="B6" i="4" s="1"/>
  <c r="J3" i="3"/>
  <c r="B3" i="4" s="1"/>
  <c r="J30" i="3"/>
  <c r="B30" i="4" s="1"/>
  <c r="J15" i="3"/>
  <c r="B15" i="4" s="1"/>
  <c r="J42" i="3"/>
  <c r="B42" i="4" s="1"/>
  <c r="J58" i="3"/>
  <c r="B58" i="4" s="1"/>
  <c r="J74" i="3"/>
  <c r="B74" i="4" s="1"/>
  <c r="J90" i="3"/>
  <c r="B90" i="4" s="1"/>
  <c r="J106" i="3"/>
  <c r="B106" i="4" s="1"/>
  <c r="J39" i="3"/>
  <c r="B39" i="4" s="1"/>
  <c r="J26" i="3"/>
  <c r="B26" i="4" s="1"/>
  <c r="J54" i="3"/>
  <c r="B54" i="4" s="1"/>
  <c r="J70" i="3"/>
  <c r="B70" i="4" s="1"/>
  <c r="J86" i="3"/>
  <c r="B86" i="4" s="1"/>
  <c r="J102" i="3"/>
  <c r="B102" i="4" s="1"/>
  <c r="F33" i="3"/>
  <c r="G33" i="3" s="1"/>
  <c r="J114" i="3"/>
  <c r="B114" i="4" s="1"/>
  <c r="J118" i="3"/>
  <c r="B118" i="4" s="1"/>
  <c r="J122" i="3"/>
  <c r="B122" i="4" s="1"/>
  <c r="J126" i="3"/>
  <c r="B126" i="4" s="1"/>
  <c r="J130" i="3"/>
  <c r="B130" i="4" s="1"/>
  <c r="J134" i="3"/>
  <c r="B134" i="4" s="1"/>
  <c r="J138" i="3"/>
  <c r="B138" i="4" s="1"/>
  <c r="J142" i="3"/>
  <c r="B142" i="4" s="1"/>
  <c r="J146" i="3"/>
  <c r="B146" i="4" s="1"/>
  <c r="J16" i="3"/>
  <c r="B16" i="4" s="1"/>
  <c r="J19" i="3"/>
  <c r="B19" i="4" s="1"/>
  <c r="J23" i="3"/>
  <c r="B23" i="4" s="1"/>
  <c r="J40" i="3"/>
  <c r="B40" i="4" s="1"/>
  <c r="B10" i="3"/>
  <c r="J27" i="3"/>
  <c r="B27" i="4" s="1"/>
  <c r="J31" i="3"/>
  <c r="B31" i="4" s="1"/>
  <c r="J33" i="3"/>
  <c r="B33" i="4" s="1"/>
  <c r="J10" i="3"/>
  <c r="B10" i="4" s="1"/>
  <c r="J13" i="3"/>
  <c r="B13" i="4" s="1"/>
  <c r="J43" i="3"/>
  <c r="B43" i="4" s="1"/>
  <c r="J47" i="3"/>
  <c r="B47" i="4" s="1"/>
  <c r="J51" i="3"/>
  <c r="B51" i="4" s="1"/>
  <c r="J55" i="3"/>
  <c r="B55" i="4" s="1"/>
  <c r="J59" i="3"/>
  <c r="B59" i="4" s="1"/>
  <c r="J63" i="3"/>
  <c r="B63" i="4" s="1"/>
  <c r="J67" i="3"/>
  <c r="B67" i="4" s="1"/>
  <c r="J71" i="3"/>
  <c r="B71" i="4" s="1"/>
  <c r="J75" i="3"/>
  <c r="B75" i="4" s="1"/>
  <c r="J79" i="3"/>
  <c r="B79" i="4" s="1"/>
  <c r="J83" i="3"/>
  <c r="B83" i="4" s="1"/>
  <c r="J87" i="3"/>
  <c r="B87" i="4" s="1"/>
  <c r="J91" i="3"/>
  <c r="B91" i="4" s="1"/>
  <c r="J95" i="3"/>
  <c r="B95" i="4" s="1"/>
  <c r="J99" i="3"/>
  <c r="B99" i="4" s="1"/>
  <c r="J103" i="3"/>
  <c r="B103" i="4" s="1"/>
  <c r="J107" i="3"/>
  <c r="B107" i="4" s="1"/>
  <c r="J111" i="3"/>
  <c r="B111" i="4" s="1"/>
  <c r="J115" i="3"/>
  <c r="B115" i="4" s="1"/>
  <c r="J119" i="3"/>
  <c r="B119" i="4" s="1"/>
  <c r="J123" i="3"/>
  <c r="B123" i="4" s="1"/>
  <c r="J127" i="3"/>
  <c r="B127" i="4" s="1"/>
  <c r="J131" i="3"/>
  <c r="B131" i="4" s="1"/>
  <c r="J135" i="3"/>
  <c r="B135" i="4" s="1"/>
  <c r="J139" i="3"/>
  <c r="B139" i="4" s="1"/>
  <c r="J143" i="3"/>
  <c r="B143" i="4" s="1"/>
  <c r="J147" i="3"/>
  <c r="B147" i="4" s="1"/>
  <c r="J20" i="3"/>
  <c r="B20" i="4" s="1"/>
  <c r="J37" i="3"/>
  <c r="B37" i="4" s="1"/>
  <c r="J17" i="3"/>
  <c r="B17" i="4" s="1"/>
  <c r="J24" i="3"/>
  <c r="B24" i="4" s="1"/>
  <c r="J28" i="3"/>
  <c r="B28" i="4" s="1"/>
  <c r="J32" i="3"/>
  <c r="B32" i="4" s="1"/>
  <c r="B11" i="3"/>
  <c r="J14" i="3"/>
  <c r="B14" i="4" s="1"/>
  <c r="J36" i="3"/>
  <c r="B36" i="4" s="1"/>
  <c r="J44" i="3"/>
  <c r="B44" i="4" s="1"/>
  <c r="J48" i="3"/>
  <c r="B48" i="4" s="1"/>
  <c r="J52" i="3"/>
  <c r="B52" i="4" s="1"/>
  <c r="J56" i="3"/>
  <c r="B56" i="4" s="1"/>
  <c r="J60" i="3"/>
  <c r="B60" i="4" s="1"/>
  <c r="J64" i="3"/>
  <c r="B64" i="4" s="1"/>
  <c r="J68" i="3"/>
  <c r="B68" i="4" s="1"/>
  <c r="J72" i="3"/>
  <c r="B72" i="4" s="1"/>
  <c r="J76" i="3"/>
  <c r="B76" i="4" s="1"/>
  <c r="J80" i="3"/>
  <c r="B80" i="4" s="1"/>
  <c r="J84" i="3"/>
  <c r="B84" i="4" s="1"/>
  <c r="J88" i="3"/>
  <c r="B88" i="4" s="1"/>
  <c r="J92" i="3"/>
  <c r="B92" i="4" s="1"/>
  <c r="J96" i="3"/>
  <c r="B96" i="4" s="1"/>
  <c r="J100" i="3"/>
  <c r="B100" i="4" s="1"/>
  <c r="J104" i="3"/>
  <c r="B104" i="4" s="1"/>
  <c r="J108" i="3"/>
  <c r="B108" i="4" s="1"/>
  <c r="J112" i="3"/>
  <c r="B112" i="4" s="1"/>
  <c r="J116" i="3"/>
  <c r="B116" i="4" s="1"/>
  <c r="J120" i="3"/>
  <c r="B120" i="4" s="1"/>
  <c r="J124" i="3"/>
  <c r="B124" i="4" s="1"/>
  <c r="J128" i="3"/>
  <c r="B128" i="4" s="1"/>
  <c r="J132" i="3"/>
  <c r="B132" i="4" s="1"/>
  <c r="J136" i="3"/>
  <c r="B136" i="4" s="1"/>
  <c r="J140" i="3"/>
  <c r="B140" i="4" s="1"/>
  <c r="J144" i="3"/>
  <c r="B144" i="4" s="1"/>
  <c r="J148" i="3"/>
  <c r="B148" i="4" s="1"/>
  <c r="J5" i="3"/>
  <c r="B5" i="4" s="1"/>
  <c r="J11" i="3"/>
  <c r="B11" i="4" s="1"/>
  <c r="J21" i="3"/>
  <c r="B21" i="4" s="1"/>
  <c r="J38" i="3"/>
  <c r="B38" i="4" s="1"/>
  <c r="J8" i="3"/>
  <c r="B8" i="4" s="1"/>
  <c r="B18" i="3"/>
  <c r="J25" i="3"/>
  <c r="B25" i="4" s="1"/>
  <c r="J29" i="3"/>
  <c r="B29" i="4" s="1"/>
  <c r="J35" i="3"/>
  <c r="B35" i="4" s="1"/>
  <c r="J41" i="3"/>
  <c r="B41" i="4" s="1"/>
  <c r="J45" i="3"/>
  <c r="B45" i="4" s="1"/>
  <c r="J49" i="3"/>
  <c r="B49" i="4" s="1"/>
  <c r="J53" i="3"/>
  <c r="B53" i="4" s="1"/>
  <c r="J57" i="3"/>
  <c r="B57" i="4" s="1"/>
  <c r="J61" i="3"/>
  <c r="B61" i="4" s="1"/>
  <c r="J65" i="3"/>
  <c r="B65" i="4" s="1"/>
  <c r="J69" i="3"/>
  <c r="B69" i="4" s="1"/>
  <c r="J73" i="3"/>
  <c r="B73" i="4" s="1"/>
  <c r="J77" i="3"/>
  <c r="B77" i="4" s="1"/>
  <c r="J81" i="3"/>
  <c r="B81" i="4" s="1"/>
  <c r="J85" i="3"/>
  <c r="B85" i="4" s="1"/>
  <c r="J89" i="3"/>
  <c r="B89" i="4" s="1"/>
  <c r="J93" i="3"/>
  <c r="B93" i="4" s="1"/>
  <c r="J97" i="3"/>
  <c r="B97" i="4" s="1"/>
  <c r="J101" i="3"/>
  <c r="B101" i="4" s="1"/>
  <c r="J105" i="3"/>
  <c r="B105" i="4" s="1"/>
  <c r="J109" i="3"/>
  <c r="B109" i="4" s="1"/>
  <c r="J113" i="3"/>
  <c r="B113" i="4" s="1"/>
  <c r="J117" i="3"/>
  <c r="B117" i="4" s="1"/>
  <c r="J121" i="3"/>
  <c r="B121" i="4" s="1"/>
  <c r="J125" i="3"/>
  <c r="B125" i="4" s="1"/>
  <c r="J129" i="3"/>
  <c r="B129" i="4" s="1"/>
  <c r="J133" i="3"/>
  <c r="B133" i="4" s="1"/>
  <c r="J137" i="3"/>
  <c r="B137" i="4" s="1"/>
  <c r="J141" i="3"/>
  <c r="B141" i="4" s="1"/>
  <c r="G41" i="3"/>
  <c r="B23" i="3" s="1"/>
  <c r="B38" i="5" s="1"/>
  <c r="C16" i="3"/>
  <c r="C31" i="5" s="1"/>
  <c r="B31" i="5"/>
  <c r="B47" i="5" a="1"/>
  <c r="B47" i="5" s="1"/>
  <c r="B45" i="5" a="1"/>
  <c r="B45" i="5" s="1"/>
  <c r="A47" i="5" s="1"/>
  <c r="B13" i="3"/>
  <c r="B9" i="3"/>
  <c r="B22" i="3" l="1"/>
  <c r="C22" i="3" s="1"/>
  <c r="C37" i="5" s="1"/>
  <c r="B24" i="3"/>
  <c r="B25" i="3" s="1"/>
  <c r="C25" i="3" s="1"/>
  <c r="C40" i="5" s="1"/>
  <c r="H36" i="3"/>
  <c r="B46" i="5" a="1"/>
  <c r="B46" i="5" s="1"/>
  <c r="C23" i="3"/>
  <c r="C38" i="5" s="1"/>
  <c r="B37" i="5"/>
  <c r="B11" i="5"/>
  <c r="B25" i="5" s="1"/>
  <c r="B17" i="3" s="1"/>
  <c r="B12" i="3"/>
  <c r="C18" i="3"/>
  <c r="C33" i="5" s="1"/>
  <c r="B33" i="5"/>
  <c r="C13" i="3"/>
  <c r="C27" i="5" s="1"/>
  <c r="B27" i="5"/>
  <c r="B40" i="5" l="1"/>
  <c r="I36" i="3"/>
  <c r="B19" i="3"/>
  <c r="B39" i="5"/>
  <c r="C24" i="3"/>
  <c r="C39" i="5" s="1"/>
  <c r="C17" i="3"/>
  <c r="C32" i="5" s="1"/>
  <c r="B32" i="5"/>
  <c r="B20" i="3"/>
  <c r="B21" i="3" s="1"/>
  <c r="C19" i="3" l="1"/>
  <c r="C34" i="5" s="1"/>
  <c r="B34" i="5"/>
  <c r="B26" i="3"/>
  <c r="B36" i="5"/>
  <c r="C21" i="3"/>
  <c r="C36" i="5" s="1"/>
  <c r="C20" i="3"/>
  <c r="C35" i="5" s="1"/>
  <c r="B35" i="5"/>
  <c r="B41" i="5" l="1"/>
  <c r="C26" i="3"/>
  <c r="C41" i="5" s="1"/>
  <c r="K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<sst xmlns="http://schemas.openxmlformats.org/spreadsheetml/2006/main" count="130" uniqueCount="99">
  <si>
    <t>Interest rate</t>
  </si>
  <si>
    <t>Price of new unit ($)</t>
  </si>
  <si>
    <t>Lifespan (years)</t>
  </si>
  <si>
    <t>Salvage value ($)</t>
  </si>
  <si>
    <t>% use for drone application</t>
  </si>
  <si>
    <t>Capital recovery (total, $/year)</t>
  </si>
  <si>
    <t>Capital recovery (drone business, $/year)</t>
  </si>
  <si>
    <t>Maintenance costs ($/year)</t>
  </si>
  <si>
    <t>Generator</t>
  </si>
  <si>
    <t>Trailer</t>
  </si>
  <si>
    <t>Truck</t>
  </si>
  <si>
    <t>Depreciation per cycle</t>
  </si>
  <si>
    <t>Fuel</t>
  </si>
  <si>
    <t>Labor</t>
  </si>
  <si>
    <t>Total Operating costs ($/acre)</t>
  </si>
  <si>
    <t>Total Ownership costs ($/acre)</t>
  </si>
  <si>
    <t>TOTAL COSTS ($/acre)</t>
  </si>
  <si>
    <t>Years per battery</t>
  </si>
  <si>
    <t>Acres applied per hour</t>
  </si>
  <si>
    <t>Hours per year</t>
  </si>
  <si>
    <t>Flights per hour</t>
  </si>
  <si>
    <t>Time per flight+recharge (hours)</t>
  </si>
  <si>
    <t>Diesel price ($/gallon)</t>
  </si>
  <si>
    <t>Diesel use (gallon/hour)</t>
  </si>
  <si>
    <t>Labor cost ($/hour)</t>
  </si>
  <si>
    <t>Assumptions:</t>
  </si>
  <si>
    <t>Truck one year old, salvage value as % of new at 11 years old/% of new as 1 yea old</t>
  </si>
  <si>
    <t>Battery (interest on 3 extra units+depreciation of 5 units)</t>
  </si>
  <si>
    <t>Recharge of a battery + pumping (hours)</t>
  </si>
  <si>
    <t>Pump and transfer system</t>
  </si>
  <si>
    <t>Hours per day applying</t>
  </si>
  <si>
    <t>Other materials</t>
  </si>
  <si>
    <t>Costs</t>
  </si>
  <si>
    <t>Interest over operating capital</t>
  </si>
  <si>
    <t>Batteries</t>
  </si>
  <si>
    <t>Taxes + Insurance + Housing</t>
  </si>
  <si>
    <t>Maintenance/Repairs</t>
  </si>
  <si>
    <t>Lifespan (Max. years to achieve 1,000 charge cycles)</t>
  </si>
  <si>
    <t>Interest over capital ($/year)</t>
  </si>
  <si>
    <t>Extra batteries</t>
  </si>
  <si>
    <t>Applied acres per year</t>
  </si>
  <si>
    <t>Charges of lifespan (batteries)</t>
  </si>
  <si>
    <t>Acres applied per flight</t>
  </si>
  <si>
    <t>Acres applied per charge cycle</t>
  </si>
  <si>
    <t>Charge cycles per year</t>
  </si>
  <si>
    <t>Depreciation + Interest over capital (excluding batteries)</t>
  </si>
  <si>
    <t>Cost per acre applied ($/acre)</t>
  </si>
  <si>
    <t>Cost per year for the operation ($)</t>
  </si>
  <si>
    <t>Total cost ($/acre)</t>
  </si>
  <si>
    <t>Batteries*</t>
  </si>
  <si>
    <t>Drone maintanance cost ($/year/acre)</t>
  </si>
  <si>
    <t>Acres of lifespan (drone)</t>
  </si>
  <si>
    <t>Dish soap qtt. (L/day)</t>
  </si>
  <si>
    <t>Dish soap price ($/2.64L)</t>
  </si>
  <si>
    <t>Drone (includes charger and 2 batteries)</t>
  </si>
  <si>
    <t>Acres applied \ interest rate</t>
  </si>
  <si>
    <t>Hours of application/year</t>
  </si>
  <si>
    <t>Applied acres/year</t>
  </si>
  <si>
    <t>Interest is calculated assuming financing in 5 years</t>
  </si>
  <si>
    <t>N of drones</t>
  </si>
  <si>
    <t>Drone package (includes 1 charger)</t>
  </si>
  <si>
    <t>N of batteries</t>
  </si>
  <si>
    <t>Price of new unit(s) ($)</t>
  </si>
  <si>
    <t>Time recharging battery (hours per load)</t>
  </si>
  <si>
    <t>Pumping in and mixing (hours per load)</t>
  </si>
  <si>
    <t>Cleaning the drone (hours per day)</t>
  </si>
  <si>
    <t>Non-operating field hours</t>
  </si>
  <si>
    <t>Drone crew members</t>
  </si>
  <si>
    <t>Loads per day</t>
  </si>
  <si>
    <t>Hours per day driving to and from fields</t>
  </si>
  <si>
    <t>Daily miles driven</t>
  </si>
  <si>
    <t>Pickup fuel economy (miles per gallon)</t>
  </si>
  <si>
    <t>Target application cost</t>
  </si>
  <si>
    <t>Breakeven acreage to achieve target cost (acres/year)</t>
  </si>
  <si>
    <t>Hours of application to achieve target cost (hours/year)</t>
  </si>
  <si>
    <t>Helper</t>
  </si>
  <si>
    <t>Applied equipment investment</t>
  </si>
  <si>
    <t>Total equipment investment</t>
  </si>
  <si>
    <t>Developed by:</t>
  </si>
  <si>
    <t>This worksheet is for educational purposes only and the user assumes all risks associated with its use.</t>
  </si>
  <si>
    <t>Updated: 2/28/2025</t>
  </si>
  <si>
    <t>Steps:</t>
  </si>
  <si>
    <t>Farmers can use this tool to estimate the cost per acre of using drones for agricultural spray applications.</t>
  </si>
  <si>
    <t>The "Model" sheet contains the economic model used for all calculations.</t>
  </si>
  <si>
    <t>Lifespan (Max. years to use all charge cycles)</t>
  </si>
  <si>
    <t>Drone batteries</t>
  </si>
  <si>
    <t>Adauto B. Rocha Jr., Drew Kientzy, Gurbir Singh</t>
  </si>
  <si>
    <t>Users may modify and adapt this tool for their needs as long as they cite the original authors. However, copying and rebranding this tool without proper attribution is strictly prohibited.</t>
  </si>
  <si>
    <t>© 2025 Curators of the University of Missouri</t>
  </si>
  <si>
    <t>Users are permitted to use this tool for extension and educational purposes, as well as in research, presentations or publications, provided proper attribution is given.</t>
  </si>
  <si>
    <t>Drone Spray Cost Estimator: Farmer Version</t>
  </si>
  <si>
    <r>
      <rPr>
        <b/>
        <sz val="10"/>
        <color theme="1"/>
        <rFont val="Segoe UI"/>
        <family val="2"/>
      </rPr>
      <t>1. Use "Inputs and summary" to input your own numbers in the colored cells.</t>
    </r>
    <r>
      <rPr>
        <sz val="10"/>
        <color theme="1"/>
        <rFont val="Segoe UI"/>
        <family val="2"/>
      </rPr>
      <t xml:space="preserve"> Insert any known costs, prices or values in the gray cells. Orange cells can also be modified, but they contain formulas that automatically estimate their values based on the numbers entered in the gray cells. If you are just starting operations, prefilled estimates for an Agras T40 drone are available for you.</t>
    </r>
  </si>
  <si>
    <r>
      <rPr>
        <b/>
        <sz val="10"/>
        <color theme="1"/>
        <rFont val="Segoe UI"/>
        <family val="2"/>
      </rPr>
      <t xml:space="preserve">2. Visualize summarized cost and breakeven estimates in "Inputs and summary." </t>
    </r>
    <r>
      <rPr>
        <sz val="10"/>
        <color theme="1"/>
        <rFont val="Segoe UI"/>
        <family val="2"/>
      </rPr>
      <t>You can view the costs per acre and the annual operation cost in cells A29 to C41. Estimates of the number of acres you need to apply annually to reach your target cost, along with the required application time, are presented in cells A45 to B47.</t>
    </r>
  </si>
  <si>
    <t>3. Use "Cost by acreage and interest" to visualize simulated costs and application time across different combinations of acreage and interest rates.</t>
  </si>
  <si>
    <r>
      <rPr>
        <b/>
        <sz val="10"/>
        <color theme="1"/>
        <rFont val="Segoe UI"/>
        <family val="2"/>
      </rPr>
      <t>Suggested citation:</t>
    </r>
    <r>
      <rPr>
        <sz val="10"/>
        <color theme="1"/>
        <rFont val="Segoe UI"/>
        <family val="2"/>
      </rPr>
      <t xml:space="preserve">
Rocha Jr., A. B., Kientzy, D., &amp; Singh, G. (2025). Drone Spray Cost Estimator: Farmer (XLSX). University of Missouri Extension.</t>
    </r>
  </si>
  <si>
    <t>This publication was supported by the NRCS-USDA Missouri Conservation Innovation Grant (CIG) 
No. NR236424XXXXG013.</t>
  </si>
  <si>
    <t>The University of Missouri intends neither endorsement of products named herein nor criticism of similar products that are not mentioned.</t>
  </si>
  <si>
    <t>For more information, consult MU Extension publication G1274, Economics of Drone Ownership for Agricultural Spray Applications.</t>
  </si>
  <si>
    <t>If you have questions, contact Adauto Rocha at arochajunior@missouri.edu or Drew Kientzy at dkientzy@missouri.edu.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</si>
</sst>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quot;$&quot;#,##0.00"/>
  </numFmts>
  <fonts count="16" x14ac:knownFonts="1">
    <font>
      <sz val="11"/>
      <color theme="1"/>
      <name val="Aptos Narrow"/>
      <family val="2"/>
      <scheme val="minor"/>
    </font>
    <font>
      <sz val="11"/>
      <color theme="1"/>
      <name val="Aptos Narrow"/>
      <family val="2"/>
      <scheme val="minor"/>
    </font>
    <font>
      <b/>
      <sz val="8"/>
      <color theme="1"/>
      <name val="Aptos Narrow"/>
      <family val="2"/>
      <scheme val="minor"/>
    </font>
    <font>
      <sz val="8"/>
      <color theme="1"/>
      <name val="Aptos Narrow"/>
      <family val="2"/>
      <scheme val="minor"/>
    </font>
    <font>
      <sz val="8"/>
      <color rgb="FFFF0000"/>
      <name val="Aptos Narrow"/>
      <family val="2"/>
      <scheme val="minor"/>
    </font>
    <font>
      <b/>
      <sz val="11"/>
      <color theme="1"/>
      <name val="Aptos Narrow"/>
      <family val="2"/>
      <scheme val="minor"/>
    </font>
    <font>
      <b/>
      <sz val="11"/>
      <color theme="0"/>
      <name val="Aptos Narrow"/>
      <family val="2"/>
      <scheme val="minor"/>
    </font>
    <font>
      <sz val="8"/>
      <color theme="0" tint="-0.499984740745262"/>
      <name val="Aptos Narrow"/>
      <family val="2"/>
      <scheme val="minor"/>
    </font>
    <font>
      <sz val="11"/>
      <color theme="0" tint="-0.499984740745262"/>
      <name val="Aptos Narrow"/>
      <family val="2"/>
      <scheme val="minor"/>
    </font>
    <font>
      <b/>
      <sz val="11"/>
      <color rgb="FF3F3F3F"/>
      <name val="Aptos Narrow"/>
      <family val="2"/>
      <scheme val="minor"/>
    </font>
    <font>
      <sz val="10"/>
      <color theme="1"/>
      <name val="Segoe UI"/>
      <family val="2"/>
    </font>
    <font>
      <sz val="11"/>
      <color theme="1"/>
      <name val="Segoe UI"/>
      <family val="2"/>
    </font>
    <font>
      <b/>
      <sz val="14"/>
      <color rgb="FFF1B82D"/>
      <name val="Segoe UI"/>
      <family val="2"/>
    </font>
    <font>
      <b/>
      <sz val="10"/>
      <color rgb="FF3F3F3F"/>
      <name val="Segoe UI"/>
      <family val="2"/>
    </font>
    <font>
      <b/>
      <sz val="10"/>
      <color theme="1"/>
      <name val="Segoe UI"/>
      <family val="2"/>
    </font>
    <font>
      <u/>
      <sz val="11"/>
      <color theme="10"/>
      <name val="Aptos Narrow"/>
      <family val="2"/>
      <scheme val="minor"/>
    </font>
  </fonts>
  <fills count="8">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rgb="FFF2F2F2"/>
      </patternFill>
    </fill>
    <fill>
      <patternFill patternType="solid">
        <fgColor theme="1"/>
        <bgColor indexed="64"/>
      </patternFill>
    </fill>
    <fill>
      <patternFill patternType="solid">
        <fgColor rgb="FF000000"/>
        <bgColor indexed="64"/>
      </patternFill>
    </fill>
    <fill>
      <patternFill patternType="solid">
        <fgColor theme="0"/>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9" fillId="4" borderId="15" applyNumberFormat="0" applyAlignment="0" applyProtection="0"/>
    <xf numFmtId="0" fontId="1" fillId="0" borderId="0"/>
    <xf numFmtId="0" fontId="15" fillId="0" borderId="0" applyNumberFormat="0" applyFill="0" applyBorder="0" applyAlignment="0" applyProtection="0"/>
  </cellStyleXfs>
  <cellXfs count="141">
    <xf numFmtId="0" fontId="0" fillId="0" borderId="0" xfId="0"/>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5" xfId="0" applyNumberFormat="1" applyFont="1" applyBorder="1" applyAlignment="1">
      <alignment horizontal="right" vertical="center" indent="9"/>
    </xf>
    <xf numFmtId="2" fontId="3" fillId="0" borderId="8" xfId="0" applyNumberFormat="1" applyFont="1" applyBorder="1" applyAlignment="1">
      <alignment horizontal="right" vertical="center" indent="9"/>
    </xf>
    <xf numFmtId="0" fontId="3" fillId="0" borderId="14" xfId="0" applyFont="1" applyBorder="1" applyAlignment="1">
      <alignment horizontal="left" vertical="center"/>
    </xf>
    <xf numFmtId="0" fontId="11" fillId="0" borderId="0" xfId="4" applyFont="1"/>
    <xf numFmtId="0" fontId="12" fillId="0" borderId="0" xfId="4" applyFont="1" applyAlignment="1">
      <alignment horizontal="center"/>
    </xf>
    <xf numFmtId="0" fontId="10" fillId="0" borderId="0" xfId="4" applyFont="1" applyAlignment="1">
      <alignment horizontal="left" vertical="top" wrapText="1"/>
    </xf>
    <xf numFmtId="0" fontId="13" fillId="0" borderId="0" xfId="3" applyFont="1" applyFill="1" applyBorder="1" applyAlignment="1">
      <alignment horizontal="left"/>
    </xf>
    <xf numFmtId="0" fontId="10" fillId="0" borderId="0" xfId="4" applyFont="1"/>
    <xf numFmtId="2" fontId="3" fillId="2" borderId="5" xfId="0" applyNumberFormat="1" applyFont="1" applyFill="1" applyBorder="1" applyAlignment="1" applyProtection="1">
      <alignment horizontal="right" vertical="center" indent="9"/>
      <protection locked="0"/>
    </xf>
    <xf numFmtId="9" fontId="3" fillId="2" borderId="5" xfId="1" applyFont="1" applyFill="1" applyBorder="1" applyAlignment="1" applyProtection="1">
      <alignment horizontal="right" vertical="center" indent="9"/>
      <protection locked="0"/>
    </xf>
    <xf numFmtId="4" fontId="3" fillId="2" borderId="0" xfId="0" applyNumberFormat="1" applyFont="1" applyFill="1" applyAlignment="1" applyProtection="1">
      <alignment horizontal="right" vertical="center"/>
      <protection locked="0"/>
    </xf>
    <xf numFmtId="4" fontId="3" fillId="2" borderId="7" xfId="0" applyNumberFormat="1" applyFont="1" applyFill="1" applyBorder="1" applyAlignment="1" applyProtection="1">
      <alignment horizontal="right" vertical="center"/>
      <protection locked="0"/>
    </xf>
    <xf numFmtId="4" fontId="3" fillId="2" borderId="0" xfId="0" applyNumberFormat="1" applyFont="1" applyFill="1" applyAlignment="1" applyProtection="1">
      <alignment horizontal="right" vertical="center" indent="9"/>
      <protection locked="0"/>
    </xf>
    <xf numFmtId="4" fontId="3" fillId="3" borderId="0" xfId="0" applyNumberFormat="1" applyFont="1" applyFill="1" applyAlignment="1" applyProtection="1">
      <alignment horizontal="right" vertical="center" indent="3"/>
      <protection locked="0"/>
    </xf>
    <xf numFmtId="9" fontId="3" fillId="2" borderId="5" xfId="1" applyFont="1" applyFill="1" applyBorder="1" applyAlignment="1" applyProtection="1">
      <alignment horizontal="right" vertical="center" indent="4"/>
      <protection locked="0"/>
    </xf>
    <xf numFmtId="4" fontId="3" fillId="2" borderId="7" xfId="0" applyNumberFormat="1" applyFont="1" applyFill="1" applyBorder="1" applyAlignment="1" applyProtection="1">
      <alignment horizontal="right" vertical="center" indent="9"/>
      <protection locked="0"/>
    </xf>
    <xf numFmtId="4" fontId="3" fillId="3" borderId="7" xfId="0" applyNumberFormat="1" applyFont="1" applyFill="1" applyBorder="1" applyAlignment="1" applyProtection="1">
      <alignment horizontal="right" vertical="center" indent="3"/>
      <protection locked="0"/>
    </xf>
    <xf numFmtId="9" fontId="3" fillId="2" borderId="8" xfId="1" applyFont="1" applyFill="1" applyBorder="1" applyAlignment="1" applyProtection="1">
      <alignment horizontal="right" vertical="center" indent="4"/>
      <protection locked="0"/>
    </xf>
    <xf numFmtId="3" fontId="3" fillId="2" borderId="8" xfId="0" applyNumberFormat="1" applyFont="1" applyFill="1" applyBorder="1" applyAlignment="1" applyProtection="1">
      <alignment horizontal="right" vertical="center" indent="3"/>
      <protection locked="0"/>
    </xf>
    <xf numFmtId="0" fontId="11" fillId="6" borderId="0" xfId="4" applyFont="1" applyFill="1"/>
    <xf numFmtId="0" fontId="2" fillId="7" borderId="1" xfId="0" applyFont="1" applyFill="1" applyBorder="1" applyAlignment="1">
      <alignment horizontal="left" vertical="center"/>
    </xf>
    <xf numFmtId="0" fontId="3" fillId="7" borderId="3" xfId="0" applyFont="1" applyFill="1" applyBorder="1" applyAlignment="1">
      <alignment horizontal="left" vertical="center"/>
    </xf>
    <xf numFmtId="0" fontId="3" fillId="7" borderId="0" xfId="0" applyFont="1" applyFill="1" applyAlignment="1">
      <alignment horizontal="left" vertical="center"/>
    </xf>
    <xf numFmtId="0" fontId="5" fillId="7" borderId="1" xfId="0" applyFont="1" applyFill="1" applyBorder="1"/>
    <xf numFmtId="0" fontId="2" fillId="7" borderId="2" xfId="0" applyFont="1" applyFill="1" applyBorder="1" applyAlignment="1">
      <alignment horizontal="left" vertical="center"/>
    </xf>
    <xf numFmtId="0" fontId="2" fillId="7" borderId="3" xfId="0" applyFont="1" applyFill="1" applyBorder="1" applyAlignment="1">
      <alignment horizontal="left" vertical="center"/>
    </xf>
    <xf numFmtId="0" fontId="7" fillId="7" borderId="0" xfId="0" applyFont="1" applyFill="1" applyAlignment="1">
      <alignment horizontal="left" vertical="center"/>
    </xf>
    <xf numFmtId="0" fontId="3" fillId="7" borderId="4" xfId="0" applyFont="1" applyFill="1" applyBorder="1" applyAlignment="1">
      <alignment horizontal="left" vertical="center"/>
    </xf>
    <xf numFmtId="0" fontId="3" fillId="7" borderId="5" xfId="0" applyFont="1" applyFill="1" applyBorder="1" applyAlignment="1">
      <alignment horizontal="left" vertical="center"/>
    </xf>
    <xf numFmtId="2" fontId="6" fillId="7" borderId="4" xfId="0" applyNumberFormat="1" applyFont="1" applyFill="1" applyBorder="1"/>
    <xf numFmtId="164" fontId="5" fillId="7" borderId="0" xfId="1" applyNumberFormat="1" applyFont="1" applyFill="1" applyBorder="1"/>
    <xf numFmtId="164" fontId="5" fillId="7" borderId="5" xfId="1" applyNumberFormat="1" applyFont="1" applyFill="1" applyBorder="1"/>
    <xf numFmtId="2" fontId="5" fillId="7" borderId="11" xfId="0" applyNumberFormat="1" applyFont="1" applyFill="1" applyBorder="1"/>
    <xf numFmtId="3" fontId="5" fillId="7" borderId="4" xfId="0" applyNumberFormat="1" applyFont="1" applyFill="1" applyBorder="1"/>
    <xf numFmtId="165" fontId="1" fillId="7" borderId="0" xfId="2" applyNumberFormat="1" applyFont="1" applyFill="1" applyBorder="1" applyAlignment="1">
      <alignment horizontal="left" vertical="center"/>
    </xf>
    <xf numFmtId="165" fontId="1" fillId="7" borderId="5" xfId="2" applyNumberFormat="1" applyFont="1" applyFill="1" applyBorder="1" applyAlignment="1">
      <alignment horizontal="left" vertical="center"/>
    </xf>
    <xf numFmtId="2" fontId="3" fillId="7" borderId="0" xfId="0" applyNumberFormat="1" applyFont="1" applyFill="1" applyAlignment="1">
      <alignment horizontal="left" vertical="center"/>
    </xf>
    <xf numFmtId="165" fontId="8" fillId="7" borderId="0" xfId="2" applyNumberFormat="1" applyFont="1" applyFill="1" applyBorder="1" applyAlignment="1">
      <alignment horizontal="left" vertical="center"/>
    </xf>
    <xf numFmtId="0" fontId="3" fillId="7" borderId="1" xfId="0" applyFont="1" applyFill="1" applyBorder="1" applyAlignment="1">
      <alignment horizontal="left" vertical="center"/>
    </xf>
    <xf numFmtId="2" fontId="3" fillId="7" borderId="3" xfId="0" applyNumberFormat="1" applyFont="1" applyFill="1" applyBorder="1" applyAlignment="1">
      <alignment horizontal="right" vertical="center" indent="9"/>
    </xf>
    <xf numFmtId="0" fontId="3" fillId="7" borderId="6" xfId="0" applyFont="1" applyFill="1" applyBorder="1" applyAlignment="1">
      <alignment horizontal="left" vertical="center"/>
    </xf>
    <xf numFmtId="9" fontId="3" fillId="7" borderId="8" xfId="1" applyFont="1" applyFill="1" applyBorder="1" applyAlignment="1">
      <alignment horizontal="right" vertical="center" indent="9"/>
    </xf>
    <xf numFmtId="2" fontId="3" fillId="7" borderId="5" xfId="0" applyNumberFormat="1" applyFont="1" applyFill="1" applyBorder="1" applyAlignment="1">
      <alignment horizontal="right" vertical="center" indent="9"/>
    </xf>
    <xf numFmtId="2" fontId="3" fillId="7" borderId="8" xfId="0" applyNumberFormat="1" applyFont="1" applyFill="1" applyBorder="1" applyAlignment="1">
      <alignment horizontal="right" vertical="center" indent="9"/>
    </xf>
    <xf numFmtId="0" fontId="4" fillId="7" borderId="0" xfId="0" applyFont="1" applyFill="1" applyAlignment="1">
      <alignment horizontal="left" vertical="center"/>
    </xf>
    <xf numFmtId="4" fontId="3" fillId="7" borderId="0" xfId="0" applyNumberFormat="1" applyFont="1" applyFill="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3" fillId="7" borderId="4" xfId="0" applyFont="1" applyFill="1" applyBorder="1" applyAlignment="1">
      <alignment horizontal="left" vertical="center" indent="1"/>
    </xf>
    <xf numFmtId="4" fontId="3" fillId="7" borderId="0" xfId="0" applyNumberFormat="1" applyFont="1" applyFill="1" applyAlignment="1">
      <alignment horizontal="right" vertical="center" indent="9"/>
    </xf>
    <xf numFmtId="4" fontId="3" fillId="7" borderId="5" xfId="0" applyNumberFormat="1" applyFont="1" applyFill="1" applyBorder="1" applyAlignment="1">
      <alignment horizontal="right" vertical="center" indent="7"/>
    </xf>
    <xf numFmtId="0" fontId="2" fillId="7" borderId="4" xfId="0" applyFont="1" applyFill="1" applyBorder="1" applyAlignment="1">
      <alignment horizontal="left" vertical="center"/>
    </xf>
    <xf numFmtId="0" fontId="2" fillId="7" borderId="6" xfId="0" applyFont="1" applyFill="1" applyBorder="1" applyAlignment="1">
      <alignment horizontal="left" vertical="center"/>
    </xf>
    <xf numFmtId="4" fontId="3" fillId="7" borderId="7" xfId="0" applyNumberFormat="1" applyFont="1" applyFill="1" applyBorder="1" applyAlignment="1">
      <alignment horizontal="right" vertical="center" indent="9"/>
    </xf>
    <xf numFmtId="4" fontId="3" fillId="7" borderId="8" xfId="0" applyNumberFormat="1" applyFont="1" applyFill="1" applyBorder="1" applyAlignment="1">
      <alignment horizontal="right" vertical="center" indent="7"/>
    </xf>
    <xf numFmtId="0" fontId="3" fillId="7" borderId="2" xfId="0" applyFont="1" applyFill="1" applyBorder="1" applyAlignment="1">
      <alignment horizontal="left" vertical="center"/>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4" fontId="3" fillId="7" borderId="0" xfId="0" applyNumberFormat="1" applyFont="1" applyFill="1" applyAlignment="1">
      <alignment horizontal="right" vertical="center" indent="3"/>
    </xf>
    <xf numFmtId="3" fontId="3" fillId="7" borderId="0" xfId="0" applyNumberFormat="1" applyFont="1" applyFill="1" applyAlignment="1">
      <alignment horizontal="right" vertical="center" indent="3"/>
    </xf>
    <xf numFmtId="9" fontId="3" fillId="7" borderId="0" xfId="1" applyFont="1" applyFill="1" applyBorder="1" applyAlignment="1">
      <alignment horizontal="right" vertical="center" indent="3"/>
    </xf>
    <xf numFmtId="4" fontId="3" fillId="7" borderId="5" xfId="0" applyNumberFormat="1" applyFont="1" applyFill="1" applyBorder="1" applyAlignment="1">
      <alignment horizontal="right" vertical="center" indent="3"/>
    </xf>
    <xf numFmtId="4" fontId="3" fillId="7" borderId="7" xfId="0" applyNumberFormat="1" applyFont="1" applyFill="1" applyBorder="1" applyAlignment="1">
      <alignment horizontal="right" vertical="center" indent="3"/>
    </xf>
    <xf numFmtId="3" fontId="3" fillId="7" borderId="7" xfId="0" applyNumberFormat="1" applyFont="1" applyFill="1" applyBorder="1" applyAlignment="1">
      <alignment horizontal="right" vertical="center" indent="3"/>
    </xf>
    <xf numFmtId="9" fontId="3" fillId="7" borderId="7" xfId="1" applyFont="1" applyFill="1" applyBorder="1" applyAlignment="1">
      <alignment horizontal="right" vertical="center" indent="3"/>
    </xf>
    <xf numFmtId="4" fontId="3" fillId="7" borderId="8" xfId="0" applyNumberFormat="1" applyFont="1" applyFill="1" applyBorder="1" applyAlignment="1">
      <alignment horizontal="right" vertical="center" indent="3"/>
    </xf>
    <xf numFmtId="4" fontId="3" fillId="7" borderId="0" xfId="0" applyNumberFormat="1" applyFont="1" applyFill="1" applyAlignment="1">
      <alignment horizontal="right" vertical="center"/>
    </xf>
    <xf numFmtId="3" fontId="3" fillId="7" borderId="0" xfId="0" applyNumberFormat="1" applyFont="1" applyFill="1" applyAlignment="1">
      <alignment horizontal="right" vertical="center"/>
    </xf>
    <xf numFmtId="4" fontId="3" fillId="7" borderId="5" xfId="0" applyNumberFormat="1" applyFont="1" applyFill="1" applyBorder="1" applyAlignment="1">
      <alignment horizontal="right" vertical="center"/>
    </xf>
    <xf numFmtId="4" fontId="3" fillId="7" borderId="7" xfId="0" applyNumberFormat="1" applyFont="1" applyFill="1" applyBorder="1" applyAlignment="1">
      <alignment horizontal="right" vertical="center"/>
    </xf>
    <xf numFmtId="3" fontId="3" fillId="7" borderId="7" xfId="0" applyNumberFormat="1" applyFont="1" applyFill="1" applyBorder="1" applyAlignment="1">
      <alignment horizontal="right" vertical="center"/>
    </xf>
    <xf numFmtId="4" fontId="3" fillId="7" borderId="8" xfId="0" applyNumberFormat="1" applyFont="1" applyFill="1" applyBorder="1" applyAlignment="1">
      <alignment horizontal="right" vertical="center"/>
    </xf>
    <xf numFmtId="2" fontId="5" fillId="7" borderId="10" xfId="0" applyNumberFormat="1" applyFont="1" applyFill="1" applyBorder="1"/>
    <xf numFmtId="3" fontId="5" fillId="7" borderId="6" xfId="0" applyNumberFormat="1" applyFont="1" applyFill="1" applyBorder="1"/>
    <xf numFmtId="165" fontId="1" fillId="7" borderId="7" xfId="2" applyNumberFormat="1" applyFont="1" applyFill="1" applyBorder="1" applyAlignment="1">
      <alignment horizontal="left" vertical="center"/>
    </xf>
    <xf numFmtId="165" fontId="1" fillId="7" borderId="8" xfId="2" applyNumberFormat="1" applyFont="1" applyFill="1" applyBorder="1" applyAlignment="1">
      <alignment horizontal="left" vertical="center"/>
    </xf>
    <xf numFmtId="0" fontId="0" fillId="7" borderId="0" xfId="0" applyFill="1"/>
    <xf numFmtId="164" fontId="5" fillId="7" borderId="6" xfId="1" applyNumberFormat="1" applyFont="1" applyFill="1" applyBorder="1"/>
    <xf numFmtId="164" fontId="5" fillId="7" borderId="7" xfId="1" applyNumberFormat="1" applyFont="1" applyFill="1" applyBorder="1"/>
    <xf numFmtId="164" fontId="5" fillId="7" borderId="8" xfId="1" applyNumberFormat="1" applyFont="1" applyFill="1" applyBorder="1"/>
    <xf numFmtId="2" fontId="5" fillId="7" borderId="11" xfId="0" applyNumberFormat="1" applyFont="1" applyFill="1" applyBorder="1" applyAlignment="1">
      <alignment horizontal="right" indent="7"/>
    </xf>
    <xf numFmtId="3" fontId="5" fillId="7" borderId="9" xfId="0" applyNumberFormat="1" applyFont="1" applyFill="1" applyBorder="1" applyAlignment="1">
      <alignment horizontal="right" indent="5"/>
    </xf>
    <xf numFmtId="44" fontId="0" fillId="7" borderId="4" xfId="2" applyFont="1" applyFill="1" applyBorder="1" applyAlignment="1">
      <alignment horizontal="center"/>
    </xf>
    <xf numFmtId="44" fontId="0" fillId="7" borderId="0" xfId="2" applyFont="1" applyFill="1" applyBorder="1" applyAlignment="1">
      <alignment horizontal="center"/>
    </xf>
    <xf numFmtId="44" fontId="0" fillId="7" borderId="5" xfId="2" applyFont="1" applyFill="1" applyBorder="1" applyAlignment="1">
      <alignment horizontal="center"/>
    </xf>
    <xf numFmtId="3" fontId="5" fillId="7" borderId="11" xfId="0" applyNumberFormat="1" applyFont="1" applyFill="1" applyBorder="1" applyAlignment="1">
      <alignment horizontal="right" indent="5"/>
    </xf>
    <xf numFmtId="2" fontId="5" fillId="7" borderId="10" xfId="0" applyNumberFormat="1" applyFont="1" applyFill="1" applyBorder="1" applyAlignment="1">
      <alignment horizontal="right" indent="7"/>
    </xf>
    <xf numFmtId="3" fontId="5" fillId="7" borderId="10" xfId="0" applyNumberFormat="1" applyFont="1" applyFill="1" applyBorder="1" applyAlignment="1">
      <alignment horizontal="right" indent="5"/>
    </xf>
    <xf numFmtId="44" fontId="0" fillId="7" borderId="6" xfId="2" applyFont="1" applyFill="1" applyBorder="1" applyAlignment="1">
      <alignment horizontal="center"/>
    </xf>
    <xf numFmtId="44" fontId="0" fillId="7" borderId="7" xfId="2" applyFont="1" applyFill="1" applyBorder="1" applyAlignment="1">
      <alignment horizontal="center"/>
    </xf>
    <xf numFmtId="44" fontId="0" fillId="7" borderId="8" xfId="2" applyFont="1" applyFill="1" applyBorder="1" applyAlignment="1">
      <alignment horizontal="center"/>
    </xf>
    <xf numFmtId="0" fontId="2" fillId="7" borderId="12" xfId="0" applyFont="1" applyFill="1" applyBorder="1" applyAlignment="1">
      <alignment horizontal="left" vertical="center"/>
    </xf>
    <xf numFmtId="2" fontId="4" fillId="7" borderId="0" xfId="0" applyNumberFormat="1" applyFont="1" applyFill="1" applyAlignment="1">
      <alignment vertical="center"/>
    </xf>
    <xf numFmtId="0" fontId="2" fillId="7" borderId="0" xfId="0" applyFont="1" applyFill="1" applyAlignment="1">
      <alignment horizontal="left" vertical="center"/>
    </xf>
    <xf numFmtId="4" fontId="3" fillId="7" borderId="3" xfId="0" applyNumberFormat="1" applyFont="1" applyFill="1" applyBorder="1" applyAlignment="1">
      <alignment horizontal="left" vertical="center"/>
    </xf>
    <xf numFmtId="4" fontId="3" fillId="7" borderId="8" xfId="0" applyNumberFormat="1" applyFont="1" applyFill="1" applyBorder="1" applyAlignment="1">
      <alignment horizontal="left" vertical="center"/>
    </xf>
    <xf numFmtId="0" fontId="11" fillId="7" borderId="0" xfId="4" applyFont="1" applyFill="1" applyAlignment="1">
      <alignment horizontal="right"/>
    </xf>
    <xf numFmtId="0" fontId="11" fillId="7" borderId="0" xfId="4" applyFont="1" applyFill="1"/>
    <xf numFmtId="0" fontId="10" fillId="7" borderId="0" xfId="4" applyFont="1" applyFill="1"/>
    <xf numFmtId="0" fontId="14" fillId="7" borderId="0" xfId="4" applyFont="1" applyFill="1" applyAlignment="1">
      <alignment vertical="top"/>
    </xf>
    <xf numFmtId="0" fontId="10" fillId="7" borderId="0" xfId="4" applyFont="1" applyFill="1" applyAlignment="1">
      <alignment vertical="top"/>
    </xf>
    <xf numFmtId="0" fontId="10" fillId="7" borderId="0" xfId="4" applyFont="1" applyFill="1" applyAlignment="1">
      <alignment horizontal="left" vertical="top"/>
    </xf>
    <xf numFmtId="0" fontId="14" fillId="7" borderId="0" xfId="4" applyFont="1" applyFill="1" applyAlignment="1">
      <alignment horizontal="left" vertical="top"/>
    </xf>
    <xf numFmtId="0" fontId="10" fillId="7" borderId="0" xfId="4" applyFont="1" applyFill="1" applyAlignment="1">
      <alignment vertical="top" wrapText="1"/>
    </xf>
    <xf numFmtId="0" fontId="10" fillId="7" borderId="0" xfId="4" applyFont="1" applyFill="1" applyAlignment="1">
      <alignment horizontal="left" wrapText="1"/>
    </xf>
    <xf numFmtId="0" fontId="10" fillId="7" borderId="0" xfId="4" applyFont="1" applyFill="1" applyAlignment="1">
      <alignment horizontal="left" vertical="top" wrapText="1"/>
    </xf>
    <xf numFmtId="0" fontId="11" fillId="7" borderId="16" xfId="4" applyFont="1" applyFill="1" applyBorder="1"/>
    <xf numFmtId="0" fontId="11" fillId="2" borderId="16" xfId="4" applyFont="1" applyFill="1" applyBorder="1"/>
    <xf numFmtId="0" fontId="13" fillId="2" borderId="16" xfId="3" applyFont="1" applyFill="1" applyBorder="1" applyAlignment="1">
      <alignment horizontal="left"/>
    </xf>
    <xf numFmtId="0" fontId="2" fillId="7" borderId="12" xfId="0" applyFont="1" applyFill="1" applyBorder="1"/>
    <xf numFmtId="0" fontId="2" fillId="7" borderId="13" xfId="0" applyFont="1" applyFill="1" applyBorder="1"/>
    <xf numFmtId="0" fontId="2" fillId="7" borderId="14" xfId="0" applyFont="1" applyFill="1" applyBorder="1"/>
    <xf numFmtId="4" fontId="3" fillId="7" borderId="5" xfId="0" applyNumberFormat="1" applyFont="1" applyFill="1" applyBorder="1" applyAlignment="1">
      <alignment horizontal="right" vertical="center" indent="9"/>
    </xf>
    <xf numFmtId="4" fontId="3" fillId="7" borderId="8" xfId="0" applyNumberFormat="1" applyFont="1" applyFill="1" applyBorder="1" applyAlignment="1">
      <alignment horizontal="right" vertical="center" indent="9"/>
    </xf>
    <xf numFmtId="3" fontId="3" fillId="7" borderId="3" xfId="0" applyNumberFormat="1" applyFont="1" applyFill="1" applyBorder="1" applyAlignment="1">
      <alignment horizontal="right" vertical="center" indent="9"/>
    </xf>
    <xf numFmtId="0" fontId="10" fillId="7" borderId="0" xfId="4" applyFont="1" applyFill="1" applyAlignment="1">
      <alignment horizontal="left" vertical="top" wrapText="1"/>
    </xf>
    <xf numFmtId="0" fontId="14" fillId="7" borderId="0" xfId="4" applyFont="1" applyFill="1" applyAlignment="1">
      <alignment horizontal="left" vertical="top" wrapText="1"/>
    </xf>
    <xf numFmtId="0" fontId="14" fillId="0" borderId="0" xfId="4" applyFont="1" applyAlignment="1">
      <alignment horizontal="left" vertical="top" wrapText="1"/>
    </xf>
    <xf numFmtId="0" fontId="12" fillId="5" borderId="4" xfId="4" applyFont="1" applyFill="1" applyBorder="1" applyAlignment="1">
      <alignment horizontal="center"/>
    </xf>
    <xf numFmtId="0" fontId="12" fillId="5" borderId="0" xfId="4" applyFont="1" applyFill="1" applyAlignment="1">
      <alignment horizontal="center"/>
    </xf>
    <xf numFmtId="0" fontId="11" fillId="7" borderId="0" xfId="4" applyFont="1" applyFill="1" applyAlignment="1">
      <alignment horizontal="right"/>
    </xf>
    <xf numFmtId="0" fontId="15" fillId="7" borderId="0" xfId="5" applyFill="1" applyAlignment="1">
      <alignment horizontal="left" vertical="top" wrapText="1"/>
    </xf>
    <xf numFmtId="0" fontId="14" fillId="7" borderId="0" xfId="4" applyFont="1" applyFill="1"/>
    <xf numFmtId="0" fontId="10" fillId="7" borderId="0" xfId="4" applyFont="1" applyFill="1" applyAlignment="1">
      <alignment vertical="top" wrapText="1"/>
    </xf>
    <xf numFmtId="0" fontId="10" fillId="7" borderId="0" xfId="4" applyFont="1" applyFill="1" applyAlignment="1">
      <alignment vertical="top"/>
    </xf>
    <xf numFmtId="0" fontId="11" fillId="7" borderId="0" xfId="4" applyFont="1" applyFill="1" applyAlignment="1">
      <alignment horizontal="left" vertical="top"/>
    </xf>
    <xf numFmtId="0" fontId="10" fillId="7" borderId="16" xfId="4" applyFont="1" applyFill="1" applyBorder="1" applyAlignment="1">
      <alignment vertical="top"/>
    </xf>
    <xf numFmtId="0" fontId="13" fillId="2" borderId="16" xfId="3" applyFont="1" applyFill="1" applyBorder="1" applyAlignment="1">
      <alignment horizontal="left" vertical="center"/>
    </xf>
    <xf numFmtId="0" fontId="13" fillId="4" borderId="0" xfId="3" applyFont="1" applyBorder="1" applyAlignment="1">
      <alignment horizontal="left" vertical="center"/>
    </xf>
    <xf numFmtId="0" fontId="5" fillId="7" borderId="1" xfId="0" applyFont="1" applyFill="1" applyBorder="1" applyAlignment="1">
      <alignment horizontal="center"/>
    </xf>
    <xf numFmtId="0" fontId="5" fillId="7" borderId="2" xfId="0" applyFont="1" applyFill="1" applyBorder="1" applyAlignment="1">
      <alignment horizontal="center"/>
    </xf>
    <xf numFmtId="0" fontId="5" fillId="7" borderId="3" xfId="0" applyFont="1" applyFill="1" applyBorder="1" applyAlignment="1">
      <alignment horizontal="center"/>
    </xf>
    <xf numFmtId="0" fontId="5" fillId="7" borderId="1"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9" xfId="0" applyFont="1" applyFill="1" applyBorder="1" applyAlignment="1">
      <alignment horizontal="center" vertical="center" wrapText="1"/>
    </xf>
    <xf numFmtId="0" fontId="5" fillId="7" borderId="11" xfId="0" applyFont="1" applyFill="1" applyBorder="1" applyAlignment="1">
      <alignment horizontal="center" vertical="center" wrapText="1"/>
    </xf>
  </cellXfs>
  <cellStyles count="6">
    <cellStyle name="Currency" xfId="2" builtinId="4"/>
    <cellStyle name="Hyperlink" xfId="5" builtinId="8"/>
    <cellStyle name="Normal" xfId="0" builtinId="0"/>
    <cellStyle name="Normal 2 2 2" xfId="4" xr:uid="{1548D2F7-DC54-4C69-AEFE-C01C380F6F53}"/>
    <cellStyle name="Output" xfId="3" builtinId="21"/>
    <cellStyle name="Percent" xfId="1" builtinId="5"/>
  </cellStyles>
  <dxfs count="1">
    <dxf>
      <fill>
        <patternFill>
          <bgColor theme="9" tint="0.79998168889431442"/>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Total Cost ($/acre)</c:v>
          </c:tx>
          <c:spPr>
            <a:ln w="28575" cap="rnd">
              <a:solidFill>
                <a:schemeClr val="accent1"/>
              </a:solidFill>
              <a:round/>
            </a:ln>
            <a:effectLst/>
          </c:spPr>
          <c:marker>
            <c:symbol val="none"/>
          </c:marker>
          <c:cat>
            <c:numRef>
              <c:f>Model!$K$13:$K$148</c:f>
              <c:numCache>
                <c:formatCode>#,##0</c:formatCode>
                <c:ptCount val="136"/>
                <c:pt idx="0">
                  <c:v>300</c:v>
                </c:pt>
                <c:pt idx="1">
                  <c:v>320</c:v>
                </c:pt>
                <c:pt idx="2">
                  <c:v>340</c:v>
                </c:pt>
                <c:pt idx="3">
                  <c:v>360</c:v>
                </c:pt>
                <c:pt idx="4">
                  <c:v>380</c:v>
                </c:pt>
                <c:pt idx="5">
                  <c:v>400</c:v>
                </c:pt>
                <c:pt idx="6">
                  <c:v>420</c:v>
                </c:pt>
                <c:pt idx="7">
                  <c:v>440</c:v>
                </c:pt>
                <c:pt idx="8">
                  <c:v>460</c:v>
                </c:pt>
                <c:pt idx="9">
                  <c:v>480</c:v>
                </c:pt>
                <c:pt idx="10">
                  <c:v>500</c:v>
                </c:pt>
                <c:pt idx="11">
                  <c:v>520</c:v>
                </c:pt>
                <c:pt idx="12">
                  <c:v>540</c:v>
                </c:pt>
                <c:pt idx="13">
                  <c:v>560</c:v>
                </c:pt>
                <c:pt idx="14">
                  <c:v>580</c:v>
                </c:pt>
                <c:pt idx="15">
                  <c:v>600</c:v>
                </c:pt>
                <c:pt idx="16">
                  <c:v>620</c:v>
                </c:pt>
                <c:pt idx="17">
                  <c:v>640</c:v>
                </c:pt>
                <c:pt idx="18">
                  <c:v>660</c:v>
                </c:pt>
                <c:pt idx="19">
                  <c:v>680</c:v>
                </c:pt>
                <c:pt idx="20">
                  <c:v>700</c:v>
                </c:pt>
                <c:pt idx="21">
                  <c:v>720</c:v>
                </c:pt>
                <c:pt idx="22">
                  <c:v>740</c:v>
                </c:pt>
                <c:pt idx="23">
                  <c:v>760</c:v>
                </c:pt>
                <c:pt idx="24">
                  <c:v>780</c:v>
                </c:pt>
                <c:pt idx="25">
                  <c:v>800</c:v>
                </c:pt>
                <c:pt idx="26">
                  <c:v>820</c:v>
                </c:pt>
                <c:pt idx="27">
                  <c:v>840</c:v>
                </c:pt>
                <c:pt idx="28">
                  <c:v>860</c:v>
                </c:pt>
                <c:pt idx="29">
                  <c:v>880</c:v>
                </c:pt>
                <c:pt idx="30">
                  <c:v>900</c:v>
                </c:pt>
                <c:pt idx="31">
                  <c:v>920</c:v>
                </c:pt>
                <c:pt idx="32">
                  <c:v>940</c:v>
                </c:pt>
                <c:pt idx="33">
                  <c:v>960</c:v>
                </c:pt>
                <c:pt idx="34">
                  <c:v>980</c:v>
                </c:pt>
                <c:pt idx="35">
                  <c:v>1000</c:v>
                </c:pt>
                <c:pt idx="36">
                  <c:v>1020</c:v>
                </c:pt>
                <c:pt idx="37">
                  <c:v>1040</c:v>
                </c:pt>
                <c:pt idx="38">
                  <c:v>1060</c:v>
                </c:pt>
                <c:pt idx="39">
                  <c:v>1080</c:v>
                </c:pt>
                <c:pt idx="40">
                  <c:v>1100</c:v>
                </c:pt>
                <c:pt idx="41">
                  <c:v>1120</c:v>
                </c:pt>
                <c:pt idx="42">
                  <c:v>1140</c:v>
                </c:pt>
                <c:pt idx="43">
                  <c:v>1160</c:v>
                </c:pt>
                <c:pt idx="44">
                  <c:v>1180</c:v>
                </c:pt>
                <c:pt idx="45">
                  <c:v>1200</c:v>
                </c:pt>
                <c:pt idx="46">
                  <c:v>1220</c:v>
                </c:pt>
                <c:pt idx="47">
                  <c:v>1240</c:v>
                </c:pt>
                <c:pt idx="48">
                  <c:v>1260</c:v>
                </c:pt>
                <c:pt idx="49">
                  <c:v>1280</c:v>
                </c:pt>
                <c:pt idx="50">
                  <c:v>1300</c:v>
                </c:pt>
                <c:pt idx="51">
                  <c:v>1320</c:v>
                </c:pt>
                <c:pt idx="52">
                  <c:v>1340</c:v>
                </c:pt>
                <c:pt idx="53">
                  <c:v>1360</c:v>
                </c:pt>
                <c:pt idx="54">
                  <c:v>1380</c:v>
                </c:pt>
                <c:pt idx="55">
                  <c:v>1400</c:v>
                </c:pt>
                <c:pt idx="56">
                  <c:v>1420</c:v>
                </c:pt>
                <c:pt idx="57">
                  <c:v>1440</c:v>
                </c:pt>
                <c:pt idx="58">
                  <c:v>1460</c:v>
                </c:pt>
                <c:pt idx="59">
                  <c:v>1480</c:v>
                </c:pt>
                <c:pt idx="60">
                  <c:v>1500</c:v>
                </c:pt>
                <c:pt idx="61">
                  <c:v>1520</c:v>
                </c:pt>
                <c:pt idx="62">
                  <c:v>1540</c:v>
                </c:pt>
                <c:pt idx="63">
                  <c:v>1560</c:v>
                </c:pt>
                <c:pt idx="64">
                  <c:v>1580</c:v>
                </c:pt>
                <c:pt idx="65">
                  <c:v>1600</c:v>
                </c:pt>
                <c:pt idx="66">
                  <c:v>1620</c:v>
                </c:pt>
                <c:pt idx="67">
                  <c:v>1640</c:v>
                </c:pt>
                <c:pt idx="68">
                  <c:v>1660</c:v>
                </c:pt>
                <c:pt idx="69">
                  <c:v>1680</c:v>
                </c:pt>
                <c:pt idx="70">
                  <c:v>1700</c:v>
                </c:pt>
                <c:pt idx="71">
                  <c:v>1720</c:v>
                </c:pt>
                <c:pt idx="72">
                  <c:v>1740</c:v>
                </c:pt>
                <c:pt idx="73">
                  <c:v>1760</c:v>
                </c:pt>
                <c:pt idx="74">
                  <c:v>1780</c:v>
                </c:pt>
                <c:pt idx="75">
                  <c:v>1800</c:v>
                </c:pt>
                <c:pt idx="76">
                  <c:v>1820</c:v>
                </c:pt>
                <c:pt idx="77">
                  <c:v>1840</c:v>
                </c:pt>
                <c:pt idx="78">
                  <c:v>1860</c:v>
                </c:pt>
                <c:pt idx="79">
                  <c:v>1880</c:v>
                </c:pt>
                <c:pt idx="80">
                  <c:v>1900</c:v>
                </c:pt>
                <c:pt idx="81">
                  <c:v>1920</c:v>
                </c:pt>
                <c:pt idx="82">
                  <c:v>1940</c:v>
                </c:pt>
                <c:pt idx="83">
                  <c:v>1960</c:v>
                </c:pt>
                <c:pt idx="84">
                  <c:v>1980</c:v>
                </c:pt>
                <c:pt idx="85">
                  <c:v>2000</c:v>
                </c:pt>
                <c:pt idx="86">
                  <c:v>2020</c:v>
                </c:pt>
                <c:pt idx="87">
                  <c:v>2040</c:v>
                </c:pt>
                <c:pt idx="88">
                  <c:v>2060</c:v>
                </c:pt>
                <c:pt idx="89">
                  <c:v>2080</c:v>
                </c:pt>
                <c:pt idx="90">
                  <c:v>2100</c:v>
                </c:pt>
                <c:pt idx="91">
                  <c:v>2120</c:v>
                </c:pt>
                <c:pt idx="92">
                  <c:v>2140</c:v>
                </c:pt>
                <c:pt idx="93">
                  <c:v>2160</c:v>
                </c:pt>
                <c:pt idx="94">
                  <c:v>2180</c:v>
                </c:pt>
                <c:pt idx="95">
                  <c:v>2200</c:v>
                </c:pt>
                <c:pt idx="96">
                  <c:v>2220</c:v>
                </c:pt>
                <c:pt idx="97">
                  <c:v>2240</c:v>
                </c:pt>
                <c:pt idx="98">
                  <c:v>2260</c:v>
                </c:pt>
                <c:pt idx="99">
                  <c:v>2280</c:v>
                </c:pt>
                <c:pt idx="100">
                  <c:v>2300</c:v>
                </c:pt>
                <c:pt idx="101">
                  <c:v>2320</c:v>
                </c:pt>
                <c:pt idx="102">
                  <c:v>2340</c:v>
                </c:pt>
                <c:pt idx="103">
                  <c:v>2360</c:v>
                </c:pt>
                <c:pt idx="104">
                  <c:v>2380</c:v>
                </c:pt>
                <c:pt idx="105">
                  <c:v>2400</c:v>
                </c:pt>
                <c:pt idx="106">
                  <c:v>2420</c:v>
                </c:pt>
                <c:pt idx="107">
                  <c:v>2440</c:v>
                </c:pt>
                <c:pt idx="108">
                  <c:v>2460</c:v>
                </c:pt>
                <c:pt idx="109">
                  <c:v>2480</c:v>
                </c:pt>
                <c:pt idx="110">
                  <c:v>2500</c:v>
                </c:pt>
                <c:pt idx="111">
                  <c:v>2520</c:v>
                </c:pt>
                <c:pt idx="112">
                  <c:v>2540</c:v>
                </c:pt>
                <c:pt idx="113">
                  <c:v>2560</c:v>
                </c:pt>
                <c:pt idx="114">
                  <c:v>2580</c:v>
                </c:pt>
                <c:pt idx="115">
                  <c:v>2600</c:v>
                </c:pt>
                <c:pt idx="116">
                  <c:v>2620</c:v>
                </c:pt>
                <c:pt idx="117">
                  <c:v>2640</c:v>
                </c:pt>
                <c:pt idx="118">
                  <c:v>2660</c:v>
                </c:pt>
                <c:pt idx="119">
                  <c:v>2680</c:v>
                </c:pt>
                <c:pt idx="120">
                  <c:v>2700</c:v>
                </c:pt>
                <c:pt idx="121">
                  <c:v>2720</c:v>
                </c:pt>
                <c:pt idx="122">
                  <c:v>2740</c:v>
                </c:pt>
                <c:pt idx="123">
                  <c:v>2760</c:v>
                </c:pt>
                <c:pt idx="124">
                  <c:v>2780</c:v>
                </c:pt>
                <c:pt idx="125">
                  <c:v>2800</c:v>
                </c:pt>
                <c:pt idx="126">
                  <c:v>2820</c:v>
                </c:pt>
                <c:pt idx="127">
                  <c:v>2840</c:v>
                </c:pt>
                <c:pt idx="128">
                  <c:v>2860</c:v>
                </c:pt>
                <c:pt idx="129">
                  <c:v>2880</c:v>
                </c:pt>
                <c:pt idx="130">
                  <c:v>2900</c:v>
                </c:pt>
                <c:pt idx="131">
                  <c:v>2920</c:v>
                </c:pt>
                <c:pt idx="132">
                  <c:v>2940</c:v>
                </c:pt>
                <c:pt idx="133">
                  <c:v>2960</c:v>
                </c:pt>
                <c:pt idx="134">
                  <c:v>2980</c:v>
                </c:pt>
                <c:pt idx="135">
                  <c:v>3000</c:v>
                </c:pt>
              </c:numCache>
            </c:numRef>
          </c:cat>
          <c:val>
            <c:numRef>
              <c:f>Model!$Z$13:$Z$148</c:f>
            </c:numRef>
          </c:val>
          <c:smooth val="0"/>
          <c:extLst>
            <c:ext xmlns:c16="http://schemas.microsoft.com/office/drawing/2014/chart" uri="{C3380CC4-5D6E-409C-BE32-E72D297353CC}">
              <c16:uniqueId val="{00000000-B5F9-400A-AA95-D02C6EA2B449}"/>
            </c:ext>
          </c:extLst>
        </c:ser>
        <c:ser>
          <c:idx val="2"/>
          <c:order val="2"/>
          <c:tx>
            <c:strRef>
              <c:f>Model!$Y$2</c:f>
              <c:strCache>
                <c:ptCount val="1"/>
                <c:pt idx="0">
                  <c:v>Target application cost</c:v>
                </c:pt>
              </c:strCache>
            </c:strRef>
          </c:tx>
          <c:spPr>
            <a:ln w="28575" cap="rnd">
              <a:solidFill>
                <a:schemeClr val="accent3"/>
              </a:solidFill>
              <a:round/>
            </a:ln>
            <a:effectLst/>
          </c:spPr>
          <c:marker>
            <c:symbol val="none"/>
          </c:marker>
          <c:cat>
            <c:numRef>
              <c:f>Model!$K$13:$K$148</c:f>
              <c:numCache>
                <c:formatCode>#,##0</c:formatCode>
                <c:ptCount val="136"/>
                <c:pt idx="0">
                  <c:v>300</c:v>
                </c:pt>
                <c:pt idx="1">
                  <c:v>320</c:v>
                </c:pt>
                <c:pt idx="2">
                  <c:v>340</c:v>
                </c:pt>
                <c:pt idx="3">
                  <c:v>360</c:v>
                </c:pt>
                <c:pt idx="4">
                  <c:v>380</c:v>
                </c:pt>
                <c:pt idx="5">
                  <c:v>400</c:v>
                </c:pt>
                <c:pt idx="6">
                  <c:v>420</c:v>
                </c:pt>
                <c:pt idx="7">
                  <c:v>440</c:v>
                </c:pt>
                <c:pt idx="8">
                  <c:v>460</c:v>
                </c:pt>
                <c:pt idx="9">
                  <c:v>480</c:v>
                </c:pt>
                <c:pt idx="10">
                  <c:v>500</c:v>
                </c:pt>
                <c:pt idx="11">
                  <c:v>520</c:v>
                </c:pt>
                <c:pt idx="12">
                  <c:v>540</c:v>
                </c:pt>
                <c:pt idx="13">
                  <c:v>560</c:v>
                </c:pt>
                <c:pt idx="14">
                  <c:v>580</c:v>
                </c:pt>
                <c:pt idx="15">
                  <c:v>600</c:v>
                </c:pt>
                <c:pt idx="16">
                  <c:v>620</c:v>
                </c:pt>
                <c:pt idx="17">
                  <c:v>640</c:v>
                </c:pt>
                <c:pt idx="18">
                  <c:v>660</c:v>
                </c:pt>
                <c:pt idx="19">
                  <c:v>680</c:v>
                </c:pt>
                <c:pt idx="20">
                  <c:v>700</c:v>
                </c:pt>
                <c:pt idx="21">
                  <c:v>720</c:v>
                </c:pt>
                <c:pt idx="22">
                  <c:v>740</c:v>
                </c:pt>
                <c:pt idx="23">
                  <c:v>760</c:v>
                </c:pt>
                <c:pt idx="24">
                  <c:v>780</c:v>
                </c:pt>
                <c:pt idx="25">
                  <c:v>800</c:v>
                </c:pt>
                <c:pt idx="26">
                  <c:v>820</c:v>
                </c:pt>
                <c:pt idx="27">
                  <c:v>840</c:v>
                </c:pt>
                <c:pt idx="28">
                  <c:v>860</c:v>
                </c:pt>
                <c:pt idx="29">
                  <c:v>880</c:v>
                </c:pt>
                <c:pt idx="30">
                  <c:v>900</c:v>
                </c:pt>
                <c:pt idx="31">
                  <c:v>920</c:v>
                </c:pt>
                <c:pt idx="32">
                  <c:v>940</c:v>
                </c:pt>
                <c:pt idx="33">
                  <c:v>960</c:v>
                </c:pt>
                <c:pt idx="34">
                  <c:v>980</c:v>
                </c:pt>
                <c:pt idx="35">
                  <c:v>1000</c:v>
                </c:pt>
                <c:pt idx="36">
                  <c:v>1020</c:v>
                </c:pt>
                <c:pt idx="37">
                  <c:v>1040</c:v>
                </c:pt>
                <c:pt idx="38">
                  <c:v>1060</c:v>
                </c:pt>
                <c:pt idx="39">
                  <c:v>1080</c:v>
                </c:pt>
                <c:pt idx="40">
                  <c:v>1100</c:v>
                </c:pt>
                <c:pt idx="41">
                  <c:v>1120</c:v>
                </c:pt>
                <c:pt idx="42">
                  <c:v>1140</c:v>
                </c:pt>
                <c:pt idx="43">
                  <c:v>1160</c:v>
                </c:pt>
                <c:pt idx="44">
                  <c:v>1180</c:v>
                </c:pt>
                <c:pt idx="45">
                  <c:v>1200</c:v>
                </c:pt>
                <c:pt idx="46">
                  <c:v>1220</c:v>
                </c:pt>
                <c:pt idx="47">
                  <c:v>1240</c:v>
                </c:pt>
                <c:pt idx="48">
                  <c:v>1260</c:v>
                </c:pt>
                <c:pt idx="49">
                  <c:v>1280</c:v>
                </c:pt>
                <c:pt idx="50">
                  <c:v>1300</c:v>
                </c:pt>
                <c:pt idx="51">
                  <c:v>1320</c:v>
                </c:pt>
                <c:pt idx="52">
                  <c:v>1340</c:v>
                </c:pt>
                <c:pt idx="53">
                  <c:v>1360</c:v>
                </c:pt>
                <c:pt idx="54">
                  <c:v>1380</c:v>
                </c:pt>
                <c:pt idx="55">
                  <c:v>1400</c:v>
                </c:pt>
                <c:pt idx="56">
                  <c:v>1420</c:v>
                </c:pt>
                <c:pt idx="57">
                  <c:v>1440</c:v>
                </c:pt>
                <c:pt idx="58">
                  <c:v>1460</c:v>
                </c:pt>
                <c:pt idx="59">
                  <c:v>1480</c:v>
                </c:pt>
                <c:pt idx="60">
                  <c:v>1500</c:v>
                </c:pt>
                <c:pt idx="61">
                  <c:v>1520</c:v>
                </c:pt>
                <c:pt idx="62">
                  <c:v>1540</c:v>
                </c:pt>
                <c:pt idx="63">
                  <c:v>1560</c:v>
                </c:pt>
                <c:pt idx="64">
                  <c:v>1580</c:v>
                </c:pt>
                <c:pt idx="65">
                  <c:v>1600</c:v>
                </c:pt>
                <c:pt idx="66">
                  <c:v>1620</c:v>
                </c:pt>
                <c:pt idx="67">
                  <c:v>1640</c:v>
                </c:pt>
                <c:pt idx="68">
                  <c:v>1660</c:v>
                </c:pt>
                <c:pt idx="69">
                  <c:v>1680</c:v>
                </c:pt>
                <c:pt idx="70">
                  <c:v>1700</c:v>
                </c:pt>
                <c:pt idx="71">
                  <c:v>1720</c:v>
                </c:pt>
                <c:pt idx="72">
                  <c:v>1740</c:v>
                </c:pt>
                <c:pt idx="73">
                  <c:v>1760</c:v>
                </c:pt>
                <c:pt idx="74">
                  <c:v>1780</c:v>
                </c:pt>
                <c:pt idx="75">
                  <c:v>1800</c:v>
                </c:pt>
                <c:pt idx="76">
                  <c:v>1820</c:v>
                </c:pt>
                <c:pt idx="77">
                  <c:v>1840</c:v>
                </c:pt>
                <c:pt idx="78">
                  <c:v>1860</c:v>
                </c:pt>
                <c:pt idx="79">
                  <c:v>1880</c:v>
                </c:pt>
                <c:pt idx="80">
                  <c:v>1900</c:v>
                </c:pt>
                <c:pt idx="81">
                  <c:v>1920</c:v>
                </c:pt>
                <c:pt idx="82">
                  <c:v>1940</c:v>
                </c:pt>
                <c:pt idx="83">
                  <c:v>1960</c:v>
                </c:pt>
                <c:pt idx="84">
                  <c:v>1980</c:v>
                </c:pt>
                <c:pt idx="85">
                  <c:v>2000</c:v>
                </c:pt>
                <c:pt idx="86">
                  <c:v>2020</c:v>
                </c:pt>
                <c:pt idx="87">
                  <c:v>2040</c:v>
                </c:pt>
                <c:pt idx="88">
                  <c:v>2060</c:v>
                </c:pt>
                <c:pt idx="89">
                  <c:v>2080</c:v>
                </c:pt>
                <c:pt idx="90">
                  <c:v>2100</c:v>
                </c:pt>
                <c:pt idx="91">
                  <c:v>2120</c:v>
                </c:pt>
                <c:pt idx="92">
                  <c:v>2140</c:v>
                </c:pt>
                <c:pt idx="93">
                  <c:v>2160</c:v>
                </c:pt>
                <c:pt idx="94">
                  <c:v>2180</c:v>
                </c:pt>
                <c:pt idx="95">
                  <c:v>2200</c:v>
                </c:pt>
                <c:pt idx="96">
                  <c:v>2220</c:v>
                </c:pt>
                <c:pt idx="97">
                  <c:v>2240</c:v>
                </c:pt>
                <c:pt idx="98">
                  <c:v>2260</c:v>
                </c:pt>
                <c:pt idx="99">
                  <c:v>2280</c:v>
                </c:pt>
                <c:pt idx="100">
                  <c:v>2300</c:v>
                </c:pt>
                <c:pt idx="101">
                  <c:v>2320</c:v>
                </c:pt>
                <c:pt idx="102">
                  <c:v>2340</c:v>
                </c:pt>
                <c:pt idx="103">
                  <c:v>2360</c:v>
                </c:pt>
                <c:pt idx="104">
                  <c:v>2380</c:v>
                </c:pt>
                <c:pt idx="105">
                  <c:v>2400</c:v>
                </c:pt>
                <c:pt idx="106">
                  <c:v>2420</c:v>
                </c:pt>
                <c:pt idx="107">
                  <c:v>2440</c:v>
                </c:pt>
                <c:pt idx="108">
                  <c:v>2460</c:v>
                </c:pt>
                <c:pt idx="109">
                  <c:v>2480</c:v>
                </c:pt>
                <c:pt idx="110">
                  <c:v>2500</c:v>
                </c:pt>
                <c:pt idx="111">
                  <c:v>2520</c:v>
                </c:pt>
                <c:pt idx="112">
                  <c:v>2540</c:v>
                </c:pt>
                <c:pt idx="113">
                  <c:v>2560</c:v>
                </c:pt>
                <c:pt idx="114">
                  <c:v>2580</c:v>
                </c:pt>
                <c:pt idx="115">
                  <c:v>2600</c:v>
                </c:pt>
                <c:pt idx="116">
                  <c:v>2620</c:v>
                </c:pt>
                <c:pt idx="117">
                  <c:v>2640</c:v>
                </c:pt>
                <c:pt idx="118">
                  <c:v>2660</c:v>
                </c:pt>
                <c:pt idx="119">
                  <c:v>2680</c:v>
                </c:pt>
                <c:pt idx="120">
                  <c:v>2700</c:v>
                </c:pt>
                <c:pt idx="121">
                  <c:v>2720</c:v>
                </c:pt>
                <c:pt idx="122">
                  <c:v>2740</c:v>
                </c:pt>
                <c:pt idx="123">
                  <c:v>2760</c:v>
                </c:pt>
                <c:pt idx="124">
                  <c:v>2780</c:v>
                </c:pt>
                <c:pt idx="125">
                  <c:v>2800</c:v>
                </c:pt>
                <c:pt idx="126">
                  <c:v>2820</c:v>
                </c:pt>
                <c:pt idx="127">
                  <c:v>2840</c:v>
                </c:pt>
                <c:pt idx="128">
                  <c:v>2860</c:v>
                </c:pt>
                <c:pt idx="129">
                  <c:v>2880</c:v>
                </c:pt>
                <c:pt idx="130">
                  <c:v>2900</c:v>
                </c:pt>
                <c:pt idx="131">
                  <c:v>2920</c:v>
                </c:pt>
                <c:pt idx="132">
                  <c:v>2940</c:v>
                </c:pt>
                <c:pt idx="133">
                  <c:v>2960</c:v>
                </c:pt>
                <c:pt idx="134">
                  <c:v>2980</c:v>
                </c:pt>
                <c:pt idx="135">
                  <c:v>3000</c:v>
                </c:pt>
              </c:numCache>
            </c:numRef>
          </c:cat>
          <c:val>
            <c:numRef>
              <c:f>Model!$Y$13:$Y$148</c:f>
            </c:numRef>
          </c:val>
          <c:smooth val="0"/>
          <c:extLst>
            <c:ext xmlns:c16="http://schemas.microsoft.com/office/drawing/2014/chart" uri="{C3380CC4-5D6E-409C-BE32-E72D297353CC}">
              <c16:uniqueId val="{00000000-7200-4A86-8A43-C666AD859F39}"/>
            </c:ext>
          </c:extLst>
        </c:ser>
        <c:dLbls>
          <c:showLegendKey val="0"/>
          <c:showVal val="0"/>
          <c:showCatName val="0"/>
          <c:showSerName val="0"/>
          <c:showPercent val="0"/>
          <c:showBubbleSize val="0"/>
        </c:dLbls>
        <c:marker val="1"/>
        <c:smooth val="0"/>
        <c:axId val="1092916463"/>
        <c:axId val="1092916943"/>
      </c:lineChart>
      <c:lineChart>
        <c:grouping val="standard"/>
        <c:varyColors val="0"/>
        <c:ser>
          <c:idx val="1"/>
          <c:order val="1"/>
          <c:tx>
            <c:v>Hours of application</c:v>
          </c:tx>
          <c:spPr>
            <a:ln w="28575" cap="rnd">
              <a:solidFill>
                <a:schemeClr val="accent2"/>
              </a:solidFill>
              <a:round/>
            </a:ln>
            <a:effectLst/>
          </c:spPr>
          <c:marker>
            <c:symbol val="none"/>
          </c:marker>
          <c:cat>
            <c:numLit>
              <c:formatCode>General</c:formatCode>
              <c:ptCount val="136"/>
              <c:pt idx="0">
                <c:v>300</c:v>
              </c:pt>
              <c:pt idx="1">
                <c:v>320</c:v>
              </c:pt>
              <c:pt idx="2">
                <c:v>340</c:v>
              </c:pt>
              <c:pt idx="3">
                <c:v>360</c:v>
              </c:pt>
              <c:pt idx="4">
                <c:v>380</c:v>
              </c:pt>
              <c:pt idx="5">
                <c:v>400</c:v>
              </c:pt>
              <c:pt idx="6">
                <c:v>420</c:v>
              </c:pt>
              <c:pt idx="7">
                <c:v>440</c:v>
              </c:pt>
              <c:pt idx="8">
                <c:v>460</c:v>
              </c:pt>
              <c:pt idx="9">
                <c:v>480</c:v>
              </c:pt>
              <c:pt idx="10">
                <c:v>500</c:v>
              </c:pt>
              <c:pt idx="11">
                <c:v>520</c:v>
              </c:pt>
              <c:pt idx="12">
                <c:v>540</c:v>
              </c:pt>
              <c:pt idx="13">
                <c:v>560</c:v>
              </c:pt>
              <c:pt idx="14">
                <c:v>580</c:v>
              </c:pt>
              <c:pt idx="15">
                <c:v>600</c:v>
              </c:pt>
              <c:pt idx="16">
                <c:v>620</c:v>
              </c:pt>
              <c:pt idx="17">
                <c:v>640</c:v>
              </c:pt>
              <c:pt idx="18">
                <c:v>660</c:v>
              </c:pt>
              <c:pt idx="19">
                <c:v>680</c:v>
              </c:pt>
              <c:pt idx="20">
                <c:v>700</c:v>
              </c:pt>
              <c:pt idx="21">
                <c:v>720</c:v>
              </c:pt>
              <c:pt idx="22">
                <c:v>740</c:v>
              </c:pt>
              <c:pt idx="23">
                <c:v>760</c:v>
              </c:pt>
              <c:pt idx="24">
                <c:v>780</c:v>
              </c:pt>
              <c:pt idx="25">
                <c:v>800</c:v>
              </c:pt>
              <c:pt idx="26">
                <c:v>820</c:v>
              </c:pt>
              <c:pt idx="27">
                <c:v>840</c:v>
              </c:pt>
              <c:pt idx="28">
                <c:v>860</c:v>
              </c:pt>
              <c:pt idx="29">
                <c:v>880</c:v>
              </c:pt>
              <c:pt idx="30">
                <c:v>900</c:v>
              </c:pt>
              <c:pt idx="31">
                <c:v>920</c:v>
              </c:pt>
              <c:pt idx="32">
                <c:v>940</c:v>
              </c:pt>
              <c:pt idx="33">
                <c:v>960</c:v>
              </c:pt>
              <c:pt idx="34">
                <c:v>980</c:v>
              </c:pt>
              <c:pt idx="35">
                <c:v>1000</c:v>
              </c:pt>
              <c:pt idx="36">
                <c:v>1020</c:v>
              </c:pt>
              <c:pt idx="37">
                <c:v>1040</c:v>
              </c:pt>
              <c:pt idx="38">
                <c:v>1060</c:v>
              </c:pt>
              <c:pt idx="39">
                <c:v>1080</c:v>
              </c:pt>
              <c:pt idx="40">
                <c:v>1100</c:v>
              </c:pt>
              <c:pt idx="41">
                <c:v>1120</c:v>
              </c:pt>
              <c:pt idx="42">
                <c:v>1140</c:v>
              </c:pt>
              <c:pt idx="43">
                <c:v>1160</c:v>
              </c:pt>
              <c:pt idx="44">
                <c:v>1180</c:v>
              </c:pt>
              <c:pt idx="45">
                <c:v>1200</c:v>
              </c:pt>
              <c:pt idx="46">
                <c:v>1220</c:v>
              </c:pt>
              <c:pt idx="47">
                <c:v>1240</c:v>
              </c:pt>
              <c:pt idx="48">
                <c:v>1260</c:v>
              </c:pt>
              <c:pt idx="49">
                <c:v>1280</c:v>
              </c:pt>
              <c:pt idx="50">
                <c:v>1300</c:v>
              </c:pt>
              <c:pt idx="51">
                <c:v>1320</c:v>
              </c:pt>
              <c:pt idx="52">
                <c:v>1340</c:v>
              </c:pt>
              <c:pt idx="53">
                <c:v>1360</c:v>
              </c:pt>
              <c:pt idx="54">
                <c:v>1380</c:v>
              </c:pt>
              <c:pt idx="55">
                <c:v>1400</c:v>
              </c:pt>
              <c:pt idx="56">
                <c:v>1420</c:v>
              </c:pt>
              <c:pt idx="57">
                <c:v>1440</c:v>
              </c:pt>
              <c:pt idx="58">
                <c:v>1460</c:v>
              </c:pt>
              <c:pt idx="59">
                <c:v>1480</c:v>
              </c:pt>
              <c:pt idx="60">
                <c:v>1500</c:v>
              </c:pt>
              <c:pt idx="61">
                <c:v>1520</c:v>
              </c:pt>
              <c:pt idx="62">
                <c:v>1540</c:v>
              </c:pt>
              <c:pt idx="63">
                <c:v>1560</c:v>
              </c:pt>
              <c:pt idx="64">
                <c:v>1580</c:v>
              </c:pt>
              <c:pt idx="65">
                <c:v>1600</c:v>
              </c:pt>
              <c:pt idx="66">
                <c:v>1620</c:v>
              </c:pt>
              <c:pt idx="67">
                <c:v>1640</c:v>
              </c:pt>
              <c:pt idx="68">
                <c:v>1660</c:v>
              </c:pt>
              <c:pt idx="69">
                <c:v>1680</c:v>
              </c:pt>
              <c:pt idx="70">
                <c:v>1700</c:v>
              </c:pt>
              <c:pt idx="71">
                <c:v>1720</c:v>
              </c:pt>
              <c:pt idx="72">
                <c:v>1740</c:v>
              </c:pt>
              <c:pt idx="73">
                <c:v>1760</c:v>
              </c:pt>
              <c:pt idx="74">
                <c:v>1780</c:v>
              </c:pt>
              <c:pt idx="75">
                <c:v>1800</c:v>
              </c:pt>
              <c:pt idx="76">
                <c:v>1820</c:v>
              </c:pt>
              <c:pt idx="77">
                <c:v>1840</c:v>
              </c:pt>
              <c:pt idx="78">
                <c:v>1860</c:v>
              </c:pt>
              <c:pt idx="79">
                <c:v>1880</c:v>
              </c:pt>
              <c:pt idx="80">
                <c:v>1900</c:v>
              </c:pt>
              <c:pt idx="81">
                <c:v>1920</c:v>
              </c:pt>
              <c:pt idx="82">
                <c:v>1940</c:v>
              </c:pt>
              <c:pt idx="83">
                <c:v>1960</c:v>
              </c:pt>
              <c:pt idx="84">
                <c:v>1980</c:v>
              </c:pt>
              <c:pt idx="85">
                <c:v>2000</c:v>
              </c:pt>
              <c:pt idx="86">
                <c:v>2020</c:v>
              </c:pt>
              <c:pt idx="87">
                <c:v>2040</c:v>
              </c:pt>
              <c:pt idx="88">
                <c:v>2060</c:v>
              </c:pt>
              <c:pt idx="89">
                <c:v>2080</c:v>
              </c:pt>
              <c:pt idx="90">
                <c:v>2100</c:v>
              </c:pt>
              <c:pt idx="91">
                <c:v>2120</c:v>
              </c:pt>
              <c:pt idx="92">
                <c:v>2140</c:v>
              </c:pt>
              <c:pt idx="93">
                <c:v>2160</c:v>
              </c:pt>
              <c:pt idx="94">
                <c:v>2180</c:v>
              </c:pt>
              <c:pt idx="95">
                <c:v>2200</c:v>
              </c:pt>
              <c:pt idx="96">
                <c:v>2220</c:v>
              </c:pt>
              <c:pt idx="97">
                <c:v>2240</c:v>
              </c:pt>
              <c:pt idx="98">
                <c:v>2260</c:v>
              </c:pt>
              <c:pt idx="99">
                <c:v>2280</c:v>
              </c:pt>
              <c:pt idx="100">
                <c:v>2300</c:v>
              </c:pt>
              <c:pt idx="101">
                <c:v>2320</c:v>
              </c:pt>
              <c:pt idx="102">
                <c:v>2340</c:v>
              </c:pt>
              <c:pt idx="103">
                <c:v>2360</c:v>
              </c:pt>
              <c:pt idx="104">
                <c:v>2380</c:v>
              </c:pt>
              <c:pt idx="105">
                <c:v>2400</c:v>
              </c:pt>
              <c:pt idx="106">
                <c:v>2420</c:v>
              </c:pt>
              <c:pt idx="107">
                <c:v>2440</c:v>
              </c:pt>
              <c:pt idx="108">
                <c:v>2460</c:v>
              </c:pt>
              <c:pt idx="109">
                <c:v>2480</c:v>
              </c:pt>
              <c:pt idx="110">
                <c:v>2500</c:v>
              </c:pt>
              <c:pt idx="111">
                <c:v>2520</c:v>
              </c:pt>
              <c:pt idx="112">
                <c:v>2540</c:v>
              </c:pt>
              <c:pt idx="113">
                <c:v>2560</c:v>
              </c:pt>
              <c:pt idx="114">
                <c:v>2580</c:v>
              </c:pt>
              <c:pt idx="115">
                <c:v>2600</c:v>
              </c:pt>
              <c:pt idx="116">
                <c:v>2620</c:v>
              </c:pt>
              <c:pt idx="117">
                <c:v>2640</c:v>
              </c:pt>
              <c:pt idx="118">
                <c:v>2660</c:v>
              </c:pt>
              <c:pt idx="119">
                <c:v>2680</c:v>
              </c:pt>
              <c:pt idx="120">
                <c:v>2700</c:v>
              </c:pt>
              <c:pt idx="121">
                <c:v>2720</c:v>
              </c:pt>
              <c:pt idx="122">
                <c:v>2740</c:v>
              </c:pt>
              <c:pt idx="123">
                <c:v>2760</c:v>
              </c:pt>
              <c:pt idx="124">
                <c:v>2780</c:v>
              </c:pt>
              <c:pt idx="125">
                <c:v>2800</c:v>
              </c:pt>
              <c:pt idx="126">
                <c:v>2820</c:v>
              </c:pt>
              <c:pt idx="127">
                <c:v>2840</c:v>
              </c:pt>
              <c:pt idx="128">
                <c:v>2860</c:v>
              </c:pt>
              <c:pt idx="129">
                <c:v>2880</c:v>
              </c:pt>
              <c:pt idx="130">
                <c:v>2900</c:v>
              </c:pt>
              <c:pt idx="131">
                <c:v>2920</c:v>
              </c:pt>
              <c:pt idx="132">
                <c:v>2940</c:v>
              </c:pt>
              <c:pt idx="133">
                <c:v>2960</c:v>
              </c:pt>
              <c:pt idx="134">
                <c:v>2980</c:v>
              </c:pt>
              <c:pt idx="135">
                <c:v>3000</c:v>
              </c:pt>
            </c:numLit>
          </c:cat>
          <c:val>
            <c:numRef>
              <c:f>Model!$J$13:$J$148</c:f>
              <c:numCache>
                <c:formatCode>0.00</c:formatCode>
                <c:ptCount val="136"/>
                <c:pt idx="0">
                  <c:v>11.538461538461538</c:v>
                </c:pt>
                <c:pt idx="1">
                  <c:v>12.307692307692308</c:v>
                </c:pt>
                <c:pt idx="2">
                  <c:v>13.076923076923077</c:v>
                </c:pt>
                <c:pt idx="3">
                  <c:v>13.846153846153847</c:v>
                </c:pt>
                <c:pt idx="4">
                  <c:v>14.615384615384615</c:v>
                </c:pt>
                <c:pt idx="5">
                  <c:v>15.384615384615385</c:v>
                </c:pt>
                <c:pt idx="6">
                  <c:v>16.153846153846153</c:v>
                </c:pt>
                <c:pt idx="7">
                  <c:v>16.923076923076923</c:v>
                </c:pt>
                <c:pt idx="8">
                  <c:v>17.692307692307693</c:v>
                </c:pt>
                <c:pt idx="9">
                  <c:v>18.46153846153846</c:v>
                </c:pt>
                <c:pt idx="10">
                  <c:v>19.23076923076923</c:v>
                </c:pt>
                <c:pt idx="11">
                  <c:v>20</c:v>
                </c:pt>
                <c:pt idx="12">
                  <c:v>20.76923076923077</c:v>
                </c:pt>
                <c:pt idx="13">
                  <c:v>21.53846153846154</c:v>
                </c:pt>
                <c:pt idx="14">
                  <c:v>22.307692307692307</c:v>
                </c:pt>
                <c:pt idx="15">
                  <c:v>23.076923076923077</c:v>
                </c:pt>
                <c:pt idx="16">
                  <c:v>23.846153846153847</c:v>
                </c:pt>
                <c:pt idx="17">
                  <c:v>24.615384615384617</c:v>
                </c:pt>
                <c:pt idx="18">
                  <c:v>25.384615384615383</c:v>
                </c:pt>
                <c:pt idx="19">
                  <c:v>26.153846153846153</c:v>
                </c:pt>
                <c:pt idx="20">
                  <c:v>26.923076923076923</c:v>
                </c:pt>
                <c:pt idx="21">
                  <c:v>27.692307692307693</c:v>
                </c:pt>
                <c:pt idx="22">
                  <c:v>28.46153846153846</c:v>
                </c:pt>
                <c:pt idx="23">
                  <c:v>29.23076923076923</c:v>
                </c:pt>
                <c:pt idx="24">
                  <c:v>30</c:v>
                </c:pt>
                <c:pt idx="25">
                  <c:v>30.76923076923077</c:v>
                </c:pt>
                <c:pt idx="26">
                  <c:v>31.53846153846154</c:v>
                </c:pt>
                <c:pt idx="27">
                  <c:v>32.307692307692307</c:v>
                </c:pt>
                <c:pt idx="28">
                  <c:v>33.07692307692308</c:v>
                </c:pt>
                <c:pt idx="29">
                  <c:v>33.846153846153847</c:v>
                </c:pt>
                <c:pt idx="30">
                  <c:v>34.615384615384613</c:v>
                </c:pt>
                <c:pt idx="31">
                  <c:v>35.384615384615387</c:v>
                </c:pt>
                <c:pt idx="32">
                  <c:v>36.153846153846153</c:v>
                </c:pt>
                <c:pt idx="33">
                  <c:v>36.92307692307692</c:v>
                </c:pt>
                <c:pt idx="34">
                  <c:v>37.692307692307693</c:v>
                </c:pt>
                <c:pt idx="35">
                  <c:v>38.46153846153846</c:v>
                </c:pt>
                <c:pt idx="36">
                  <c:v>39.230769230769234</c:v>
                </c:pt>
                <c:pt idx="37">
                  <c:v>40</c:v>
                </c:pt>
                <c:pt idx="38">
                  <c:v>40.769230769230766</c:v>
                </c:pt>
                <c:pt idx="39">
                  <c:v>41.53846153846154</c:v>
                </c:pt>
                <c:pt idx="40">
                  <c:v>42.307692307692307</c:v>
                </c:pt>
                <c:pt idx="41">
                  <c:v>43.07692307692308</c:v>
                </c:pt>
                <c:pt idx="42">
                  <c:v>43.846153846153847</c:v>
                </c:pt>
                <c:pt idx="43">
                  <c:v>44.615384615384613</c:v>
                </c:pt>
                <c:pt idx="44">
                  <c:v>45.384615384615387</c:v>
                </c:pt>
                <c:pt idx="45">
                  <c:v>46.153846153846153</c:v>
                </c:pt>
                <c:pt idx="46">
                  <c:v>46.92307692307692</c:v>
                </c:pt>
                <c:pt idx="47">
                  <c:v>47.692307692307693</c:v>
                </c:pt>
                <c:pt idx="48">
                  <c:v>48.46153846153846</c:v>
                </c:pt>
                <c:pt idx="49">
                  <c:v>49.230769230769234</c:v>
                </c:pt>
                <c:pt idx="50">
                  <c:v>50</c:v>
                </c:pt>
                <c:pt idx="51">
                  <c:v>50.769230769230766</c:v>
                </c:pt>
                <c:pt idx="52">
                  <c:v>51.53846153846154</c:v>
                </c:pt>
                <c:pt idx="53">
                  <c:v>52.307692307692307</c:v>
                </c:pt>
                <c:pt idx="54">
                  <c:v>53.07692307692308</c:v>
                </c:pt>
                <c:pt idx="55">
                  <c:v>53.846153846153847</c:v>
                </c:pt>
                <c:pt idx="56">
                  <c:v>54.615384615384613</c:v>
                </c:pt>
                <c:pt idx="57">
                  <c:v>55.384615384615387</c:v>
                </c:pt>
                <c:pt idx="58">
                  <c:v>56.153846153846153</c:v>
                </c:pt>
                <c:pt idx="59">
                  <c:v>56.92307692307692</c:v>
                </c:pt>
                <c:pt idx="60">
                  <c:v>57.692307692307693</c:v>
                </c:pt>
                <c:pt idx="61">
                  <c:v>58.46153846153846</c:v>
                </c:pt>
                <c:pt idx="62">
                  <c:v>59.230769230769234</c:v>
                </c:pt>
                <c:pt idx="63">
                  <c:v>60</c:v>
                </c:pt>
                <c:pt idx="64">
                  <c:v>60.769230769230766</c:v>
                </c:pt>
                <c:pt idx="65">
                  <c:v>61.53846153846154</c:v>
                </c:pt>
                <c:pt idx="66">
                  <c:v>62.307692307692307</c:v>
                </c:pt>
                <c:pt idx="67">
                  <c:v>63.07692307692308</c:v>
                </c:pt>
                <c:pt idx="68">
                  <c:v>63.846153846153847</c:v>
                </c:pt>
                <c:pt idx="69">
                  <c:v>64.615384615384613</c:v>
                </c:pt>
                <c:pt idx="70">
                  <c:v>65.384615384615387</c:v>
                </c:pt>
                <c:pt idx="71">
                  <c:v>66.15384615384616</c:v>
                </c:pt>
                <c:pt idx="72">
                  <c:v>66.92307692307692</c:v>
                </c:pt>
                <c:pt idx="73">
                  <c:v>67.692307692307693</c:v>
                </c:pt>
                <c:pt idx="74">
                  <c:v>68.461538461538467</c:v>
                </c:pt>
                <c:pt idx="75">
                  <c:v>69.230769230769226</c:v>
                </c:pt>
                <c:pt idx="76">
                  <c:v>70</c:v>
                </c:pt>
                <c:pt idx="77">
                  <c:v>70.769230769230774</c:v>
                </c:pt>
                <c:pt idx="78">
                  <c:v>71.538461538461533</c:v>
                </c:pt>
                <c:pt idx="79">
                  <c:v>72.307692307692307</c:v>
                </c:pt>
                <c:pt idx="80">
                  <c:v>73.07692307692308</c:v>
                </c:pt>
                <c:pt idx="81">
                  <c:v>73.84615384615384</c:v>
                </c:pt>
                <c:pt idx="82">
                  <c:v>74.615384615384613</c:v>
                </c:pt>
                <c:pt idx="83">
                  <c:v>75.384615384615387</c:v>
                </c:pt>
                <c:pt idx="84">
                  <c:v>76.15384615384616</c:v>
                </c:pt>
                <c:pt idx="85">
                  <c:v>76.92307692307692</c:v>
                </c:pt>
                <c:pt idx="86">
                  <c:v>77.692307692307693</c:v>
                </c:pt>
                <c:pt idx="87">
                  <c:v>78.461538461538467</c:v>
                </c:pt>
                <c:pt idx="88">
                  <c:v>79.230769230769226</c:v>
                </c:pt>
                <c:pt idx="89">
                  <c:v>80</c:v>
                </c:pt>
                <c:pt idx="90">
                  <c:v>80.769230769230774</c:v>
                </c:pt>
                <c:pt idx="91">
                  <c:v>81.538461538461533</c:v>
                </c:pt>
                <c:pt idx="92">
                  <c:v>82.307692307692307</c:v>
                </c:pt>
                <c:pt idx="93">
                  <c:v>83.07692307692308</c:v>
                </c:pt>
                <c:pt idx="94">
                  <c:v>83.84615384615384</c:v>
                </c:pt>
                <c:pt idx="95">
                  <c:v>84.615384615384613</c:v>
                </c:pt>
                <c:pt idx="96">
                  <c:v>85.384615384615387</c:v>
                </c:pt>
                <c:pt idx="97">
                  <c:v>86.15384615384616</c:v>
                </c:pt>
                <c:pt idx="98">
                  <c:v>86.92307692307692</c:v>
                </c:pt>
                <c:pt idx="99">
                  <c:v>87.692307692307693</c:v>
                </c:pt>
                <c:pt idx="100">
                  <c:v>88.461538461538467</c:v>
                </c:pt>
                <c:pt idx="101">
                  <c:v>89.230769230769226</c:v>
                </c:pt>
                <c:pt idx="102">
                  <c:v>90</c:v>
                </c:pt>
                <c:pt idx="103">
                  <c:v>90.769230769230774</c:v>
                </c:pt>
                <c:pt idx="104">
                  <c:v>91.538461538461533</c:v>
                </c:pt>
                <c:pt idx="105">
                  <c:v>92.307692307692307</c:v>
                </c:pt>
                <c:pt idx="106">
                  <c:v>93.07692307692308</c:v>
                </c:pt>
                <c:pt idx="107">
                  <c:v>93.84615384615384</c:v>
                </c:pt>
                <c:pt idx="108">
                  <c:v>94.615384615384613</c:v>
                </c:pt>
                <c:pt idx="109">
                  <c:v>95.384615384615387</c:v>
                </c:pt>
                <c:pt idx="110">
                  <c:v>96.15384615384616</c:v>
                </c:pt>
                <c:pt idx="111">
                  <c:v>96.92307692307692</c:v>
                </c:pt>
                <c:pt idx="112">
                  <c:v>97.692307692307693</c:v>
                </c:pt>
                <c:pt idx="113">
                  <c:v>98.461538461538467</c:v>
                </c:pt>
                <c:pt idx="114">
                  <c:v>99.230769230769226</c:v>
                </c:pt>
                <c:pt idx="115">
                  <c:v>100</c:v>
                </c:pt>
                <c:pt idx="116">
                  <c:v>100.76923076923077</c:v>
                </c:pt>
                <c:pt idx="117">
                  <c:v>101.53846153846153</c:v>
                </c:pt>
                <c:pt idx="118">
                  <c:v>102.30769230769231</c:v>
                </c:pt>
                <c:pt idx="119">
                  <c:v>103.07692307692308</c:v>
                </c:pt>
                <c:pt idx="120">
                  <c:v>103.84615384615384</c:v>
                </c:pt>
                <c:pt idx="121">
                  <c:v>104.61538461538461</c:v>
                </c:pt>
                <c:pt idx="122">
                  <c:v>105.38461538461539</c:v>
                </c:pt>
                <c:pt idx="123">
                  <c:v>106.15384615384616</c:v>
                </c:pt>
                <c:pt idx="124">
                  <c:v>106.92307692307692</c:v>
                </c:pt>
                <c:pt idx="125">
                  <c:v>107.69230769230769</c:v>
                </c:pt>
                <c:pt idx="126">
                  <c:v>108.46153846153847</c:v>
                </c:pt>
                <c:pt idx="127">
                  <c:v>109.23076923076923</c:v>
                </c:pt>
                <c:pt idx="128">
                  <c:v>110</c:v>
                </c:pt>
                <c:pt idx="129">
                  <c:v>110.76923076923077</c:v>
                </c:pt>
                <c:pt idx="130">
                  <c:v>111.53846153846153</c:v>
                </c:pt>
                <c:pt idx="131">
                  <c:v>112.30769230769231</c:v>
                </c:pt>
                <c:pt idx="132">
                  <c:v>113.07692307692308</c:v>
                </c:pt>
                <c:pt idx="133">
                  <c:v>113.84615384615384</c:v>
                </c:pt>
                <c:pt idx="134">
                  <c:v>114.61538461538461</c:v>
                </c:pt>
                <c:pt idx="135">
                  <c:v>115.38461538461539</c:v>
                </c:pt>
              </c:numCache>
            </c:numRef>
          </c:val>
          <c:smooth val="0"/>
          <c:extLst>
            <c:ext xmlns:c16="http://schemas.microsoft.com/office/drawing/2014/chart" uri="{C3380CC4-5D6E-409C-BE32-E72D297353CC}">
              <c16:uniqueId val="{00000001-B5F9-400A-AA95-D02C6EA2B449}"/>
            </c:ext>
          </c:extLst>
        </c:ser>
        <c:dLbls>
          <c:showLegendKey val="0"/>
          <c:showVal val="0"/>
          <c:showCatName val="0"/>
          <c:showSerName val="0"/>
          <c:showPercent val="0"/>
          <c:showBubbleSize val="0"/>
        </c:dLbls>
        <c:marker val="1"/>
        <c:smooth val="0"/>
        <c:axId val="1285639167"/>
        <c:axId val="1285662687"/>
      </c:lineChart>
      <c:catAx>
        <c:axId val="10929164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Acres applied per 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2916943"/>
        <c:crosses val="autoZero"/>
        <c:auto val="1"/>
        <c:lblAlgn val="ctr"/>
        <c:lblOffset val="100"/>
        <c:noMultiLvlLbl val="0"/>
      </c:catAx>
      <c:valAx>
        <c:axId val="10929169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per acre applied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2916463"/>
        <c:crosses val="autoZero"/>
        <c:crossBetween val="between"/>
      </c:valAx>
      <c:valAx>
        <c:axId val="1285662687"/>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Hours /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5639167"/>
        <c:crosses val="max"/>
        <c:crossBetween val="between"/>
      </c:valAx>
      <c:catAx>
        <c:axId val="1285639167"/>
        <c:scaling>
          <c:orientation val="minMax"/>
        </c:scaling>
        <c:delete val="1"/>
        <c:axPos val="b"/>
        <c:numFmt formatCode="General" sourceLinked="1"/>
        <c:majorTickMark val="out"/>
        <c:minorTickMark val="none"/>
        <c:tickLblPos val="nextTo"/>
        <c:crossAx val="1285662687"/>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r>
              <a:rPr lang="en-US"/>
              <a:t>Setup costs</a:t>
            </a:r>
          </a:p>
        </c:rich>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v>Price of new unit ($)</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CB9-4429-B6FF-5FB9111A4F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CB9-4429-B6FF-5FB9111A4F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CB9-4429-B6FF-5FB9111A4F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CB9-4429-B6FF-5FB9111A4FD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CB9-4429-B6FF-5FB9111A4FD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CB9-4429-B6FF-5FB9111A4FD9}"/>
              </c:ext>
            </c:extLst>
          </c:dPt>
          <c:dLbls>
            <c:dLbl>
              <c:idx val="0"/>
              <c:tx>
                <c:rich>
                  <a:bodyPr/>
                  <a:lstStyle/>
                  <a:p>
                    <a:fld id="{097C2DFB-D264-450A-A5AF-E09A01336B9D}" type="CATEGORYNAME">
                      <a:rPr lang="en-US"/>
                      <a:pPr/>
                      <a:t>[CATEGORY NAME]</a:t>
                    </a:fld>
                    <a:r>
                      <a:rPr lang="en-US" baseline="0"/>
                      <a:t>, </a:t>
                    </a:r>
                    <a:fld id="{118EE5AD-6544-4E65-98BA-336A39B9E766}" type="VALUE">
                      <a:rPr lang="en-US" baseline="0"/>
                      <a:pPr/>
                      <a:t>[VALUE]</a:t>
                    </a:fld>
                    <a:endParaRPr lang="en-US" baseline="0"/>
                  </a:p>
                </c:rich>
              </c:tx>
              <c:dLblPos val="bestFit"/>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CB9-4429-B6FF-5FB9111A4FD9}"/>
                </c:ext>
              </c:extLst>
            </c:dLbl>
            <c:numFmt formatCode="&quot;$&quot;#,##0" sourceLinked="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Model!$A$33:$A$37</c:f>
              <c:strCache>
                <c:ptCount val="5"/>
                <c:pt idx="0">
                  <c:v>Drone (includes charger and 2 batteries)</c:v>
                </c:pt>
                <c:pt idx="1">
                  <c:v>Generator</c:v>
                </c:pt>
                <c:pt idx="2">
                  <c:v>Trailer</c:v>
                </c:pt>
                <c:pt idx="3">
                  <c:v>Truck</c:v>
                </c:pt>
                <c:pt idx="4">
                  <c:v>Pump and transfer system</c:v>
                </c:pt>
              </c:strCache>
            </c:strRef>
          </c:cat>
          <c:val>
            <c:numRef>
              <c:f>Model!$B$33:$B$37</c:f>
              <c:numCache>
                <c:formatCode>#,##0.00</c:formatCode>
                <c:ptCount val="5"/>
                <c:pt idx="0">
                  <c:v>23000</c:v>
                </c:pt>
                <c:pt idx="1">
                  <c:v>7500</c:v>
                </c:pt>
                <c:pt idx="2">
                  <c:v>9000</c:v>
                </c:pt>
                <c:pt idx="3">
                  <c:v>50000</c:v>
                </c:pt>
                <c:pt idx="4">
                  <c:v>1000</c:v>
                </c:pt>
              </c:numCache>
            </c:numRef>
          </c:val>
          <c:extLst>
            <c:ext xmlns:c16="http://schemas.microsoft.com/office/drawing/2014/chart" uri="{C3380CC4-5D6E-409C-BE32-E72D297353CC}">
              <c16:uniqueId val="{0000000C-6CB9-4429-B6FF-5FB9111A4FD9}"/>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strRef>
              <c:f>Model!$B$15</c:f>
              <c:strCache>
                <c:ptCount val="1"/>
                <c:pt idx="0">
                  <c:v>Cost per acre applied ($/acre)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DA2-4E3D-BAE8-E3366EBD355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DA2-4E3D-BAE8-E3366EBD355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DA2-4E3D-BAE8-E3366EBD355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DA2-4E3D-BAE8-E3366EBD355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DA2-4E3D-BAE8-E3366EBD355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DA2-4E3D-BAE8-E3366EBD355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DA2-4E3D-BAE8-E3366EBD355E}"/>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8DA2-4E3D-BAE8-E3366EBD355E}"/>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(Model!$A$16:$A$20,Model!$A$22:$A$24)</c:f>
              <c:strCache>
                <c:ptCount val="8"/>
                <c:pt idx="0">
                  <c:v>Fuel</c:v>
                </c:pt>
                <c:pt idx="1">
                  <c:v>Labor</c:v>
                </c:pt>
                <c:pt idx="2">
                  <c:v>Other materials</c:v>
                </c:pt>
                <c:pt idx="3">
                  <c:v>Maintenance/Repairs</c:v>
                </c:pt>
                <c:pt idx="4">
                  <c:v>Interest over operating capital</c:v>
                </c:pt>
                <c:pt idx="5">
                  <c:v>Depreciation + Interest over capital (excluding batteries)</c:v>
                </c:pt>
                <c:pt idx="6">
                  <c:v>Batteries</c:v>
                </c:pt>
                <c:pt idx="7">
                  <c:v>Taxes + Insurance + Housing</c:v>
                </c:pt>
              </c:strCache>
            </c:strRef>
          </c:cat>
          <c:val>
            <c:numRef>
              <c:f>(Model!$B$16:$B$20,Model!$B$22:$B$24)</c:f>
              <c:numCache>
                <c:formatCode>#,##0.00</c:formatCode>
                <c:ptCount val="8"/>
                <c:pt idx="0">
                  <c:v>0.1452613412228797</c:v>
                </c:pt>
                <c:pt idx="1">
                  <c:v>1.0544871794871795</c:v>
                </c:pt>
                <c:pt idx="2">
                  <c:v>1.6217948717948721E-2</c:v>
                </c:pt>
                <c:pt idx="3">
                  <c:v>2.0606249999999999</c:v>
                </c:pt>
                <c:pt idx="4">
                  <c:v>9.7277317554240628E-2</c:v>
                </c:pt>
                <c:pt idx="5">
                  <c:v>6.584396325552885</c:v>
                </c:pt>
                <c:pt idx="6">
                  <c:v>1.7209297093218343</c:v>
                </c:pt>
                <c:pt idx="7">
                  <c:v>0.59237499999999998</c:v>
                </c:pt>
              </c:numCache>
            </c:numRef>
          </c:val>
          <c:extLst>
            <c:ext xmlns:c16="http://schemas.microsoft.com/office/drawing/2014/chart" uri="{C3380CC4-5D6E-409C-BE32-E72D297353CC}">
              <c16:uniqueId val="{00000000-4666-482F-B481-53C30E065F2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5</xdr:row>
      <xdr:rowOff>130525</xdr:rowOff>
    </xdr:from>
    <xdr:to>
      <xdr:col>1</xdr:col>
      <xdr:colOff>257175</xdr:colOff>
      <xdr:row>9</xdr:row>
      <xdr:rowOff>470475</xdr:rowOff>
    </xdr:to>
    <xdr:pic>
      <xdr:nvPicPr>
        <xdr:cNvPr id="2" name="Picture 1">
          <a:extLst>
            <a:ext uri="{FF2B5EF4-FFF2-40B4-BE49-F238E27FC236}">
              <a16:creationId xmlns:a16="http://schemas.microsoft.com/office/drawing/2014/main" id="{C60A73B3-3DD6-4EFD-AA77-33EBC74A23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1359250"/>
          <a:ext cx="2295525" cy="720950"/>
        </a:xfrm>
        <a:prstGeom prst="rect">
          <a:avLst/>
        </a:prstGeom>
      </xdr:spPr>
    </xdr:pic>
    <xdr:clientData/>
  </xdr:twoCellAnchor>
  <xdr:twoCellAnchor editAs="oneCell">
    <xdr:from>
      <xdr:col>2</xdr:col>
      <xdr:colOff>3524250</xdr:colOff>
      <xdr:row>6</xdr:row>
      <xdr:rowOff>9526</xdr:rowOff>
    </xdr:from>
    <xdr:to>
      <xdr:col>2</xdr:col>
      <xdr:colOff>3524250</xdr:colOff>
      <xdr:row>9</xdr:row>
      <xdr:rowOff>712280</xdr:rowOff>
    </xdr:to>
    <xdr:pic>
      <xdr:nvPicPr>
        <xdr:cNvPr id="3" name="Picture 2">
          <a:extLst>
            <a:ext uri="{FF2B5EF4-FFF2-40B4-BE49-F238E27FC236}">
              <a16:creationId xmlns:a16="http://schemas.microsoft.com/office/drawing/2014/main" id="{F2C83B9C-8E04-436C-AD92-DD44DC2697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71950" y="1447801"/>
          <a:ext cx="2133600" cy="750379"/>
        </a:xfrm>
        <a:prstGeom prst="rect">
          <a:avLst/>
        </a:prstGeom>
      </xdr:spPr>
    </xdr:pic>
    <xdr:clientData/>
  </xdr:twoCellAnchor>
  <xdr:twoCellAnchor editAs="oneCell">
    <xdr:from>
      <xdr:col>3</xdr:col>
      <xdr:colOff>1123950</xdr:colOff>
      <xdr:row>3</xdr:row>
      <xdr:rowOff>85725</xdr:rowOff>
    </xdr:from>
    <xdr:to>
      <xdr:col>3</xdr:col>
      <xdr:colOff>3087032</xdr:colOff>
      <xdr:row>5</xdr:row>
      <xdr:rowOff>245795</xdr:rowOff>
    </xdr:to>
    <xdr:pic>
      <xdr:nvPicPr>
        <xdr:cNvPr id="8" name="Picture 7">
          <a:extLst>
            <a:ext uri="{FF2B5EF4-FFF2-40B4-BE49-F238E27FC236}">
              <a16:creationId xmlns:a16="http://schemas.microsoft.com/office/drawing/2014/main" id="{641FC660-5646-083F-19A8-CD01D410D5EA}"/>
            </a:ext>
          </a:extLst>
        </xdr:cNvPr>
        <xdr:cNvPicPr>
          <a:picLocks noChangeAspect="1"/>
        </xdr:cNvPicPr>
      </xdr:nvPicPr>
      <xdr:blipFill>
        <a:blip xmlns:r="http://schemas.openxmlformats.org/officeDocument/2006/relationships" r:embed="rId3"/>
        <a:stretch>
          <a:fillRect/>
        </a:stretch>
      </xdr:blipFill>
      <xdr:spPr>
        <a:xfrm>
          <a:off x="5362575" y="809625"/>
          <a:ext cx="1963082" cy="5791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44</xdr:row>
      <xdr:rowOff>3587</xdr:rowOff>
    </xdr:from>
    <xdr:to>
      <xdr:col>2</xdr:col>
      <xdr:colOff>36542</xdr:colOff>
      <xdr:row>62</xdr:row>
      <xdr:rowOff>59418</xdr:rowOff>
    </xdr:to>
    <xdr:graphicFrame macro="">
      <xdr:nvGraphicFramePr>
        <xdr:cNvPr id="4" name="Chart 3">
          <a:extLst>
            <a:ext uri="{FF2B5EF4-FFF2-40B4-BE49-F238E27FC236}">
              <a16:creationId xmlns:a16="http://schemas.microsoft.com/office/drawing/2014/main" id="{C2965698-0C94-4186-99D8-DCF76F1C93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818487</xdr:colOff>
      <xdr:row>42</xdr:row>
      <xdr:rowOff>67155</xdr:rowOff>
    </xdr:from>
    <xdr:to>
      <xdr:col>5</xdr:col>
      <xdr:colOff>582705</xdr:colOff>
      <xdr:row>57</xdr:row>
      <xdr:rowOff>110153</xdr:rowOff>
    </xdr:to>
    <xdr:graphicFrame macro="">
      <xdr:nvGraphicFramePr>
        <xdr:cNvPr id="10" name="Chart 9">
          <a:extLst>
            <a:ext uri="{FF2B5EF4-FFF2-40B4-BE49-F238E27FC236}">
              <a16:creationId xmlns:a16="http://schemas.microsoft.com/office/drawing/2014/main" id="{323F93DA-106E-493F-8D5B-432311608E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621926</xdr:colOff>
      <xdr:row>58</xdr:row>
      <xdr:rowOff>79561</xdr:rowOff>
    </xdr:from>
    <xdr:to>
      <xdr:col>6</xdr:col>
      <xdr:colOff>941294</xdr:colOff>
      <xdr:row>87</xdr:row>
      <xdr:rowOff>56029</xdr:rowOff>
    </xdr:to>
    <xdr:graphicFrame macro="">
      <xdr:nvGraphicFramePr>
        <xdr:cNvPr id="2" name="Chart 1">
          <a:extLst>
            <a:ext uri="{FF2B5EF4-FFF2-40B4-BE49-F238E27FC236}">
              <a16:creationId xmlns:a16="http://schemas.microsoft.com/office/drawing/2014/main" id="{B7D68EAB-8F70-5FE9-F12B-65134A4F7A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xtension.missouri.edu/publications/g127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E32C-730F-4A1B-8891-50A792F0FE73}">
  <dimension ref="A1:F25"/>
  <sheetViews>
    <sheetView tabSelected="1" topLeftCell="B1" workbookViewId="0">
      <selection activeCell="B1" sqref="B1:E1"/>
    </sheetView>
  </sheetViews>
  <sheetFormatPr defaultColWidth="0" defaultRowHeight="16.5" customHeight="1" zeroHeight="1" x14ac:dyDescent="0.3"/>
  <cols>
    <col min="1" max="1" width="4.85546875" style="6" hidden="1" customWidth="1"/>
    <col min="2" max="2" width="4.85546875" style="6" customWidth="1"/>
    <col min="3" max="3" width="53.85546875" style="6" customWidth="1"/>
    <col min="4" max="4" width="46.42578125" style="6" customWidth="1"/>
    <col min="5" max="5" width="4.85546875" style="6" customWidth="1"/>
    <col min="6" max="6" width="4.85546875" style="6" hidden="1" customWidth="1"/>
    <col min="7" max="16384" width="11.42578125" style="6" hidden="1"/>
  </cols>
  <sheetData>
    <row r="1" spans="1:5" ht="20.25" x14ac:dyDescent="0.35">
      <c r="B1" s="121" t="s">
        <v>90</v>
      </c>
      <c r="C1" s="122"/>
      <c r="D1" s="122"/>
      <c r="E1" s="122"/>
    </row>
    <row r="2" spans="1:5" ht="20.25" hidden="1" x14ac:dyDescent="0.35">
      <c r="B2" s="7"/>
      <c r="C2" s="7"/>
      <c r="D2" s="7"/>
      <c r="E2" s="7"/>
    </row>
    <row r="3" spans="1:5" s="100" customFormat="1" x14ac:dyDescent="0.3">
      <c r="A3" s="6"/>
      <c r="B3" s="123" t="s">
        <v>80</v>
      </c>
      <c r="C3" s="123"/>
      <c r="D3" s="123"/>
      <c r="E3" s="99"/>
    </row>
    <row r="4" spans="1:5" s="100" customFormat="1" x14ac:dyDescent="0.3">
      <c r="A4" s="6"/>
      <c r="B4" s="101"/>
      <c r="C4" s="102" t="s">
        <v>78</v>
      </c>
      <c r="D4" s="103"/>
    </row>
    <row r="5" spans="1:5" s="100" customFormat="1" x14ac:dyDescent="0.3">
      <c r="A5" s="6"/>
      <c r="B5" s="101"/>
      <c r="C5" s="103" t="s">
        <v>86</v>
      </c>
      <c r="D5" s="104"/>
    </row>
    <row r="6" spans="1:5" s="100" customFormat="1" ht="33" customHeight="1" x14ac:dyDescent="0.3">
      <c r="A6" s="6"/>
      <c r="B6" s="101"/>
      <c r="C6" s="105"/>
      <c r="D6" s="103"/>
    </row>
    <row r="7" spans="1:5" s="100" customFormat="1" x14ac:dyDescent="0.3">
      <c r="A7" s="6"/>
      <c r="B7" s="101"/>
      <c r="C7" s="104" t="s">
        <v>82</v>
      </c>
      <c r="D7" s="103"/>
    </row>
    <row r="8" spans="1:5" s="100" customFormat="1" x14ac:dyDescent="0.3">
      <c r="A8" s="6"/>
      <c r="B8" s="101"/>
      <c r="C8" s="103" t="s">
        <v>83</v>
      </c>
      <c r="D8" s="106"/>
    </row>
    <row r="9" spans="1:5" s="100" customFormat="1" ht="16.5" customHeight="1" x14ac:dyDescent="0.3">
      <c r="A9" s="6"/>
      <c r="B9" s="101"/>
      <c r="C9" s="125" t="s">
        <v>81</v>
      </c>
      <c r="D9" s="125"/>
      <c r="E9" s="107"/>
    </row>
    <row r="10" spans="1:5" s="100" customFormat="1" ht="60" customHeight="1" x14ac:dyDescent="0.3">
      <c r="A10" s="6"/>
      <c r="B10" s="101"/>
      <c r="C10" s="118" t="s">
        <v>91</v>
      </c>
      <c r="D10" s="118"/>
    </row>
    <row r="11" spans="1:5" s="100" customFormat="1" ht="43.5" customHeight="1" x14ac:dyDescent="0.3">
      <c r="A11" s="6"/>
      <c r="B11" s="101"/>
      <c r="C11" s="118" t="s">
        <v>92</v>
      </c>
      <c r="D11" s="118"/>
      <c r="E11" s="108"/>
    </row>
    <row r="12" spans="1:5" s="100" customFormat="1" ht="32.25" customHeight="1" x14ac:dyDescent="0.3">
      <c r="A12" s="6"/>
      <c r="B12" s="101"/>
      <c r="C12" s="119" t="s">
        <v>93</v>
      </c>
      <c r="D12" s="118"/>
    </row>
    <row r="13" spans="1:5" s="100" customFormat="1" ht="16.5" hidden="1" customHeight="1" x14ac:dyDescent="0.3">
      <c r="A13" s="6"/>
      <c r="B13" s="101"/>
      <c r="C13" s="119"/>
      <c r="D13" s="119"/>
    </row>
    <row r="14" spans="1:5" s="100" customFormat="1" ht="30" customHeight="1" x14ac:dyDescent="0.3">
      <c r="A14" s="6"/>
      <c r="B14" s="101"/>
      <c r="C14" s="118" t="s">
        <v>98</v>
      </c>
      <c r="D14" s="118"/>
    </row>
    <row r="15" spans="1:5" s="100" customFormat="1" ht="33" customHeight="1" x14ac:dyDescent="0.3">
      <c r="A15" s="6"/>
      <c r="B15" s="101"/>
      <c r="C15" s="124" t="s">
        <v>97</v>
      </c>
      <c r="D15" s="124"/>
    </row>
    <row r="16" spans="1:5" hidden="1" x14ac:dyDescent="0.3">
      <c r="B16" s="10"/>
      <c r="C16" s="120"/>
      <c r="D16" s="120"/>
      <c r="E16" s="8"/>
    </row>
    <row r="17" spans="1:5" x14ac:dyDescent="0.3">
      <c r="B17" s="110"/>
      <c r="C17" s="130" t="s">
        <v>79</v>
      </c>
      <c r="D17" s="130"/>
      <c r="E17" s="111"/>
    </row>
    <row r="18" spans="1:5" s="100" customFormat="1" ht="32.25" customHeight="1" x14ac:dyDescent="0.3">
      <c r="A18" s="6"/>
      <c r="B18" s="101"/>
      <c r="C18" s="118" t="s">
        <v>95</v>
      </c>
      <c r="D18" s="118"/>
    </row>
    <row r="19" spans="1:5" s="100" customFormat="1" ht="32.25" customHeight="1" x14ac:dyDescent="0.3">
      <c r="A19" s="6"/>
      <c r="B19" s="101"/>
      <c r="C19" s="118" t="s">
        <v>96</v>
      </c>
      <c r="D19" s="118"/>
    </row>
    <row r="20" spans="1:5" hidden="1" x14ac:dyDescent="0.3">
      <c r="C20" s="131"/>
      <c r="D20" s="131"/>
      <c r="E20" s="9"/>
    </row>
    <row r="21" spans="1:5" ht="18.75" customHeight="1" x14ac:dyDescent="0.3">
      <c r="B21" s="109"/>
      <c r="C21" s="129" t="s">
        <v>88</v>
      </c>
      <c r="D21" s="129"/>
      <c r="E21" s="109"/>
    </row>
    <row r="22" spans="1:5" ht="30" customHeight="1" x14ac:dyDescent="0.3">
      <c r="B22" s="100"/>
      <c r="C22" s="126" t="s">
        <v>89</v>
      </c>
      <c r="D22" s="127"/>
      <c r="E22" s="100"/>
    </row>
    <row r="23" spans="1:5" ht="45" customHeight="1" x14ac:dyDescent="0.3">
      <c r="B23" s="100"/>
      <c r="C23" s="118" t="s">
        <v>94</v>
      </c>
      <c r="D23" s="128"/>
      <c r="E23" s="100"/>
    </row>
    <row r="24" spans="1:5" ht="30" customHeight="1" x14ac:dyDescent="0.3">
      <c r="B24" s="100"/>
      <c r="C24" s="118" t="s">
        <v>87</v>
      </c>
      <c r="D24" s="118"/>
      <c r="E24" s="100"/>
    </row>
    <row r="25" spans="1:5" ht="21" customHeight="1" x14ac:dyDescent="0.3">
      <c r="B25" s="22"/>
      <c r="C25" s="22"/>
      <c r="D25" s="22"/>
      <c r="E25" s="22"/>
    </row>
  </sheetData>
  <sheetProtection sheet="1" objects="1" scenarios="1"/>
  <mergeCells count="18">
    <mergeCell ref="C22:D22"/>
    <mergeCell ref="C23:D23"/>
    <mergeCell ref="C24:D24"/>
    <mergeCell ref="C21:D21"/>
    <mergeCell ref="C14:D14"/>
    <mergeCell ref="C19:D19"/>
    <mergeCell ref="C18:D18"/>
    <mergeCell ref="C17:D17"/>
    <mergeCell ref="C20:D20"/>
    <mergeCell ref="C10:D10"/>
    <mergeCell ref="C12:D12"/>
    <mergeCell ref="C16:D16"/>
    <mergeCell ref="B1:E1"/>
    <mergeCell ref="B3:D3"/>
    <mergeCell ref="C11:D11"/>
    <mergeCell ref="C15:D15"/>
    <mergeCell ref="C9:D9"/>
    <mergeCell ref="C13:D13"/>
  </mergeCells>
  <hyperlinks>
    <hyperlink ref="C15:D15" r:id="rId1" display="For more information, consult MU Extension publication G1274, Economics of Drone Ownership for Agricultural Spray Applications." xr:uid="{48DF55E1-1707-49A2-AE9E-097516DE7D0C}"/>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EDC9-3905-4995-A2E5-75CCBCBD5991}">
  <dimension ref="A1:I47"/>
  <sheetViews>
    <sheetView zoomScale="115" zoomScaleNormal="115" workbookViewId="0">
      <selection activeCell="B6" sqref="B6"/>
    </sheetView>
  </sheetViews>
  <sheetFormatPr defaultColWidth="0" defaultRowHeight="11.25" zeroHeight="1" x14ac:dyDescent="0.25"/>
  <cols>
    <col min="1" max="1" width="50" style="1" customWidth="1"/>
    <col min="2" max="2" width="25.42578125" style="1" customWidth="1"/>
    <col min="3" max="4" width="25.42578125" style="25" customWidth="1"/>
    <col min="5" max="5" width="14.140625" style="25" bestFit="1" customWidth="1"/>
    <col min="6" max="6" width="24" style="25" bestFit="1" customWidth="1"/>
    <col min="7" max="7" width="19.140625" style="25" bestFit="1" customWidth="1"/>
    <col min="8" max="8" width="11.85546875" style="25" bestFit="1" customWidth="1"/>
    <col min="9" max="9" width="19.28515625" style="25" bestFit="1" customWidth="1"/>
    <col min="10" max="16384" width="9.140625" style="25" hidden="1"/>
  </cols>
  <sheetData>
    <row r="1" spans="1:9" s="1" customFormat="1" ht="12" customHeight="1" thickBot="1" x14ac:dyDescent="0.3">
      <c r="A1" s="94" t="s">
        <v>25</v>
      </c>
      <c r="B1" s="5"/>
      <c r="C1" s="25"/>
      <c r="D1" s="41"/>
      <c r="E1" s="49" t="s">
        <v>1</v>
      </c>
      <c r="F1" s="59" t="s">
        <v>2</v>
      </c>
      <c r="G1" s="59" t="s">
        <v>7</v>
      </c>
      <c r="H1" s="49" t="s">
        <v>3</v>
      </c>
      <c r="I1" s="60" t="s">
        <v>4</v>
      </c>
    </row>
    <row r="2" spans="1:9" s="1" customFormat="1" x14ac:dyDescent="0.25">
      <c r="A2" s="30" t="s">
        <v>72</v>
      </c>
      <c r="B2" s="11">
        <v>12.5</v>
      </c>
      <c r="C2" s="25"/>
      <c r="D2" s="54" t="s">
        <v>60</v>
      </c>
      <c r="E2" s="13">
        <v>23000</v>
      </c>
      <c r="F2" s="52">
        <f>Acres_of_lifespan_drone/Applied_acres_per_year</f>
        <v>8</v>
      </c>
      <c r="G2" s="61">
        <f>B26*Model!B4*B4</f>
        <v>1000</v>
      </c>
      <c r="H2" s="16">
        <f>0.3*E2*B4</f>
        <v>6900</v>
      </c>
      <c r="I2" s="17">
        <v>1</v>
      </c>
    </row>
    <row r="3" spans="1:9" s="1" customFormat="1" x14ac:dyDescent="0.25">
      <c r="A3" s="30" t="s">
        <v>0</v>
      </c>
      <c r="B3" s="12">
        <v>0.08</v>
      </c>
      <c r="C3" s="25"/>
      <c r="D3" s="54" t="s">
        <v>8</v>
      </c>
      <c r="E3" s="13">
        <v>7500</v>
      </c>
      <c r="F3" s="15">
        <v>10</v>
      </c>
      <c r="G3" s="16">
        <f>0.05*(E3+H3)/2</f>
        <v>253.125</v>
      </c>
      <c r="H3" s="16">
        <f>0.35*E3</f>
        <v>2625</v>
      </c>
      <c r="I3" s="17">
        <v>1</v>
      </c>
    </row>
    <row r="4" spans="1:9" s="1" customFormat="1" x14ac:dyDescent="0.25">
      <c r="A4" s="30" t="s">
        <v>59</v>
      </c>
      <c r="B4" s="11">
        <v>1</v>
      </c>
      <c r="C4" s="25"/>
      <c r="D4" s="54" t="s">
        <v>9</v>
      </c>
      <c r="E4" s="13">
        <v>9000</v>
      </c>
      <c r="F4" s="15">
        <v>10</v>
      </c>
      <c r="G4" s="16">
        <f>0.05*(E4+H4)/2</f>
        <v>303.75</v>
      </c>
      <c r="H4" s="16">
        <f>0.35*E4</f>
        <v>3150</v>
      </c>
      <c r="I4" s="17">
        <v>0.5</v>
      </c>
    </row>
    <row r="5" spans="1:9" s="1" customFormat="1" x14ac:dyDescent="0.25">
      <c r="A5" s="30" t="s">
        <v>61</v>
      </c>
      <c r="B5" s="11">
        <v>3</v>
      </c>
      <c r="C5" s="25"/>
      <c r="D5" s="54" t="s">
        <v>10</v>
      </c>
      <c r="E5" s="13">
        <v>50000</v>
      </c>
      <c r="F5" s="15">
        <v>10</v>
      </c>
      <c r="G5" s="16">
        <f>I5*0.05*(E5+H5)/2</f>
        <v>406.25</v>
      </c>
      <c r="H5" s="16">
        <f>0.3*E5</f>
        <v>15000</v>
      </c>
      <c r="I5" s="17">
        <v>0.25</v>
      </c>
    </row>
    <row r="6" spans="1:9" s="1" customFormat="1" ht="12" thickBot="1" x14ac:dyDescent="0.3">
      <c r="A6" s="30" t="s">
        <v>51</v>
      </c>
      <c r="B6" s="11">
        <v>8000</v>
      </c>
      <c r="C6" s="25"/>
      <c r="D6" s="55" t="s">
        <v>29</v>
      </c>
      <c r="E6" s="14">
        <v>1000</v>
      </c>
      <c r="F6" s="18">
        <v>10</v>
      </c>
      <c r="G6" s="19">
        <f>I6*0.15*(E6+H6)/2</f>
        <v>97.5</v>
      </c>
      <c r="H6" s="19">
        <f>0.3*E6</f>
        <v>300</v>
      </c>
      <c r="I6" s="20">
        <v>1</v>
      </c>
    </row>
    <row r="7" spans="1:9" ht="12" thickBot="1" x14ac:dyDescent="0.3">
      <c r="A7" s="30" t="s">
        <v>40</v>
      </c>
      <c r="B7" s="11">
        <v>1000</v>
      </c>
      <c r="E7" s="2"/>
      <c r="I7" s="48"/>
    </row>
    <row r="8" spans="1:9" ht="22.5" x14ac:dyDescent="0.25">
      <c r="A8" s="30" t="s">
        <v>42</v>
      </c>
      <c r="B8" s="11">
        <v>6.5</v>
      </c>
      <c r="D8" s="41"/>
      <c r="E8" s="49" t="s">
        <v>1</v>
      </c>
      <c r="F8" s="59" t="s">
        <v>84</v>
      </c>
      <c r="G8" s="50" t="s">
        <v>3</v>
      </c>
    </row>
    <row r="9" spans="1:9" ht="12" thickBot="1" x14ac:dyDescent="0.3">
      <c r="A9" s="30" t="s">
        <v>43</v>
      </c>
      <c r="B9" s="11">
        <v>6.5</v>
      </c>
      <c r="D9" s="55" t="s">
        <v>85</v>
      </c>
      <c r="E9" s="14">
        <v>2500</v>
      </c>
      <c r="F9" s="18">
        <v>5</v>
      </c>
      <c r="G9" s="21">
        <v>500</v>
      </c>
    </row>
    <row r="10" spans="1:9" ht="12" thickBot="1" x14ac:dyDescent="0.3">
      <c r="A10" s="30" t="s">
        <v>41</v>
      </c>
      <c r="B10" s="11">
        <v>1000</v>
      </c>
      <c r="D10" s="96"/>
      <c r="E10" s="69"/>
      <c r="F10" s="52"/>
      <c r="G10" s="62"/>
    </row>
    <row r="11" spans="1:9" x14ac:dyDescent="0.25">
      <c r="A11" s="25" t="s">
        <v>68</v>
      </c>
      <c r="B11" s="3">
        <f>Flights_per_hour*Hours_per_day_applying</f>
        <v>24</v>
      </c>
      <c r="D11" s="23" t="s">
        <v>77</v>
      </c>
      <c r="E11" s="97">
        <f>SUM(E2:E6)+N_of_batteries_included_with_drone*Extra_batteries_price</f>
        <v>98000</v>
      </c>
    </row>
    <row r="12" spans="1:9" ht="12" thickBot="1" x14ac:dyDescent="0.3">
      <c r="A12" s="25" t="s">
        <v>63</v>
      </c>
      <c r="B12" s="11">
        <f>10/60</f>
        <v>0.16666666666666666</v>
      </c>
      <c r="D12" s="55" t="s">
        <v>76</v>
      </c>
      <c r="E12" s="98">
        <f>B4*E2*drone_use_perc+SUMPRODUCT(E3:E6,I3:I6)+N_of_batteries_included_with_drone*Extra_batteries_price</f>
        <v>56000</v>
      </c>
    </row>
    <row r="13" spans="1:9" x14ac:dyDescent="0.25">
      <c r="A13" s="25" t="s">
        <v>64</v>
      </c>
      <c r="B13" s="11">
        <f>5/60</f>
        <v>8.3333333333333329E-2</v>
      </c>
    </row>
    <row r="14" spans="1:9" x14ac:dyDescent="0.25">
      <c r="A14" s="25" t="s">
        <v>65</v>
      </c>
      <c r="B14" s="11">
        <v>0.5</v>
      </c>
    </row>
    <row r="15" spans="1:9" x14ac:dyDescent="0.25">
      <c r="A15" s="25" t="s">
        <v>52</v>
      </c>
      <c r="B15" s="11">
        <v>0.1</v>
      </c>
    </row>
    <row r="16" spans="1:9" x14ac:dyDescent="0.25">
      <c r="A16" s="30" t="s">
        <v>53</v>
      </c>
      <c r="B16" s="11">
        <v>25.3</v>
      </c>
    </row>
    <row r="17" spans="1:3" x14ac:dyDescent="0.25">
      <c r="A17" s="30" t="s">
        <v>22</v>
      </c>
      <c r="B17" s="11">
        <v>3.31</v>
      </c>
    </row>
    <row r="18" spans="1:3" x14ac:dyDescent="0.25">
      <c r="A18" s="25" t="s">
        <v>23</v>
      </c>
      <c r="B18" s="11">
        <v>1.1000000000000001</v>
      </c>
    </row>
    <row r="19" spans="1:3" x14ac:dyDescent="0.25">
      <c r="A19" s="25" t="s">
        <v>71</v>
      </c>
      <c r="B19" s="11">
        <v>12.5</v>
      </c>
    </row>
    <row r="20" spans="1:3" x14ac:dyDescent="0.25">
      <c r="A20" s="25" t="s">
        <v>70</v>
      </c>
      <c r="B20" s="11">
        <v>20</v>
      </c>
    </row>
    <row r="21" spans="1:3" x14ac:dyDescent="0.25">
      <c r="A21" s="25" t="s">
        <v>24</v>
      </c>
      <c r="B21" s="11">
        <v>21</v>
      </c>
    </row>
    <row r="22" spans="1:3" x14ac:dyDescent="0.25">
      <c r="A22" s="25" t="s">
        <v>67</v>
      </c>
      <c r="B22" s="11">
        <v>1</v>
      </c>
    </row>
    <row r="23" spans="1:3" x14ac:dyDescent="0.25">
      <c r="A23" s="25" t="s">
        <v>30</v>
      </c>
      <c r="B23" s="11">
        <v>6</v>
      </c>
    </row>
    <row r="24" spans="1:3" x14ac:dyDescent="0.25">
      <c r="A24" s="25" t="s">
        <v>69</v>
      </c>
      <c r="B24" s="11">
        <v>1</v>
      </c>
    </row>
    <row r="25" spans="1:3" x14ac:dyDescent="0.25">
      <c r="A25" s="25" t="s">
        <v>66</v>
      </c>
      <c r="B25" s="3">
        <f>Time_recharging_battery__hours*B11*Pumping_in_and_mixing__hours+Cleaning_the_drone__hours</f>
        <v>0.83333333333333326</v>
      </c>
    </row>
    <row r="26" spans="1:3" x14ac:dyDescent="0.25">
      <c r="A26" s="25" t="s">
        <v>50</v>
      </c>
      <c r="B26" s="11">
        <v>1</v>
      </c>
    </row>
    <row r="27" spans="1:3" ht="12" thickBot="1" x14ac:dyDescent="0.3">
      <c r="A27" s="43" t="str">
        <f xml:space="preserve"> "Battery: Years of use to achieve " &amp; Charges_of_lifespan__batteries &amp;" charge cycles"</f>
        <v>Battery: Years of use to achieve 1000 charge cycles</v>
      </c>
      <c r="B27" s="4">
        <f>Model!B13</f>
        <v>19.5</v>
      </c>
      <c r="C27" s="95" t="str">
        <f>Model!C13</f>
        <v>Your batteries will be replaced in five years, before reaching 1000 charge cycles, due to degradation.</v>
      </c>
    </row>
    <row r="28" spans="1:3" ht="12" thickBot="1" x14ac:dyDescent="0.3">
      <c r="A28" s="25"/>
    </row>
    <row r="29" spans="1:3" ht="12" thickBot="1" x14ac:dyDescent="0.25">
      <c r="A29" s="112" t="str">
        <f>"Total costs for applying " &amp; Model!B4 &amp; " acres/year under " &amp; Model!B5*100 &amp; "% long term interest rate."</f>
        <v>Total costs for applying 1000 acres/year under 8% long term interest rate.</v>
      </c>
      <c r="B29" s="113"/>
      <c r="C29" s="114"/>
    </row>
    <row r="30" spans="1:3" x14ac:dyDescent="0.25">
      <c r="A30" s="23" t="s">
        <v>32</v>
      </c>
      <c r="B30" s="49" t="s">
        <v>46</v>
      </c>
      <c r="C30" s="50" t="s">
        <v>47</v>
      </c>
    </row>
    <row r="31" spans="1:3" x14ac:dyDescent="0.25">
      <c r="A31" s="51" t="s">
        <v>12</v>
      </c>
      <c r="B31" s="52">
        <f>Model!B16</f>
        <v>0.1452613412228797</v>
      </c>
      <c r="C31" s="115">
        <f>Model!C16</f>
        <v>145.26134122287971</v>
      </c>
    </row>
    <row r="32" spans="1:3" x14ac:dyDescent="0.25">
      <c r="A32" s="51" t="s">
        <v>13</v>
      </c>
      <c r="B32" s="52">
        <f>Model!B17</f>
        <v>1.0544871794871795</v>
      </c>
      <c r="C32" s="115">
        <f>Model!C17</f>
        <v>1054.4871794871794</v>
      </c>
    </row>
    <row r="33" spans="1:7" x14ac:dyDescent="0.25">
      <c r="A33" s="51" t="s">
        <v>31</v>
      </c>
      <c r="B33" s="52">
        <f>Model!B18</f>
        <v>1.6217948717948721E-2</v>
      </c>
      <c r="C33" s="115">
        <f>Model!C18</f>
        <v>16.217948717948719</v>
      </c>
    </row>
    <row r="34" spans="1:7" x14ac:dyDescent="0.25">
      <c r="A34" s="51" t="s">
        <v>36</v>
      </c>
      <c r="B34" s="52">
        <f>Model!B19</f>
        <v>2.0606249999999999</v>
      </c>
      <c r="C34" s="115">
        <f>Model!C19</f>
        <v>2060.625</v>
      </c>
    </row>
    <row r="35" spans="1:7" x14ac:dyDescent="0.25">
      <c r="A35" s="51" t="s">
        <v>33</v>
      </c>
      <c r="B35" s="52">
        <f>Model!B20</f>
        <v>9.7277317554240628E-2</v>
      </c>
      <c r="C35" s="115">
        <f>Model!C20</f>
        <v>97.277317554240625</v>
      </c>
    </row>
    <row r="36" spans="1:7" x14ac:dyDescent="0.25">
      <c r="A36" s="54" t="s">
        <v>14</v>
      </c>
      <c r="B36" s="52">
        <f>Model!B21</f>
        <v>3.3738687869822486</v>
      </c>
      <c r="C36" s="115">
        <f>Model!C21</f>
        <v>3373.8687869822484</v>
      </c>
      <c r="D36" s="69"/>
      <c r="E36" s="69"/>
      <c r="F36" s="69"/>
      <c r="G36" s="69"/>
    </row>
    <row r="37" spans="1:7" x14ac:dyDescent="0.25">
      <c r="A37" s="51" t="s">
        <v>45</v>
      </c>
      <c r="B37" s="52">
        <f>Model!B22</f>
        <v>6.584396325552885</v>
      </c>
      <c r="C37" s="115">
        <f>Model!C22</f>
        <v>6584.3963255528852</v>
      </c>
    </row>
    <row r="38" spans="1:7" x14ac:dyDescent="0.25">
      <c r="A38" s="51" t="s">
        <v>49</v>
      </c>
      <c r="B38" s="52">
        <f>Model!B23</f>
        <v>1.7209297093218343</v>
      </c>
      <c r="C38" s="115">
        <f>Model!C23</f>
        <v>1720.9297093218343</v>
      </c>
      <c r="F38" s="48"/>
    </row>
    <row r="39" spans="1:7" x14ac:dyDescent="0.25">
      <c r="A39" s="51" t="s">
        <v>35</v>
      </c>
      <c r="B39" s="52">
        <f>Model!B24</f>
        <v>0.59237499999999998</v>
      </c>
      <c r="C39" s="115">
        <f>Model!C24</f>
        <v>592.375</v>
      </c>
      <c r="F39" s="48"/>
    </row>
    <row r="40" spans="1:7" x14ac:dyDescent="0.25">
      <c r="A40" s="54" t="s">
        <v>15</v>
      </c>
      <c r="B40" s="52">
        <f>Model!B25</f>
        <v>8.8977010348747196</v>
      </c>
      <c r="C40" s="115">
        <f>Model!C25</f>
        <v>8897.701034874719</v>
      </c>
      <c r="F40" s="48"/>
    </row>
    <row r="41" spans="1:7" ht="12" thickBot="1" x14ac:dyDescent="0.3">
      <c r="A41" s="55" t="s">
        <v>16</v>
      </c>
      <c r="B41" s="56">
        <f>Model!B26</f>
        <v>12.271569821856968</v>
      </c>
      <c r="C41" s="116">
        <f>Model!C26</f>
        <v>12271.569821856967</v>
      </c>
    </row>
    <row r="42" spans="1:7" x14ac:dyDescent="0.25">
      <c r="A42" s="54"/>
      <c r="B42" s="52"/>
      <c r="C42" s="52"/>
    </row>
    <row r="43" spans="1:7" x14ac:dyDescent="0.25">
      <c r="A43" s="30" t="s">
        <v>27</v>
      </c>
      <c r="B43" s="25"/>
    </row>
    <row r="44" spans="1:7" ht="12" thickBot="1" x14ac:dyDescent="0.3">
      <c r="A44" s="25"/>
      <c r="B44" s="25"/>
    </row>
    <row r="45" spans="1:7" x14ac:dyDescent="0.25">
      <c r="A45" s="23" t="s">
        <v>73</v>
      </c>
      <c r="B45" s="117" cm="1">
        <f t="array" ref="B45">INDEX(Model!K3:K148, MATCH(MIN(ABS(Model!Z3:Z148 - 'Inputs and summary'!B2)), ABS(Model!Z3:Z148 - 'Inputs and summary'!B2), 0))</f>
        <v>980</v>
      </c>
    </row>
    <row r="46" spans="1:7" x14ac:dyDescent="0.25">
      <c r="A46" s="54" t="s">
        <v>74</v>
      </c>
      <c r="B46" s="45" cm="1">
        <f t="array" ref="B46">INDEX(Model!J3:J148, MATCH(MIN(ABS(Model!Z3:Z148 - 'Inputs and summary'!B2)), ABS(Model!Z3:Z148 - 'Inputs and summary'!B2), 0))</f>
        <v>37.692307692307693</v>
      </c>
    </row>
    <row r="47" spans="1:7" ht="12" thickBot="1" x14ac:dyDescent="0.3">
      <c r="A47" s="55" t="str">
        <f>"Total costs for applying " &amp; B45 &amp; " acres/year under " &amp; B3*100 &amp; "% long term interest rate ($/acre)"</f>
        <v>Total costs for applying 980 acres/year under 8% long term interest rate ($/acre)</v>
      </c>
      <c r="B47" s="46" cm="1">
        <f t="array" ref="B47">INDEX(Model!L3:X148, MATCH(MIN(ABS(Model!Z3:Z148 - 'Inputs and summary'!B2)), ABS(Model!Z3:Z148 - 'Inputs and summary'!B2), 0), MATCH(TRUE, ISNUMBER(SEARCH(B3, Model!L2:X2)), 0))</f>
        <v>12.433457708246818</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8928-8657-4B8D-BE06-C8400B891736}">
  <dimension ref="A1:XFD148"/>
  <sheetViews>
    <sheetView topLeftCell="B1" zoomScale="85" zoomScaleNormal="85" workbookViewId="0">
      <pane xSplit="2" ySplit="2" topLeftCell="D3" activePane="bottomRight" state="frozen"/>
      <selection activeCell="B1" sqref="B1"/>
      <selection pane="topRight" activeCell="D1" sqref="D1"/>
      <selection pane="bottomLeft" activeCell="B3" sqref="B3"/>
      <selection pane="bottomRight" activeCell="B1" sqref="B1:B2"/>
    </sheetView>
  </sheetViews>
  <sheetFormatPr defaultColWidth="0" defaultRowHeight="15" zeroHeight="1" x14ac:dyDescent="0.25"/>
  <cols>
    <col min="1" max="1" width="9.140625" hidden="1" customWidth="1"/>
    <col min="2" max="2" width="30.7109375" bestFit="1" customWidth="1"/>
    <col min="3" max="3" width="22.7109375" bestFit="1" customWidth="1"/>
    <col min="4" max="9" width="11.5703125" bestFit="1" customWidth="1"/>
    <col min="10" max="16" width="12.5703125" bestFit="1" customWidth="1"/>
    <col min="17" max="18" width="9.140625" hidden="1" customWidth="1"/>
    <col min="19" max="16383" width="9.140625" hidden="1"/>
    <col min="16384" max="16384" width="3.28515625" hidden="1" customWidth="1"/>
  </cols>
  <sheetData>
    <row r="1" spans="2:16 16384:16384" x14ac:dyDescent="0.25">
      <c r="B1" s="137" t="str">
        <f>Model!J1</f>
        <v>Hours of application/year</v>
      </c>
      <c r="C1" s="135" t="s">
        <v>57</v>
      </c>
      <c r="D1" s="132" t="s">
        <v>48</v>
      </c>
      <c r="E1" s="133"/>
      <c r="F1" s="133"/>
      <c r="G1" s="133"/>
      <c r="H1" s="133"/>
      <c r="I1" s="133"/>
      <c r="J1" s="133"/>
      <c r="K1" s="133"/>
      <c r="L1" s="133"/>
      <c r="M1" s="133"/>
      <c r="N1" s="133"/>
      <c r="O1" s="133"/>
      <c r="P1" s="134"/>
    </row>
    <row r="2" spans="2:16 16384:16384" ht="15.75" thickBot="1" x14ac:dyDescent="0.3">
      <c r="B2" s="138"/>
      <c r="C2" s="136"/>
      <c r="D2" s="80">
        <f>Model!L2</f>
        <v>0.03</v>
      </c>
      <c r="E2" s="81">
        <f>Model!M2</f>
        <v>3.5000000000000003E-2</v>
      </c>
      <c r="F2" s="81">
        <f>Model!N2</f>
        <v>0.04</v>
      </c>
      <c r="G2" s="81">
        <f>Model!O2</f>
        <v>4.4999999999999998E-2</v>
      </c>
      <c r="H2" s="81">
        <f>Model!P2</f>
        <v>0.05</v>
      </c>
      <c r="I2" s="81">
        <f>Model!Q2</f>
        <v>5.5E-2</v>
      </c>
      <c r="J2" s="81">
        <f>Model!R2</f>
        <v>0.06</v>
      </c>
      <c r="K2" s="81">
        <f>Model!S2</f>
        <v>6.5000000000000002E-2</v>
      </c>
      <c r="L2" s="81">
        <f>Model!T2</f>
        <v>7.0000000000000007E-2</v>
      </c>
      <c r="M2" s="81">
        <f>Model!U2</f>
        <v>7.4999999999999997E-2</v>
      </c>
      <c r="N2" s="81">
        <f>Model!V2</f>
        <v>0.08</v>
      </c>
      <c r="O2" s="81">
        <f>Model!W2</f>
        <v>8.5000000000000006E-2</v>
      </c>
      <c r="P2" s="82">
        <f>Model!X2</f>
        <v>9.0000000000000094E-2</v>
      </c>
    </row>
    <row r="3" spans="2:16 16384:16384" x14ac:dyDescent="0.25">
      <c r="B3" s="83">
        <f>Model!J3</f>
        <v>3.8461538461538463</v>
      </c>
      <c r="C3" s="84">
        <f>Model!K3</f>
        <v>100</v>
      </c>
      <c r="D3" s="85">
        <f>Model!L3</f>
        <v>61.272992626319557</v>
      </c>
      <c r="E3" s="86">
        <f>Model!M3</f>
        <v>63.716616627927621</v>
      </c>
      <c r="F3" s="86">
        <f>Model!N3</f>
        <v>66.194087435910987</v>
      </c>
      <c r="G3" s="86">
        <f>Model!O3</f>
        <v>68.700710432081777</v>
      </c>
      <c r="H3" s="86">
        <f>Model!P3</f>
        <v>71.232351552755787</v>
      </c>
      <c r="I3" s="86">
        <f>Model!Q3</f>
        <v>73.78547683433105</v>
      </c>
      <c r="J3" s="86">
        <f>Model!R3</f>
        <v>76.357137593716487</v>
      </c>
      <c r="K3" s="86">
        <f>Model!S3</f>
        <v>78.944921112247286</v>
      </c>
      <c r="L3" s="86">
        <f>Model!T3</f>
        <v>81.546883395927111</v>
      </c>
      <c r="M3" s="86">
        <f>Model!U3</f>
        <v>84.161476210363645</v>
      </c>
      <c r="N3" s="86">
        <f>Model!V3</f>
        <v>86.787476375188973</v>
      </c>
      <c r="O3" s="86">
        <f>Model!W3</f>
        <v>89.423921861742059</v>
      </c>
      <c r="P3" s="87">
        <f>Model!X3</f>
        <v>92.070056737836651</v>
      </c>
      <c r="XFD3">
        <v>0</v>
      </c>
    </row>
    <row r="4" spans="2:16 16384:16384" x14ac:dyDescent="0.25">
      <c r="B4" s="83">
        <f>Model!J4</f>
        <v>4.615384615384615</v>
      </c>
      <c r="C4" s="88">
        <f>Model!K4</f>
        <v>120</v>
      </c>
      <c r="D4" s="85">
        <f>Model!L4</f>
        <v>51.670576153366142</v>
      </c>
      <c r="E4" s="86">
        <f>Model!M4</f>
        <v>53.68072634254105</v>
      </c>
      <c r="F4" s="86">
        <f>Model!N4</f>
        <v>55.719581740333894</v>
      </c>
      <c r="G4" s="86">
        <f>Model!O4</f>
        <v>57.784107889341627</v>
      </c>
      <c r="H4" s="86">
        <f>Model!P4</f>
        <v>59.871462618630531</v>
      </c>
      <c r="I4" s="86">
        <f>Model!Q4</f>
        <v>61.979053815938812</v>
      </c>
      <c r="J4" s="86">
        <f>Model!R4</f>
        <v>64.104569672490427</v>
      </c>
      <c r="K4" s="86">
        <f>Model!S4</f>
        <v>66.245986657817866</v>
      </c>
      <c r="L4" s="86">
        <f>Model!T4</f>
        <v>68.401561015446902</v>
      </c>
      <c r="M4" s="86">
        <f>Model!U4</f>
        <v>70.569809235249167</v>
      </c>
      <c r="N4" s="86">
        <f>Model!V4</f>
        <v>72.749482126724871</v>
      </c>
      <c r="O4" s="86">
        <f>Model!W4</f>
        <v>74.939536091726126</v>
      </c>
      <c r="P4" s="87">
        <f>Model!X4</f>
        <v>77.139104181847856</v>
      </c>
      <c r="XFD4">
        <v>1</v>
      </c>
    </row>
    <row r="5" spans="2:16 16384:16384" x14ac:dyDescent="0.25">
      <c r="B5" s="83">
        <f>Model!J5</f>
        <v>5.384615384615385</v>
      </c>
      <c r="C5" s="88">
        <f>Model!K5</f>
        <v>140</v>
      </c>
      <c r="D5" s="85">
        <f>Model!L5</f>
        <v>44.833649725333281</v>
      </c>
      <c r="E5" s="86">
        <f>Model!M5</f>
        <v>46.53837393016471</v>
      </c>
      <c r="F5" s="86">
        <f>Model!N5</f>
        <v>48.267231090558603</v>
      </c>
      <c r="G5" s="86">
        <f>Model!O5</f>
        <v>50.018230201914385</v>
      </c>
      <c r="H5" s="86">
        <f>Model!P5</f>
        <v>51.789431376457713</v>
      </c>
      <c r="I5" s="86">
        <f>Model!Q5</f>
        <v>53.578988888551123</v>
      </c>
      <c r="J5" s="86">
        <f>Model!R5</f>
        <v>55.385181751545531</v>
      </c>
      <c r="K5" s="86">
        <f>Model!S5</f>
        <v>57.206432797448457</v>
      </c>
      <c r="L5" s="86">
        <f>Model!T5</f>
        <v>59.041317877352313</v>
      </c>
      <c r="M5" s="86">
        <f>Model!U5</f>
        <v>60.888567106573689</v>
      </c>
      <c r="N5" s="86">
        <f>Model!V5</f>
        <v>62.747060115878767</v>
      </c>
      <c r="O5" s="86">
        <f>Model!W5</f>
        <v>64.61581712262101</v>
      </c>
      <c r="P5" s="87">
        <f>Model!X5</f>
        <v>66.493987380867381</v>
      </c>
      <c r="XFD5">
        <v>0</v>
      </c>
    </row>
    <row r="6" spans="2:16 16384:16384" x14ac:dyDescent="0.25">
      <c r="B6" s="83">
        <f>Model!J6</f>
        <v>6.1538461538461542</v>
      </c>
      <c r="C6" s="88">
        <f>Model!K6</f>
        <v>160</v>
      </c>
      <c r="D6" s="85">
        <f>Model!L6</f>
        <v>39.719258404612113</v>
      </c>
      <c r="E6" s="86">
        <f>Model!M6</f>
        <v>41.197994982366772</v>
      </c>
      <c r="F6" s="86">
        <f>Model!N6</f>
        <v>42.69710414481284</v>
      </c>
      <c r="G6" s="86">
        <f>Model!O6</f>
        <v>44.215240772839849</v>
      </c>
      <c r="H6" s="86">
        <f>Model!P6</f>
        <v>45.751059663273033</v>
      </c>
      <c r="I6" s="86">
        <f>Model!Q6</f>
        <v>47.303243799751343</v>
      </c>
      <c r="J6" s="86">
        <f>Model!R6</f>
        <v>48.870527048704368</v>
      </c>
      <c r="K6" s="86">
        <f>Model!S6</f>
        <v>50.451711228637599</v>
      </c>
      <c r="L6" s="86">
        <f>Model!T6</f>
        <v>52.045677869797743</v>
      </c>
      <c r="M6" s="86">
        <f>Model!U6</f>
        <v>53.651395235545372</v>
      </c>
      <c r="N6" s="86">
        <f>Model!V6</f>
        <v>55.267921322909707</v>
      </c>
      <c r="O6" s="86">
        <f>Model!W6</f>
        <v>56.894403614663695</v>
      </c>
      <c r="P6" s="87">
        <f>Model!X6</f>
        <v>58.530076340386572</v>
      </c>
      <c r="XFD6">
        <v>1</v>
      </c>
    </row>
    <row r="7" spans="2:16 16384:16384" x14ac:dyDescent="0.25">
      <c r="B7" s="83">
        <f>Model!J7</f>
        <v>6.9230769230769234</v>
      </c>
      <c r="C7" s="88">
        <f>Model!K7</f>
        <v>180</v>
      </c>
      <c r="D7" s="85">
        <f>Model!L7</f>
        <v>35.749828390100724</v>
      </c>
      <c r="E7" s="86">
        <f>Model!M7</f>
        <v>37.054982431269863</v>
      </c>
      <c r="F7" s="86">
        <f>Model!N7</f>
        <v>38.377488187182792</v>
      </c>
      <c r="G7" s="86">
        <f>Model!O7</f>
        <v>39.716406942186644</v>
      </c>
      <c r="H7" s="86">
        <f>Model!P7</f>
        <v>41.070783273023366</v>
      </c>
      <c r="I7" s="86">
        <f>Model!Q7</f>
        <v>42.439663134088015</v>
      </c>
      <c r="J7" s="86">
        <f>Model!R7</f>
        <v>43.822109404748929</v>
      </c>
      <c r="K7" s="86">
        <f>Model!S7</f>
        <v>45.217214685431472</v>
      </c>
      <c r="L7" s="86">
        <f>Model!T7</f>
        <v>46.624111313462862</v>
      </c>
      <c r="M7" s="86">
        <f>Model!U7</f>
        <v>48.041978717377546</v>
      </c>
      <c r="N7" s="86">
        <f>Model!V7</f>
        <v>49.47004833614686</v>
      </c>
      <c r="O7" s="86">
        <f>Model!W7</f>
        <v>50.907606398978473</v>
      </c>
      <c r="P7" s="87">
        <f>Model!X7</f>
        <v>52.353994896445101</v>
      </c>
      <c r="XFD7">
        <v>0</v>
      </c>
    </row>
    <row r="8" spans="2:16 16384:16384" x14ac:dyDescent="0.25">
      <c r="B8" s="83">
        <f>Model!J8</f>
        <v>7.6923076923076925</v>
      </c>
      <c r="C8" s="88">
        <f>Model!K8</f>
        <v>200</v>
      </c>
      <c r="D8" s="85">
        <f>Model!L8</f>
        <v>32.579844934019242</v>
      </c>
      <c r="E8" s="86">
        <f>Model!M8</f>
        <v>33.747683646807431</v>
      </c>
      <c r="F8" s="86">
        <f>Model!N8</f>
        <v>34.930454095919188</v>
      </c>
      <c r="G8" s="86">
        <f>Model!O8</f>
        <v>36.127480171116105</v>
      </c>
      <c r="H8" s="86">
        <f>Model!P8</f>
        <v>37.338065456462338</v>
      </c>
      <c r="I8" s="86">
        <f>Model!Q8</f>
        <v>38.561504870478821</v>
      </c>
      <c r="J8" s="86">
        <f>Model!R8</f>
        <v>39.797095119000389</v>
      </c>
      <c r="K8" s="86">
        <f>Model!S8</f>
        <v>41.044143777754982</v>
      </c>
      <c r="L8" s="86">
        <f>Model!T8</f>
        <v>42.301976911683006</v>
      </c>
      <c r="M8" s="86">
        <f>Model!U8</f>
        <v>43.569945216760424</v>
      </c>
      <c r="N8" s="86">
        <f>Model!V8</f>
        <v>44.847428734511283</v>
      </c>
      <c r="O8" s="86">
        <f>Model!W8</f>
        <v>46.13384023831248</v>
      </c>
      <c r="P8" s="87">
        <f>Model!X8</f>
        <v>47.428627424293268</v>
      </c>
      <c r="XFD8">
        <v>1</v>
      </c>
    </row>
    <row r="9" spans="2:16 16384:16384" x14ac:dyDescent="0.25">
      <c r="B9" s="83">
        <f>Model!J9</f>
        <v>8.4615384615384617</v>
      </c>
      <c r="C9" s="88">
        <f>Model!K9</f>
        <v>220</v>
      </c>
      <c r="D9" s="85">
        <f>Model!L9</f>
        <v>29.990021334991557</v>
      </c>
      <c r="E9" s="86">
        <f>Model!M9</f>
        <v>31.046625239216784</v>
      </c>
      <c r="F9" s="86">
        <f>Model!N9</f>
        <v>32.116211266115528</v>
      </c>
      <c r="G9" s="86">
        <f>Model!O9</f>
        <v>33.198277975671175</v>
      </c>
      <c r="H9" s="86">
        <f>Model!P9</f>
        <v>34.292304676892087</v>
      </c>
      <c r="I9" s="86">
        <f>Model!Q9</f>
        <v>35.397759057294046</v>
      </c>
      <c r="J9" s="86">
        <f>Model!R9</f>
        <v>36.514104241108974</v>
      </c>
      <c r="K9" s="86">
        <f>Model!S9</f>
        <v>37.640805147520723</v>
      </c>
      <c r="L9" s="86">
        <f>Model!T9</f>
        <v>38.777334064781982</v>
      </c>
      <c r="M9" s="86">
        <f>Model!U9</f>
        <v>39.923175397414454</v>
      </c>
      <c r="N9" s="86">
        <f>Model!V9</f>
        <v>41.077829579998024</v>
      </c>
      <c r="O9" s="86">
        <f>Model!W9</f>
        <v>42.240816181226513</v>
      </c>
      <c r="P9" s="87">
        <f>Model!X9</f>
        <v>43.411676245478667</v>
      </c>
      <c r="XFD9">
        <v>0</v>
      </c>
    </row>
    <row r="10" spans="2:16 16384:16384" x14ac:dyDescent="0.25">
      <c r="B10" s="83">
        <f>Model!J10</f>
        <v>9.2307692307692299</v>
      </c>
      <c r="C10" s="88">
        <f>Model!K10</f>
        <v>240</v>
      </c>
      <c r="D10" s="85">
        <f>Model!L10</f>
        <v>27.834511250902352</v>
      </c>
      <c r="E10" s="86">
        <f>Model!M10</f>
        <v>28.799233222504878</v>
      </c>
      <c r="F10" s="86">
        <f>Model!N10</f>
        <v>29.775352318945739</v>
      </c>
      <c r="G10" s="86">
        <f>Model!O10</f>
        <v>30.762486613870163</v>
      </c>
      <c r="H10" s="86">
        <f>Model!P10</f>
        <v>31.760237390288815</v>
      </c>
      <c r="I10" s="86">
        <f>Model!Q10</f>
        <v>32.768194255223555</v>
      </c>
      <c r="J10" s="86">
        <f>Model!R10</f>
        <v>33.785939972403277</v>
      </c>
      <c r="K10" s="86">
        <f>Model!S10</f>
        <v>34.813054927607794</v>
      </c>
      <c r="L10" s="86">
        <f>Model!T10</f>
        <v>35.849121163937319</v>
      </c>
      <c r="M10" s="86">
        <f>Model!U10</f>
        <v>36.893725946247343</v>
      </c>
      <c r="N10" s="86">
        <f>Model!V10</f>
        <v>37.94646483423157</v>
      </c>
      <c r="O10" s="86">
        <f>Model!W10</f>
        <v>39.006944261471894</v>
      </c>
      <c r="P10" s="87">
        <f>Model!X10</f>
        <v>40.074783632764401</v>
      </c>
      <c r="XFD10">
        <v>1</v>
      </c>
    </row>
    <row r="11" spans="2:16 16384:16384" x14ac:dyDescent="0.25">
      <c r="B11" s="83">
        <f>Model!J11</f>
        <v>10</v>
      </c>
      <c r="C11" s="88">
        <f>Model!K11</f>
        <v>260</v>
      </c>
      <c r="D11" s="85">
        <f>Model!L11</f>
        <v>26.012553855360721</v>
      </c>
      <c r="E11" s="86">
        <f>Model!M11</f>
        <v>26.900134296996121</v>
      </c>
      <c r="F11" s="86">
        <f>Model!N11</f>
        <v>27.797810027696023</v>
      </c>
      <c r="G11" s="86">
        <f>Model!O11</f>
        <v>28.705283091477128</v>
      </c>
      <c r="H11" s="86">
        <f>Model!P11</f>
        <v>29.62224137881331</v>
      </c>
      <c r="I11" s="86">
        <f>Model!Q11</f>
        <v>30.548362137113759</v>
      </c>
      <c r="J11" s="86">
        <f>Model!R11</f>
        <v>31.483315339070131</v>
      </c>
      <c r="K11" s="86">
        <f>Model!S11</f>
        <v>32.426766853027473</v>
      </c>
      <c r="L11" s="86">
        <f>Model!T11</f>
        <v>33.378381371471406</v>
      </c>
      <c r="M11" s="86">
        <f>Model!U11</f>
        <v>34.337825065658798</v>
      </c>
      <c r="N11" s="86">
        <f>Model!V11</f>
        <v>35.30476794581574</v>
      </c>
      <c r="O11" s="86">
        <f>Model!W11</f>
        <v>36.27888591679239</v>
      </c>
      <c r="P11" s="87">
        <f>Model!X11</f>
        <v>37.259862528298783</v>
      </c>
      <c r="XFD11">
        <v>0</v>
      </c>
    </row>
    <row r="12" spans="2:16 16384:16384" x14ac:dyDescent="0.25">
      <c r="B12" s="83">
        <f>Model!J12</f>
        <v>10.76923076923077</v>
      </c>
      <c r="C12" s="88">
        <f>Model!K12</f>
        <v>280</v>
      </c>
      <c r="D12" s="85">
        <f>Model!L12</f>
        <v>24.452308859365587</v>
      </c>
      <c r="E12" s="86">
        <f>Model!M12</f>
        <v>25.274224968146228</v>
      </c>
      <c r="F12" s="86">
        <f>Model!N12</f>
        <v>26.105155974817546</v>
      </c>
      <c r="G12" s="86">
        <f>Model!O12</f>
        <v>26.944864377275024</v>
      </c>
      <c r="H12" s="86">
        <f>Model!P12</f>
        <v>27.793100906249094</v>
      </c>
      <c r="I12" s="86">
        <f>Model!Q12</f>
        <v>28.649606991103894</v>
      </c>
      <c r="J12" s="86">
        <f>Model!R12</f>
        <v>29.514117152825751</v>
      </c>
      <c r="K12" s="86">
        <f>Model!S12</f>
        <v>30.386361287578108</v>
      </c>
      <c r="L12" s="86">
        <f>Model!T12</f>
        <v>31.266066810706846</v>
      </c>
      <c r="M12" s="86">
        <f>Model!U12</f>
        <v>32.152960637748436</v>
      </c>
      <c r="N12" s="86">
        <f>Model!V12</f>
        <v>33.046770985530962</v>
      </c>
      <c r="O12" s="86">
        <f>Model!W12</f>
        <v>33.947228982650167</v>
      </c>
      <c r="P12" s="87">
        <f>Model!X12</f>
        <v>34.854070084259952</v>
      </c>
      <c r="XFD12">
        <v>1</v>
      </c>
    </row>
    <row r="13" spans="2:16 16384:16384" x14ac:dyDescent="0.25">
      <c r="B13" s="83">
        <f>Model!J13</f>
        <v>11.538461538461538</v>
      </c>
      <c r="C13" s="88">
        <f>Model!K13</f>
        <v>300</v>
      </c>
      <c r="D13" s="85">
        <f>Model!L13</f>
        <v>23.101178610606652</v>
      </c>
      <c r="E13" s="86">
        <f>Model!M13</f>
        <v>23.866536426719314</v>
      </c>
      <c r="F13" s="86">
        <f>Model!N13</f>
        <v>24.640003526236292</v>
      </c>
      <c r="G13" s="86">
        <f>Model!O13</f>
        <v>25.421386910021575</v>
      </c>
      <c r="H13" s="86">
        <f>Model!P13</f>
        <v>26.210483835421737</v>
      </c>
      <c r="I13" s="86">
        <f>Model!Q13</f>
        <v>27.007083586885262</v>
      </c>
      <c r="J13" s="86">
        <f>Model!R13</f>
        <v>27.810969208889606</v>
      </c>
      <c r="K13" s="86">
        <f>Model!S13</f>
        <v>28.621919176899585</v>
      </c>
      <c r="L13" s="86">
        <f>Model!T13</f>
        <v>29.439708985753267</v>
      </c>
      <c r="M13" s="86">
        <f>Model!U13</f>
        <v>30.264112638708763</v>
      </c>
      <c r="N13" s="86">
        <f>Model!V13</f>
        <v>31.094904024223649</v>
      </c>
      <c r="O13" s="86">
        <f>Model!W13</f>
        <v>31.931858171259957</v>
      </c>
      <c r="P13" s="87">
        <f>Model!X13</f>
        <v>32.774752377398556</v>
      </c>
      <c r="XFD13">
        <v>0</v>
      </c>
    </row>
    <row r="14" spans="2:16 16384:16384" x14ac:dyDescent="0.25">
      <c r="B14" s="83">
        <f>Model!J14</f>
        <v>12.307692307692308</v>
      </c>
      <c r="C14" s="88">
        <f>Model!K14</f>
        <v>320</v>
      </c>
      <c r="D14" s="85">
        <f>Model!L14</f>
        <v>21.919771506620798</v>
      </c>
      <c r="E14" s="86">
        <f>Model!M14</f>
        <v>22.63591403316358</v>
      </c>
      <c r="F14" s="86">
        <f>Model!N14</f>
        <v>23.359399554084924</v>
      </c>
      <c r="G14" s="86">
        <f>Model!O14</f>
        <v>24.090068501556523</v>
      </c>
      <c r="H14" s="86">
        <f>Model!P14</f>
        <v>24.82775323182759</v>
      </c>
      <c r="I14" s="86">
        <f>Model!Q14</f>
        <v>25.572279323302311</v>
      </c>
      <c r="J14" s="86">
        <f>Model!R14</f>
        <v>26.323466855018921</v>
      </c>
      <c r="K14" s="86">
        <f>Model!S14</f>
        <v>27.081131649207354</v>
      </c>
      <c r="L14" s="86">
        <f>Model!T14</f>
        <v>27.845086463746085</v>
      </c>
      <c r="M14" s="86">
        <f>Model!U14</f>
        <v>28.615142122613978</v>
      </c>
      <c r="N14" s="86">
        <f>Model!V14</f>
        <v>29.391108574741839</v>
      </c>
      <c r="O14" s="86">
        <f>Model!W14</f>
        <v>30.17279587395014</v>
      </c>
      <c r="P14" s="87">
        <f>Model!X14</f>
        <v>30.960015074841188</v>
      </c>
      <c r="XFD14">
        <v>1</v>
      </c>
    </row>
    <row r="15" spans="2:16 16384:16384" x14ac:dyDescent="0.25">
      <c r="B15" s="83">
        <f>Model!J15</f>
        <v>13.076923076923077</v>
      </c>
      <c r="C15" s="88">
        <f>Model!K15</f>
        <v>340</v>
      </c>
      <c r="D15" s="85">
        <f>Model!L15</f>
        <v>20.878003115141478</v>
      </c>
      <c r="E15" s="86">
        <f>Model!M15</f>
        <v>21.550936026313376</v>
      </c>
      <c r="F15" s="86">
        <f>Model!N15</f>
        <v>22.230557828395128</v>
      </c>
      <c r="G15" s="86">
        <f>Model!O15</f>
        <v>22.916734535059462</v>
      </c>
      <c r="H15" s="86">
        <f>Model!P15</f>
        <v>23.609325441256633</v>
      </c>
      <c r="I15" s="86">
        <f>Model!Q15</f>
        <v>24.308184093487665</v>
      </c>
      <c r="J15" s="86">
        <f>Model!R15</f>
        <v>25.013159249909855</v>
      </c>
      <c r="K15" s="86">
        <f>Model!S15</f>
        <v>25.724095819125775</v>
      </c>
      <c r="L15" s="86">
        <f>Model!T15</f>
        <v>26.440835767799186</v>
      </c>
      <c r="M15" s="86">
        <f>Model!U15</f>
        <v>27.163218988630234</v>
      </c>
      <c r="N15" s="86">
        <f>Model!V15</f>
        <v>27.891084121646372</v>
      </c>
      <c r="O15" s="86">
        <f>Model!W15</f>
        <v>28.624269323194632</v>
      </c>
      <c r="P15" s="87">
        <f>Model!X15</f>
        <v>29.362612978407384</v>
      </c>
      <c r="XFD15">
        <v>0</v>
      </c>
    </row>
    <row r="16" spans="2:16 16384:16384" x14ac:dyDescent="0.25">
      <c r="B16" s="83">
        <f>Model!J16</f>
        <v>13.846153846153847</v>
      </c>
      <c r="C16" s="88">
        <f>Model!K16</f>
        <v>360</v>
      </c>
      <c r="D16" s="85">
        <f>Model!L16</f>
        <v>19.952501260582569</v>
      </c>
      <c r="E16" s="86">
        <f>Model!M16</f>
        <v>20.587197901982712</v>
      </c>
      <c r="F16" s="86">
        <f>Model!N16</f>
        <v>21.228020548469114</v>
      </c>
      <c r="G16" s="86">
        <f>Model!O16</f>
        <v>21.874855120200213</v>
      </c>
      <c r="H16" s="86">
        <f>Model!P16</f>
        <v>22.527581918519012</v>
      </c>
      <c r="I16" s="86">
        <f>Model!Q16</f>
        <v>23.186076364424025</v>
      </c>
      <c r="J16" s="86">
        <f>Model!R16</f>
        <v>23.850209731813738</v>
      </c>
      <c r="K16" s="86">
        <f>Model!S16</f>
        <v>24.519849867766656</v>
      </c>
      <c r="L16" s="86">
        <f>Model!T16</f>
        <v>25.194861892922297</v>
      </c>
      <c r="M16" s="86">
        <f>Model!U16</f>
        <v>25.875108875900423</v>
      </c>
      <c r="N16" s="86">
        <f>Model!V16</f>
        <v>26.560452476596282</v>
      </c>
      <c r="O16" s="86">
        <f>Model!W16</f>
        <v>27.250753554104499</v>
      </c>
      <c r="P16" s="87">
        <f>Model!X16</f>
        <v>27.945872735921462</v>
      </c>
      <c r="XFD16">
        <v>1</v>
      </c>
    </row>
    <row r="17" spans="2:16 16384:16384" x14ac:dyDescent="0.25">
      <c r="B17" s="83">
        <f>Model!J17</f>
        <v>14.615384615384615</v>
      </c>
      <c r="C17" s="88">
        <f>Model!K17</f>
        <v>380</v>
      </c>
      <c r="D17" s="85">
        <f>Model!L17</f>
        <v>19.124833260943756</v>
      </c>
      <c r="E17" s="86">
        <f>Model!M17</f>
        <v>19.725457673852528</v>
      </c>
      <c r="F17" s="86">
        <f>Model!N17</f>
        <v>20.331720067392883</v>
      </c>
      <c r="G17" s="86">
        <f>Model!O17</f>
        <v>20.943522091460878</v>
      </c>
      <c r="H17" s="86">
        <f>Model!P17</f>
        <v>21.560760668717673</v>
      </c>
      <c r="I17" s="86">
        <f>Model!Q17</f>
        <v>22.183328566175518</v>
      </c>
      <c r="J17" s="86">
        <f>Model!R17</f>
        <v>22.811114964139449</v>
      </c>
      <c r="K17" s="86">
        <f>Model!S17</f>
        <v>23.444006017048334</v>
      </c>
      <c r="L17" s="86">
        <f>Model!T17</f>
        <v>24.081885401272793</v>
      </c>
      <c r="M17" s="86">
        <f>Model!U17</f>
        <v>24.724634845489959</v>
      </c>
      <c r="N17" s="86">
        <f>Model!V17</f>
        <v>25.372134639838116</v>
      </c>
      <c r="O17" s="86">
        <f>Model!W17</f>
        <v>26.024264120652923</v>
      </c>
      <c r="P17" s="87">
        <f>Model!X17</f>
        <v>26.680902128178403</v>
      </c>
      <c r="XFD17">
        <v>0</v>
      </c>
    </row>
    <row r="18" spans="2:16 16384:16384" x14ac:dyDescent="0.25">
      <c r="B18" s="83">
        <f>Model!J18</f>
        <v>15.384615384615385</v>
      </c>
      <c r="C18" s="88">
        <f>Model!K18</f>
        <v>400</v>
      </c>
      <c r="D18" s="85">
        <f>Model!L18</f>
        <v>18.380266719447498</v>
      </c>
      <c r="E18" s="86">
        <f>Model!M18</f>
        <v>18.950339700924754</v>
      </c>
      <c r="F18" s="86">
        <f>Model!N18</f>
        <v>19.525624617481476</v>
      </c>
      <c r="G18" s="86">
        <f>Model!O18</f>
        <v>20.106035723841153</v>
      </c>
      <c r="H18" s="86">
        <f>Model!P18</f>
        <v>20.691483272173294</v>
      </c>
      <c r="I18" s="86">
        <f>Model!Q18</f>
        <v>21.28187396150307</v>
      </c>
      <c r="J18" s="86">
        <f>Model!R18</f>
        <v>21.877111385808117</v>
      </c>
      <c r="K18" s="86">
        <f>Model!S18</f>
        <v>22.477096476895415</v>
      </c>
      <c r="L18" s="86">
        <f>Model!T18</f>
        <v>23.081727938488712</v>
      </c>
      <c r="M18" s="86">
        <f>Model!U18</f>
        <v>23.690902668329425</v>
      </c>
      <c r="N18" s="86">
        <f>Model!V18</f>
        <v>24.304516165480017</v>
      </c>
      <c r="O18" s="86">
        <f>Model!W18</f>
        <v>24.922462920419392</v>
      </c>
      <c r="P18" s="87">
        <f>Model!X18</f>
        <v>25.544636785916964</v>
      </c>
      <c r="XFD18">
        <v>1</v>
      </c>
    </row>
    <row r="19" spans="2:16 16384:16384" x14ac:dyDescent="0.25">
      <c r="B19" s="83">
        <f>Model!J19</f>
        <v>16.153846153846153</v>
      </c>
      <c r="C19" s="88">
        <f>Model!K19</f>
        <v>420</v>
      </c>
      <c r="D19" s="85">
        <f>Model!L19</f>
        <v>17.706885501738928</v>
      </c>
      <c r="E19" s="86">
        <f>Model!M19</f>
        <v>18.249410264179492</v>
      </c>
      <c r="F19" s="86">
        <f>Model!N19</f>
        <v>18.796772652918772</v>
      </c>
      <c r="G19" s="86">
        <f>Model!O19</f>
        <v>19.348897153994102</v>
      </c>
      <c r="H19" s="86">
        <f>Model!P19</f>
        <v>19.905704842361036</v>
      </c>
      <c r="I19" s="86">
        <f>Model!Q19</f>
        <v>20.467113740452561</v>
      </c>
      <c r="J19" s="86">
        <f>Model!R19</f>
        <v>21.033039176091851</v>
      </c>
      <c r="K19" s="86">
        <f>Model!S19</f>
        <v>21.603394136919217</v>
      </c>
      <c r="L19" s="86">
        <f>Model!T19</f>
        <v>22.178089618720936</v>
      </c>
      <c r="M19" s="86">
        <f>Model!U19</f>
        <v>22.757034965300875</v>
      </c>
      <c r="N19" s="86">
        <f>Model!V19</f>
        <v>23.340138197796801</v>
      </c>
      <c r="O19" s="86">
        <f>Model!W19</f>
        <v>23.927306331617078</v>
      </c>
      <c r="P19" s="87">
        <f>Model!X19</f>
        <v>24.518445679445009</v>
      </c>
      <c r="XFD19">
        <v>0</v>
      </c>
    </row>
    <row r="20" spans="2:16 16384:16384" x14ac:dyDescent="0.25">
      <c r="B20" s="83">
        <f>Model!J20</f>
        <v>16.923076923076923</v>
      </c>
      <c r="C20" s="88">
        <f>Model!K20</f>
        <v>440</v>
      </c>
      <c r="D20" s="85">
        <f>Model!L20</f>
        <v>17.094947559955827</v>
      </c>
      <c r="E20" s="86">
        <f>Model!M20</f>
        <v>17.61250620850452</v>
      </c>
      <c r="F20" s="86">
        <f>Model!N20</f>
        <v>18.134571694737211</v>
      </c>
      <c r="G20" s="86">
        <f>Model!O20</f>
        <v>18.661076907966475</v>
      </c>
      <c r="H20" s="86">
        <f>Model!P20</f>
        <v>19.191951811564969</v>
      </c>
      <c r="I20" s="86">
        <f>Model!Q20</f>
        <v>19.727123732980722</v>
      </c>
      <c r="J20" s="86">
        <f>Model!R20</f>
        <v>20.266517653420372</v>
      </c>
      <c r="K20" s="86">
        <f>Model!S20</f>
        <v>20.81005649510729</v>
      </c>
      <c r="L20" s="86">
        <f>Model!T20</f>
        <v>21.357661404178071</v>
      </c>
      <c r="M20" s="86">
        <f>Model!U20</f>
        <v>21.909252027456855</v>
      </c>
      <c r="N20" s="86">
        <f>Model!V20</f>
        <v>22.464746781527413</v>
      </c>
      <c r="O20" s="86">
        <f>Model!W20</f>
        <v>23.024063112713641</v>
      </c>
      <c r="P20" s="87">
        <f>Model!X20</f>
        <v>23.587117746768314</v>
      </c>
      <c r="XFD20">
        <v>1</v>
      </c>
    </row>
    <row r="21" spans="2:16 16384:16384" x14ac:dyDescent="0.25">
      <c r="B21" s="83">
        <f>Model!J21</f>
        <v>17.692307692307693</v>
      </c>
      <c r="C21" s="88">
        <f>Model!K21</f>
        <v>460</v>
      </c>
      <c r="D21" s="85">
        <f>Model!L21</f>
        <v>16.536410789537097</v>
      </c>
      <c r="E21" s="86">
        <f>Model!M21</f>
        <v>17.031239370516651</v>
      </c>
      <c r="F21" s="86">
        <f>Model!N21</f>
        <v>17.53028087240018</v>
      </c>
      <c r="G21" s="86">
        <f>Model!O21</f>
        <v>18.033475161658746</v>
      </c>
      <c r="H21" s="86">
        <f>Model!P21</f>
        <v>18.540759578888355</v>
      </c>
      <c r="I21" s="86">
        <f>Model!Q21</f>
        <v>19.052069176407297</v>
      </c>
      <c r="J21" s="86">
        <f>Model!R21</f>
        <v>19.567336955652198</v>
      </c>
      <c r="K21" s="86">
        <f>Model!S21</f>
        <v>20.086494102808789</v>
      </c>
      <c r="L21" s="86">
        <f>Model!T21</f>
        <v>20.609470221223589</v>
      </c>
      <c r="M21" s="86">
        <f>Model!U21</f>
        <v>21.136193559267774</v>
      </c>
      <c r="N21" s="86">
        <f>Model!V21</f>
        <v>21.666591232451879</v>
      </c>
      <c r="O21" s="86">
        <f>Model!W21</f>
        <v>22.200589438725245</v>
      </c>
      <c r="P21" s="87">
        <f>Model!X21</f>
        <v>22.738113666028667</v>
      </c>
      <c r="XFD21">
        <v>0</v>
      </c>
    </row>
    <row r="22" spans="2:16 16384:16384" x14ac:dyDescent="0.25">
      <c r="B22" s="83">
        <f>Model!J22</f>
        <v>18.46153846153846</v>
      </c>
      <c r="C22" s="88">
        <f>Model!K22</f>
        <v>480</v>
      </c>
      <c r="D22" s="85">
        <f>Model!L22</f>
        <v>16.024577772782667</v>
      </c>
      <c r="E22" s="86">
        <f>Model!M22</f>
        <v>16.498625350048176</v>
      </c>
      <c r="F22" s="86">
        <f>Model!N22</f>
        <v>16.976623380152393</v>
      </c>
      <c r="G22" s="86">
        <f>Model!O22</f>
        <v>17.458517580865678</v>
      </c>
      <c r="H22" s="86">
        <f>Model!P22</f>
        <v>17.944251475823581</v>
      </c>
      <c r="I22" s="86">
        <f>Model!Q22</f>
        <v>18.433766591529803</v>
      </c>
      <c r="J22" s="86">
        <f>Model!R22</f>
        <v>18.927002654196091</v>
      </c>
      <c r="K22" s="86">
        <f>Model!S22</f>
        <v>19.423897785234963</v>
      </c>
      <c r="L22" s="86">
        <f>Model!T22</f>
        <v>19.924388694300255</v>
      </c>
      <c r="M22" s="86">
        <f>Model!U22</f>
        <v>20.428410868861604</v>
      </c>
      <c r="N22" s="86">
        <f>Model!V22</f>
        <v>20.935898759390057</v>
      </c>
      <c r="O22" s="86">
        <f>Model!W22</f>
        <v>21.446785959330445</v>
      </c>
      <c r="P22" s="87">
        <f>Model!X22</f>
        <v>21.961005379132807</v>
      </c>
      <c r="XFD22">
        <v>1</v>
      </c>
    </row>
    <row r="23" spans="2:16 16384:16384" x14ac:dyDescent="0.25">
      <c r="B23" s="83">
        <f>Model!J23</f>
        <v>19.23076923076923</v>
      </c>
      <c r="C23" s="88">
        <f>Model!K23</f>
        <v>500</v>
      </c>
      <c r="D23" s="85">
        <f>Model!L23</f>
        <v>15.553826029990017</v>
      </c>
      <c r="E23" s="86">
        <f>Model!M23</f>
        <v>16.008801694046923</v>
      </c>
      <c r="F23" s="86">
        <f>Model!N23</f>
        <v>16.46749233399126</v>
      </c>
      <c r="G23" s="86">
        <f>Model!O23</f>
        <v>16.929848620230217</v>
      </c>
      <c r="H23" s="86">
        <f>Model!P23</f>
        <v>17.395819305658446</v>
      </c>
      <c r="I23" s="86">
        <f>Model!Q23</f>
        <v>17.865351390851114</v>
      </c>
      <c r="J23" s="86">
        <f>Model!R23</f>
        <v>18.338390289088242</v>
      </c>
      <c r="K23" s="86">
        <f>Model!S23</f>
        <v>18.814879990302543</v>
      </c>
      <c r="L23" s="86">
        <f>Model!T23</f>
        <v>19.294763223100748</v>
      </c>
      <c r="M23" s="86">
        <f>Model!U23</f>
        <v>19.77798161407604</v>
      </c>
      <c r="N23" s="86">
        <f>Model!V23</f>
        <v>20.264475843695781</v>
      </c>
      <c r="O23" s="86">
        <f>Model!W23</f>
        <v>20.754185798121394</v>
      </c>
      <c r="P23" s="87">
        <f>Model!X23</f>
        <v>21.247050716388042</v>
      </c>
      <c r="XFD23">
        <v>0</v>
      </c>
    </row>
    <row r="24" spans="2:16 16384:16384" x14ac:dyDescent="0.25">
      <c r="B24" s="83">
        <f>Model!J24</f>
        <v>20</v>
      </c>
      <c r="C24" s="88">
        <f>Model!K24</f>
        <v>520</v>
      </c>
      <c r="D24" s="85">
        <f>Model!L24</f>
        <v>15.119400695335568</v>
      </c>
      <c r="E24" s="86">
        <f>Model!M24</f>
        <v>15.556811341884508</v>
      </c>
      <c r="F24" s="86">
        <f>Model!N24</f>
        <v>15.997724788078498</v>
      </c>
      <c r="G24" s="86">
        <f>Model!O24</f>
        <v>16.442095932269723</v>
      </c>
      <c r="H24" s="86">
        <f>Model!P24</f>
        <v>16.889877987236552</v>
      </c>
      <c r="I24" s="86">
        <f>Model!Q24</f>
        <v>17.341022620174222</v>
      </c>
      <c r="J24" s="86">
        <f>Model!R24</f>
        <v>17.795480092493246</v>
      </c>
      <c r="K24" s="86">
        <f>Model!S24</f>
        <v>18.253199398721041</v>
      </c>
      <c r="L24" s="86">
        <f>Model!T24</f>
        <v>18.714128403845145</v>
      </c>
      <c r="M24" s="86">
        <f>Model!U24</f>
        <v>19.178213978487726</v>
      </c>
      <c r="N24" s="86">
        <f>Model!V24</f>
        <v>19.645402131350423</v>
      </c>
      <c r="O24" s="86">
        <f>Model!W24</f>
        <v>20.11563813842335</v>
      </c>
      <c r="P24" s="87">
        <f>Model!X24</f>
        <v>20.588866668504501</v>
      </c>
      <c r="XFD24">
        <v>1</v>
      </c>
    </row>
    <row r="25" spans="2:16 16384:16384" x14ac:dyDescent="0.25">
      <c r="B25" s="83">
        <f>Model!J25</f>
        <v>20.76923076923077</v>
      </c>
      <c r="C25" s="88">
        <f>Model!K25</f>
        <v>540</v>
      </c>
      <c r="D25" s="85">
        <f>Model!L25</f>
        <v>14.717253390957444</v>
      </c>
      <c r="E25" s="86">
        <f>Model!M25</f>
        <v>15.138434358182158</v>
      </c>
      <c r="F25" s="86">
        <f>Model!N25</f>
        <v>15.562926173543696</v>
      </c>
      <c r="G25" s="86">
        <f>Model!O25</f>
        <v>15.990687373346022</v>
      </c>
      <c r="H25" s="86">
        <f>Model!P25</f>
        <v>16.42167500384674</v>
      </c>
      <c r="I25" s="86">
        <f>Model!Q25</f>
        <v>16.855844741073447</v>
      </c>
      <c r="J25" s="86">
        <f>Model!R25</f>
        <v>17.293151010419532</v>
      </c>
      <c r="K25" s="86">
        <f>Model!S25</f>
        <v>17.733547105466172</v>
      </c>
      <c r="L25" s="86">
        <f>Model!T25</f>
        <v>18.17698530550955</v>
      </c>
      <c r="M25" s="86">
        <f>Model!U25</f>
        <v>18.623416991312155</v>
      </c>
      <c r="N25" s="86">
        <f>Model!V25</f>
        <v>19.072792758633959</v>
      </c>
      <c r="O25" s="86">
        <f>Model!W25</f>
        <v>19.525062529141469</v>
      </c>
      <c r="P25" s="87">
        <f>Model!X25</f>
        <v>19.980175658332062</v>
      </c>
      <c r="XFD25">
        <v>0</v>
      </c>
    </row>
    <row r="26" spans="2:16 16384:16384" x14ac:dyDescent="0.25">
      <c r="B26" s="83">
        <f>Model!J26</f>
        <v>21.53846153846154</v>
      </c>
      <c r="C26" s="88">
        <f>Model!K26</f>
        <v>560</v>
      </c>
      <c r="D26" s="85">
        <f>Model!L26</f>
        <v>14.34391572013242</v>
      </c>
      <c r="E26" s="86">
        <f>Model!M26</f>
        <v>14.750055843213151</v>
      </c>
      <c r="F26" s="86">
        <f>Model!N26</f>
        <v>15.159332507458362</v>
      </c>
      <c r="G26" s="86">
        <f>Model!O26</f>
        <v>15.57170740250684</v>
      </c>
      <c r="H26" s="86">
        <f>Model!P26</f>
        <v>15.98714089365297</v>
      </c>
      <c r="I26" s="86">
        <f>Model!Q26</f>
        <v>16.405592125356524</v>
      </c>
      <c r="J26" s="86">
        <f>Model!R26</f>
        <v>16.827019124505334</v>
      </c>
      <c r="K26" s="86">
        <f>Model!S26</f>
        <v>17.251378902991373</v>
      </c>
      <c r="L26" s="86">
        <f>Model!T26</f>
        <v>17.678627559185333</v>
      </c>
      <c r="M26" s="86">
        <f>Model!U26</f>
        <v>18.108720377926282</v>
      </c>
      <c r="N26" s="86">
        <f>Model!V26</f>
        <v>18.541611928671131</v>
      </c>
      <c r="O26" s="86">
        <f>Model!W26</f>
        <v>18.977256161481566</v>
      </c>
      <c r="P26" s="87">
        <f>Model!X26</f>
        <v>19.415606500556294</v>
      </c>
      <c r="XFD26">
        <v>1</v>
      </c>
    </row>
    <row r="27" spans="2:16 16384:16384" x14ac:dyDescent="0.25">
      <c r="B27" s="83">
        <f>Model!J27</f>
        <v>22.307692307692307</v>
      </c>
      <c r="C27" s="88">
        <f>Model!K27</f>
        <v>580</v>
      </c>
      <c r="D27" s="85">
        <f>Model!L27</f>
        <v>13.996399002308156</v>
      </c>
      <c r="E27" s="86">
        <f>Model!M27</f>
        <v>14.38856126132498</v>
      </c>
      <c r="F27" s="86">
        <f>Model!N27</f>
        <v>14.78370122175105</v>
      </c>
      <c r="G27" s="86">
        <f>Model!O27</f>
        <v>15.181783325181541</v>
      </c>
      <c r="H27" s="86">
        <f>Model!P27</f>
        <v>15.582770830010947</v>
      </c>
      <c r="I27" s="86">
        <f>Model!Q27</f>
        <v>15.986625901641986</v>
      </c>
      <c r="J27" s="86">
        <f>Model!R27</f>
        <v>16.393309702425388</v>
      </c>
      <c r="K27" s="86">
        <f>Model!S27</f>
        <v>16.802782480977321</v>
      </c>
      <c r="L27" s="86">
        <f>Model!T27</f>
        <v>17.2150036605405</v>
      </c>
      <c r="M27" s="86">
        <f>Model!U27</f>
        <v>17.629931926080047</v>
      </c>
      <c r="N27" s="86">
        <f>Model!V27</f>
        <v>18.047525309827115</v>
      </c>
      <c r="O27" s="86">
        <f>Model!W27</f>
        <v>18.467741275009359</v>
      </c>
      <c r="P27" s="87">
        <f>Model!X27</f>
        <v>18.890536797530743</v>
      </c>
      <c r="XFD27">
        <v>0</v>
      </c>
    </row>
    <row r="28" spans="2:16 16384:16384" x14ac:dyDescent="0.25">
      <c r="B28" s="83">
        <f>Model!J28</f>
        <v>23.076923076923077</v>
      </c>
      <c r="C28" s="88">
        <f>Model!K28</f>
        <v>600</v>
      </c>
      <c r="D28" s="85">
        <f>Model!L28</f>
        <v>13.672114111918841</v>
      </c>
      <c r="E28" s="86">
        <f>Model!M28</f>
        <v>14.051252770404886</v>
      </c>
      <c r="F28" s="86">
        <f>Model!N28</f>
        <v>14.433223910035245</v>
      </c>
      <c r="G28" s="86">
        <f>Model!O28</f>
        <v>14.817994389333204</v>
      </c>
      <c r="H28" s="86">
        <f>Model!P28</f>
        <v>15.205530004440092</v>
      </c>
      <c r="I28" s="86">
        <f>Model!Q28</f>
        <v>15.595795568381558</v>
      </c>
      <c r="J28" s="86">
        <f>Model!R28</f>
        <v>15.988754990047997</v>
      </c>
      <c r="K28" s="86">
        <f>Model!S28</f>
        <v>16.384371352602077</v>
      </c>
      <c r="L28" s="86">
        <f>Model!T28</f>
        <v>16.782606991041497</v>
      </c>
      <c r="M28" s="86">
        <f>Model!U28</f>
        <v>17.183423568665535</v>
      </c>
      <c r="N28" s="86">
        <f>Model!V28</f>
        <v>17.586782152211136</v>
      </c>
      <c r="O28" s="86">
        <f>Model!W28</f>
        <v>17.992643285445297</v>
      </c>
      <c r="P28" s="87">
        <f>Model!X28</f>
        <v>18.400967061018989</v>
      </c>
      <c r="XFD28">
        <v>1</v>
      </c>
    </row>
    <row r="29" spans="2:16 16384:16384" x14ac:dyDescent="0.25">
      <c r="B29" s="83">
        <f>Model!J29</f>
        <v>23.846153846153847</v>
      </c>
      <c r="C29" s="88">
        <f>Model!K29</f>
        <v>620</v>
      </c>
      <c r="D29" s="85">
        <f>Model!L29</f>
        <v>13.368806870571873</v>
      </c>
      <c r="E29" s="86">
        <f>Model!M29</f>
        <v>13.735781796085684</v>
      </c>
      <c r="F29" s="86">
        <f>Model!N29</f>
        <v>14.105456025595158</v>
      </c>
      <c r="G29" s="86">
        <f>Model!O29</f>
        <v>14.477798552863467</v>
      </c>
      <c r="H29" s="86">
        <f>Model!P29</f>
        <v>14.852777413184672</v>
      </c>
      <c r="I29" s="86">
        <f>Model!Q29</f>
        <v>15.230359753574383</v>
      </c>
      <c r="J29" s="86">
        <f>Model!R29</f>
        <v>15.610511902662971</v>
      </c>
      <c r="K29" s="86">
        <f>Model!S29</f>
        <v>15.993199440055555</v>
      </c>
      <c r="L29" s="86">
        <f>Model!T29</f>
        <v>16.378387264935014</v>
      </c>
      <c r="M29" s="86">
        <f>Model!U29</f>
        <v>16.766039663701189</v>
      </c>
      <c r="N29" s="86">
        <f>Model!V29</f>
        <v>17.156120376453138</v>
      </c>
      <c r="O29" s="86">
        <f>Model!W29</f>
        <v>17.548592662138503</v>
      </c>
      <c r="P29" s="87">
        <f>Model!X29</f>
        <v>17.943419362208772</v>
      </c>
      <c r="XFD29">
        <v>0</v>
      </c>
    </row>
    <row r="30" spans="2:16 16384:16384" x14ac:dyDescent="0.25">
      <c r="B30" s="83">
        <f>Model!J30</f>
        <v>24.615384615384617</v>
      </c>
      <c r="C30" s="88">
        <f>Model!K30</f>
        <v>640</v>
      </c>
      <c r="D30" s="85">
        <f>Model!L30</f>
        <v>13.084505582359441</v>
      </c>
      <c r="E30" s="86">
        <f>Model!M30</f>
        <v>13.440094286772522</v>
      </c>
      <c r="F30" s="86">
        <f>Model!N30</f>
        <v>13.798259809525456</v>
      </c>
      <c r="G30" s="86">
        <f>Model!O30</f>
        <v>14.158973041158308</v>
      </c>
      <c r="H30" s="86">
        <f>Model!P30</f>
        <v>14.522204003524308</v>
      </c>
      <c r="I30" s="86">
        <f>Model!Q30</f>
        <v>14.887921912395582</v>
      </c>
      <c r="J30" s="86">
        <f>Model!R30</f>
        <v>15.256095239764443</v>
      </c>
      <c r="K30" s="86">
        <f>Model!S30</f>
        <v>15.626691775644495</v>
      </c>
      <c r="L30" s="86">
        <f>Model!T30</f>
        <v>15.99967868918538</v>
      </c>
      <c r="M30" s="86">
        <f>Model!U30</f>
        <v>16.375022588929312</v>
      </c>
      <c r="N30" s="86">
        <f>Model!V30</f>
        <v>16.75268958204845</v>
      </c>
      <c r="O30" s="86">
        <f>Model!W30</f>
        <v>17.132645332416644</v>
      </c>
      <c r="P30" s="87">
        <f>Model!X30</f>
        <v>17.514855117380737</v>
      </c>
      <c r="XFD30">
        <v>1</v>
      </c>
    </row>
    <row r="31" spans="2:16 16384:16384" x14ac:dyDescent="0.25">
      <c r="B31" s="83">
        <f>Model!J31</f>
        <v>25.384615384615383</v>
      </c>
      <c r="C31" s="88">
        <f>Model!K31</f>
        <v>660</v>
      </c>
      <c r="D31" s="85">
        <f>Model!L31</f>
        <v>12.81747813060068</v>
      </c>
      <c r="E31" s="86">
        <f>Model!M31</f>
        <v>13.162385951915908</v>
      </c>
      <c r="F31" s="86">
        <f>Model!N31</f>
        <v>13.509757632998507</v>
      </c>
      <c r="G31" s="86">
        <f>Model!O31</f>
        <v>13.85956575799551</v>
      </c>
      <c r="H31" s="86">
        <f>Model!P31</f>
        <v>14.211782120282676</v>
      </c>
      <c r="I31" s="86">
        <f>Model!Q31</f>
        <v>14.566377778685098</v>
      </c>
      <c r="J31" s="86">
        <f>Model!R31</f>
        <v>14.923323113390257</v>
      </c>
      <c r="K31" s="86">
        <f>Model!S31</f>
        <v>15.282587881389295</v>
      </c>
      <c r="L31" s="86">
        <f>Model!T31</f>
        <v>15.644141271289966</v>
      </c>
      <c r="M31" s="86">
        <f>Model!U31</f>
        <v>16.007951957356958</v>
      </c>
      <c r="N31" s="86">
        <f>Model!V31</f>
        <v>16.373988152644138</v>
      </c>
      <c r="O31" s="86">
        <f>Model!W31</f>
        <v>16.742217661095559</v>
      </c>
      <c r="P31" s="87">
        <f>Model!X31</f>
        <v>17.112607928501461</v>
      </c>
      <c r="XFD31">
        <v>0</v>
      </c>
    </row>
    <row r="32" spans="2:16 16384:16384" x14ac:dyDescent="0.25">
      <c r="B32" s="83">
        <f>Model!J32</f>
        <v>26.153846153846153</v>
      </c>
      <c r="C32" s="88">
        <f>Model!K32</f>
        <v>680</v>
      </c>
      <c r="D32" s="85">
        <f>Model!L32</f>
        <v>12.56619666309156</v>
      </c>
      <c r="E32" s="86">
        <f>Model!M32</f>
        <v>12.901065422387749</v>
      </c>
      <c r="F32" s="86">
        <f>Model!N32</f>
        <v>13.23829360234183</v>
      </c>
      <c r="G32" s="86">
        <f>Model!O32</f>
        <v>13.577855306559634</v>
      </c>
      <c r="H32" s="86">
        <f>Model!P32</f>
        <v>13.91972391578016</v>
      </c>
      <c r="I32" s="86">
        <f>Model!Q32</f>
        <v>14.263872138684052</v>
      </c>
      <c r="J32" s="86">
        <f>Model!R32</f>
        <v>14.610272062394644</v>
      </c>
      <c r="K32" s="86">
        <f>Model!S32</f>
        <v>14.958895202532247</v>
      </c>
      <c r="L32" s="86">
        <f>Model!T32</f>
        <v>15.309712552688676</v>
      </c>
      <c r="M32" s="86">
        <f>Model!U32</f>
        <v>15.662694633199671</v>
      </c>
      <c r="N32" s="86">
        <f>Model!V32</f>
        <v>16.017811539100013</v>
      </c>
      <c r="O32" s="86">
        <f>Model!W32</f>
        <v>16.375032987156761</v>
      </c>
      <c r="P32" s="87">
        <f>Model!X32</f>
        <v>16.734328361883758</v>
      </c>
      <c r="XFD32">
        <v>1</v>
      </c>
    </row>
    <row r="33" spans="2:16 16384:16384" x14ac:dyDescent="0.25">
      <c r="B33" s="83">
        <f>Model!J33</f>
        <v>26.923076923076923</v>
      </c>
      <c r="C33" s="88">
        <f>Model!K33</f>
        <v>700</v>
      </c>
      <c r="D33" s="85">
        <f>Model!L33</f>
        <v>12.329308344849597</v>
      </c>
      <c r="E33" s="86">
        <f>Model!M33</f>
        <v>12.654723744181457</v>
      </c>
      <c r="F33" s="86">
        <f>Model!N33</f>
        <v>12.98240176888617</v>
      </c>
      <c r="G33" s="86">
        <f>Model!O33</f>
        <v>13.312317891905344</v>
      </c>
      <c r="H33" s="86">
        <f>Model!P33</f>
        <v>13.644446922735254</v>
      </c>
      <c r="I33" s="86">
        <f>Model!Q33</f>
        <v>13.978763053617969</v>
      </c>
      <c r="J33" s="86">
        <f>Model!R33</f>
        <v>14.315239905427674</v>
      </c>
      <c r="K33" s="86">
        <f>Model!S33</f>
        <v>14.653850573132726</v>
      </c>
      <c r="L33" s="86">
        <f>Model!T33</f>
        <v>14.994567670719379</v>
      </c>
      <c r="M33" s="86">
        <f>Model!U33</f>
        <v>15.337363375472215</v>
      </c>
      <c r="N33" s="86">
        <f>Model!V33</f>
        <v>15.682209471512515</v>
      </c>
      <c r="O33" s="86">
        <f>Model!W33</f>
        <v>16.029077392504803</v>
      </c>
      <c r="P33" s="87">
        <f>Model!X33</f>
        <v>16.37793826344841</v>
      </c>
      <c r="XFD33">
        <v>0</v>
      </c>
    </row>
    <row r="34" spans="2:16 16384:16384" x14ac:dyDescent="0.25">
      <c r="B34" s="83">
        <f>Model!J34</f>
        <v>27.692307692307693</v>
      </c>
      <c r="C34" s="88">
        <f>Model!K34</f>
        <v>720</v>
      </c>
      <c r="D34" s="85">
        <f>Model!L34</f>
        <v>12.10561099604508</v>
      </c>
      <c r="E34" s="86">
        <f>Model!M34</f>
        <v>12.422108970636604</v>
      </c>
      <c r="F34" s="86">
        <f>Model!N34</f>
        <v>12.74077965514118</v>
      </c>
      <c r="G34" s="86">
        <f>Model!O34</f>
        <v>13.061599761728392</v>
      </c>
      <c r="H34" s="86">
        <f>Model!P34</f>
        <v>13.3845453913253</v>
      </c>
      <c r="I34" s="86">
        <f>Model!Q34</f>
        <v>13.709592075843926</v>
      </c>
      <c r="J34" s="86">
        <f>Model!R34</f>
        <v>14.036714820108358</v>
      </c>
      <c r="K34" s="86">
        <f>Model!S34</f>
        <v>14.365888143378228</v>
      </c>
      <c r="L34" s="86">
        <f>Model!T34</f>
        <v>14.697086120369514</v>
      </c>
      <c r="M34" s="86">
        <f>Model!U34</f>
        <v>15.030282421682001</v>
      </c>
      <c r="N34" s="86">
        <f>Model!V34</f>
        <v>15.365450353547647</v>
      </c>
      <c r="O34" s="86">
        <f>Model!W34</f>
        <v>15.702562896822219</v>
      </c>
      <c r="P34" s="87">
        <f>Model!X34</f>
        <v>16.041592745148012</v>
      </c>
      <c r="XFD34">
        <v>1</v>
      </c>
    </row>
    <row r="35" spans="2:16 16384:16384" x14ac:dyDescent="0.25">
      <c r="B35" s="83">
        <f>Model!J35</f>
        <v>28.46153846153846</v>
      </c>
      <c r="C35" s="88">
        <f>Model!K35</f>
        <v>740</v>
      </c>
      <c r="D35" s="85">
        <f>Model!L35</f>
        <v>11.894032688965183</v>
      </c>
      <c r="E35" s="86">
        <f>Model!M35</f>
        <v>12.202104886053695</v>
      </c>
      <c r="F35" s="86">
        <f>Model!N35</f>
        <v>12.512266088289904</v>
      </c>
      <c r="G35" s="86">
        <f>Model!O35</f>
        <v>12.824494133738231</v>
      </c>
      <c r="H35" s="86">
        <f>Model!P35</f>
        <v>13.138766295255465</v>
      </c>
      <c r="I35" s="86">
        <f>Model!Q35</f>
        <v>13.455059319295591</v>
      </c>
      <c r="J35" s="86">
        <f>Model!R35</f>
        <v>13.773349464420166</v>
      </c>
      <c r="K35" s="86">
        <f>Model!S35</f>
        <v>14.093612539424043</v>
      </c>
      <c r="L35" s="86">
        <f>Model!T35</f>
        <v>14.415823940989704</v>
      </c>
      <c r="M35" s="86">
        <f>Model!U35</f>
        <v>14.739958690790981</v>
      </c>
      <c r="N35" s="86">
        <f>Model!V35</f>
        <v>15.065991471971092</v>
      </c>
      <c r="O35" s="86">
        <f>Model!W35</f>
        <v>15.393896664927208</v>
      </c>
      <c r="P35" s="87">
        <f>Model!X35</f>
        <v>15.723648382338304</v>
      </c>
      <c r="XFD35">
        <v>0</v>
      </c>
    </row>
    <row r="36" spans="2:16 16384:16384" x14ac:dyDescent="0.25">
      <c r="B36" s="83">
        <f>Model!J36</f>
        <v>29.23076923076923</v>
      </c>
      <c r="C36" s="88">
        <f>Model!K36</f>
        <v>760</v>
      </c>
      <c r="D36" s="85">
        <f>Model!L36</f>
        <v>11.693614573225808</v>
      </c>
      <c r="E36" s="86">
        <f>Model!M36</f>
        <v>11.993713097682589</v>
      </c>
      <c r="F36" s="86">
        <f>Model!N36</f>
        <v>12.295822545055776</v>
      </c>
      <c r="G36" s="86">
        <f>Model!O36</f>
        <v>12.599921780110442</v>
      </c>
      <c r="H36" s="86">
        <f>Model!P36</f>
        <v>12.905989143147902</v>
      </c>
      <c r="I36" s="86">
        <f>Model!Q36</f>
        <v>13.214002485838487</v>
      </c>
      <c r="J36" s="86">
        <f>Model!R36</f>
        <v>13.523939206766803</v>
      </c>
      <c r="K36" s="86">
        <f>Model!S36</f>
        <v>13.835776286609978</v>
      </c>
      <c r="L36" s="86">
        <f>Model!T36</f>
        <v>14.149490322872143</v>
      </c>
      <c r="M36" s="86">
        <f>Model!U36</f>
        <v>14.465057564105361</v>
      </c>
      <c r="N36" s="86">
        <f>Model!V36</f>
        <v>14.782453943550639</v>
      </c>
      <c r="O36" s="86">
        <f>Model!W36</f>
        <v>15.101655112139241</v>
      </c>
      <c r="P36" s="87">
        <f>Model!X36</f>
        <v>15.422636470798491</v>
      </c>
      <c r="XFD36">
        <v>1</v>
      </c>
    </row>
    <row r="37" spans="2:16 16384:16384" x14ac:dyDescent="0.25">
      <c r="B37" s="83">
        <f>Model!J37</f>
        <v>30</v>
      </c>
      <c r="C37" s="88">
        <f>Model!K37</f>
        <v>780</v>
      </c>
      <c r="D37" s="85">
        <f>Model!L37</f>
        <v>11.503496348643671</v>
      </c>
      <c r="E37" s="86">
        <f>Model!M37</f>
        <v>11.796037889969533</v>
      </c>
      <c r="F37" s="86">
        <f>Model!N37</f>
        <v>12.090517375751169</v>
      </c>
      <c r="G37" s="86">
        <f>Model!O37</f>
        <v>12.386914610241741</v>
      </c>
      <c r="H37" s="86">
        <f>Model!P37</f>
        <v>12.685208909418554</v>
      </c>
      <c r="I37" s="86">
        <f>Model!Q37</f>
        <v>12.985379134221189</v>
      </c>
      <c r="J37" s="86">
        <f>Model!R37</f>
        <v>13.287403723509835</v>
      </c>
      <c r="K37" s="86">
        <f>Model!S37</f>
        <v>13.591260726673019</v>
      </c>
      <c r="L37" s="86">
        <f>Model!T37</f>
        <v>13.89692783581625</v>
      </c>
      <c r="M37" s="86">
        <f>Model!U37</f>
        <v>14.204382417469525</v>
      </c>
      <c r="N37" s="86">
        <f>Model!V37</f>
        <v>14.513601543754522</v>
      </c>
      <c r="O37" s="86">
        <f>Model!W37</f>
        <v>14.82456202295827</v>
      </c>
      <c r="P37" s="87">
        <f>Model!X37</f>
        <v>15.13724042946359</v>
      </c>
      <c r="XFD37">
        <v>0</v>
      </c>
    </row>
    <row r="38" spans="2:16 16384:16384" x14ac:dyDescent="0.25">
      <c r="B38" s="83">
        <f>Model!J38</f>
        <v>30.76923076923077</v>
      </c>
      <c r="C38" s="88">
        <f>Model!K38</f>
        <v>800</v>
      </c>
      <c r="D38" s="85">
        <f>Model!L38</f>
        <v>11.322903921521219</v>
      </c>
      <c r="E38" s="86">
        <f>Model!M38</f>
        <v>11.60827335646422</v>
      </c>
      <c r="F38" s="86">
        <f>Model!N38</f>
        <v>11.895512402123641</v>
      </c>
      <c r="G38" s="86">
        <f>Model!O38</f>
        <v>12.184601725233788</v>
      </c>
      <c r="H38" s="86">
        <f>Model!P38</f>
        <v>12.475521536503503</v>
      </c>
      <c r="I38" s="86">
        <f>Model!Q38</f>
        <v>12.768251621577665</v>
      </c>
      <c r="J38" s="86">
        <f>Model!R38</f>
        <v>13.062771371726992</v>
      </c>
      <c r="K38" s="86">
        <f>Model!S38</f>
        <v>13.359059814202558</v>
      </c>
      <c r="L38" s="86">
        <f>Model!T38</f>
        <v>13.657095642193534</v>
      </c>
      <c r="M38" s="86">
        <f>Model!U38</f>
        <v>13.956857244332308</v>
      </c>
      <c r="N38" s="86">
        <f>Model!V38</f>
        <v>14.25832273369387</v>
      </c>
      <c r="O38" s="86">
        <f>Model!W38</f>
        <v>14.561469976241689</v>
      </c>
      <c r="P38" s="87">
        <f>Model!X38</f>
        <v>14.866276618675439</v>
      </c>
      <c r="XFD38">
        <v>1</v>
      </c>
    </row>
    <row r="39" spans="2:16 16384:16384" x14ac:dyDescent="0.25">
      <c r="B39" s="83">
        <f>Model!J39</f>
        <v>31.53846153846154</v>
      </c>
      <c r="C39" s="88">
        <f>Model!K39</f>
        <v>820</v>
      </c>
      <c r="D39" s="85">
        <f>Model!L39</f>
        <v>11.151138870851941</v>
      </c>
      <c r="E39" s="86">
        <f>Model!M39</f>
        <v>11.429692419568566</v>
      </c>
      <c r="F39" s="86">
        <f>Model!N39</f>
        <v>11.71005148251098</v>
      </c>
      <c r="G39" s="86">
        <f>Model!O39</f>
        <v>11.992197520622801</v>
      </c>
      <c r="H39" s="86">
        <f>Model!P39</f>
        <v>12.276111567657665</v>
      </c>
      <c r="I39" s="86">
        <f>Model!Q39</f>
        <v>12.561774259133303</v>
      </c>
      <c r="J39" s="86">
        <f>Model!R39</f>
        <v>12.849165861022328</v>
      </c>
      <c r="K39" s="86">
        <f>Model!S39</f>
        <v>13.138266298122161</v>
      </c>
      <c r="L39" s="86">
        <f>Model!T39</f>
        <v>13.429055182048243</v>
      </c>
      <c r="M39" s="86">
        <f>Model!U39</f>
        <v>13.721511838800094</v>
      </c>
      <c r="N39" s="86">
        <f>Model!V39</f>
        <v>14.015615335851987</v>
      </c>
      <c r="O39" s="86">
        <f>Model!W39</f>
        <v>14.31134450872514</v>
      </c>
      <c r="P39" s="87">
        <f>Model!X39</f>
        <v>14.608677987000821</v>
      </c>
      <c r="XFD39">
        <v>0</v>
      </c>
    </row>
    <row r="40" spans="2:16 16384:16384" x14ac:dyDescent="0.25">
      <c r="B40" s="83">
        <f>Model!J40</f>
        <v>32.307692307692307</v>
      </c>
      <c r="C40" s="88">
        <f>Model!K40</f>
        <v>840</v>
      </c>
      <c r="D40" s="85">
        <f>Model!L40</f>
        <v>10.987569422226235</v>
      </c>
      <c r="E40" s="86">
        <f>Model!M40</f>
        <v>11.25963742273353</v>
      </c>
      <c r="F40" s="86">
        <f>Model!N40</f>
        <v>11.533450715461475</v>
      </c>
      <c r="G40" s="86">
        <f>Model!O40</f>
        <v>11.808991494802381</v>
      </c>
      <c r="H40" s="86">
        <f>Model!P40</f>
        <v>12.086241553822216</v>
      </c>
      <c r="I40" s="86">
        <f>Model!Q40</f>
        <v>12.365182311436467</v>
      </c>
      <c r="J40" s="86">
        <f>Model!R40</f>
        <v>12.645794839331179</v>
      </c>
      <c r="K40" s="86">
        <f>Model!S40</f>
        <v>12.928059888576668</v>
      </c>
      <c r="L40" s="86">
        <f>Model!T40</f>
        <v>13.211957915882813</v>
      </c>
      <c r="M40" s="86">
        <f>Model!U40</f>
        <v>13.497469109449993</v>
      </c>
      <c r="N40" s="86">
        <f>Model!V40</f>
        <v>13.784573414371526</v>
      </c>
      <c r="O40" s="86">
        <f>Model!W40</f>
        <v>14.073250557548395</v>
      </c>
      <c r="P40" s="87">
        <f>Model!X40</f>
        <v>14.363480072079167</v>
      </c>
      <c r="XFD40">
        <v>1</v>
      </c>
    </row>
    <row r="41" spans="2:16 16384:16384" x14ac:dyDescent="0.25">
      <c r="B41" s="83">
        <f>Model!J41</f>
        <v>33.07692307692308</v>
      </c>
      <c r="C41" s="88">
        <f>Model!K41</f>
        <v>860</v>
      </c>
      <c r="D41" s="85">
        <f>Model!L41</f>
        <v>10.831622683546462</v>
      </c>
      <c r="E41" s="86">
        <f>Model!M41</f>
        <v>11.097512038522552</v>
      </c>
      <c r="F41" s="86">
        <f>Model!N41</f>
        <v>11.36509001432632</v>
      </c>
      <c r="G41" s="86">
        <f>Model!O41</f>
        <v>11.634339484525407</v>
      </c>
      <c r="H41" s="86">
        <f>Model!P41</f>
        <v>11.905242944630038</v>
      </c>
      <c r="I41" s="86">
        <f>Model!Q41</f>
        <v>12.177782537686682</v>
      </c>
      <c r="J41" s="86">
        <f>Model!R41</f>
        <v>12.451940079625359</v>
      </c>
      <c r="K41" s="86">
        <f>Model!S41</f>
        <v>12.727697084312291</v>
      </c>
      <c r="L41" s="86">
        <f>Model!T41</f>
        <v>13.005034788260913</v>
      </c>
      <c r="M41" s="86">
        <f>Model!U41</f>
        <v>13.283934174958997</v>
      </c>
      <c r="N41" s="86">
        <f>Model!V41</f>
        <v>13.564375998771343</v>
      </c>
      <c r="O41" s="86">
        <f>Model!W41</f>
        <v>13.846340808381949</v>
      </c>
      <c r="P41" s="87">
        <f>Model!X41</f>
        <v>14.129808969741628</v>
      </c>
      <c r="XFD41">
        <v>0</v>
      </c>
    </row>
    <row r="42" spans="2:16 16384:16384" x14ac:dyDescent="0.25">
      <c r="B42" s="83">
        <f>Model!J42</f>
        <v>33.846153846153847</v>
      </c>
      <c r="C42" s="88">
        <f>Model!K42</f>
        <v>880</v>
      </c>
      <c r="D42" s="85">
        <f>Model!L42</f>
        <v>10.682777941446695</v>
      </c>
      <c r="E42" s="86">
        <f>Model!M42</f>
        <v>10.942774282716535</v>
      </c>
      <c r="F42" s="86">
        <f>Model!N42</f>
        <v>11.204405834099337</v>
      </c>
      <c r="G42" s="86">
        <f>Model!O42</f>
        <v>11.467656099691165</v>
      </c>
      <c r="H42" s="86">
        <f>Model!P42</f>
        <v>11.732508226526965</v>
      </c>
      <c r="I42" s="86">
        <f>Model!Q42</f>
        <v>11.998945028760472</v>
      </c>
      <c r="J42" s="86">
        <f>Model!R42</f>
        <v>12.266949011606073</v>
      </c>
      <c r="K42" s="86">
        <f>Model!S42</f>
        <v>12.536502394997978</v>
      </c>
      <c r="L42" s="86">
        <f>Model!T42</f>
        <v>12.807587136923129</v>
      </c>
      <c r="M42" s="86">
        <f>Model!U42</f>
        <v>13.080184956388779</v>
      </c>
      <c r="N42" s="86">
        <f>Model!V42</f>
        <v>13.354277355987183</v>
      </c>
      <c r="O42" s="86">
        <f>Model!W42</f>
        <v>13.629845644024066</v>
      </c>
      <c r="P42" s="87">
        <f>Model!X42</f>
        <v>13.906870956179324</v>
      </c>
      <c r="XFD42">
        <v>1</v>
      </c>
    </row>
    <row r="43" spans="2:16 16384:16384" x14ac:dyDescent="0.25">
      <c r="B43" s="83">
        <f>Model!J43</f>
        <v>34.615384615384613</v>
      </c>
      <c r="C43" s="88">
        <f>Model!K43</f>
        <v>900</v>
      </c>
      <c r="D43" s="85">
        <f>Model!L43</f>
        <v>10.540560853126811</v>
      </c>
      <c r="E43" s="86">
        <f>Model!M43</f>
        <v>10.794930462020092</v>
      </c>
      <c r="F43" s="86">
        <f>Model!N43</f>
        <v>11.050884870768435</v>
      </c>
      <c r="G43" s="86">
        <f>Model!O43</f>
        <v>11.308408170248825</v>
      </c>
      <c r="H43" s="86">
        <f>Model!P43</f>
        <v>11.567484113276844</v>
      </c>
      <c r="I43" s="86">
        <f>Model!Q43</f>
        <v>11.828096137518166</v>
      </c>
      <c r="J43" s="86">
        <f>Model!R43</f>
        <v>12.090227388170184</v>
      </c>
      <c r="K43" s="86">
        <f>Model!S43</f>
        <v>12.353860740372173</v>
      </c>
      <c r="L43" s="86">
        <f>Model!T43</f>
        <v>12.618978821303376</v>
      </c>
      <c r="M43" s="86">
        <f>Model!U43</f>
        <v>12.885564031932612</v>
      </c>
      <c r="N43" s="86">
        <f>Model!V43</f>
        <v>13.153598568384497</v>
      </c>
      <c r="O43" s="86">
        <f>Model!W43</f>
        <v>13.423064442891141</v>
      </c>
      <c r="P43" s="87">
        <f>Model!X43</f>
        <v>13.693943504300067</v>
      </c>
      <c r="XFD43">
        <v>0</v>
      </c>
    </row>
    <row r="44" spans="2:16 16384:16384" x14ac:dyDescent="0.25">
      <c r="B44" s="83">
        <f>Model!J44</f>
        <v>35.384615384615387</v>
      </c>
      <c r="C44" s="88">
        <f>Model!K44</f>
        <v>920</v>
      </c>
      <c r="D44" s="85">
        <f>Model!L44</f>
        <v>10.404538397105764</v>
      </c>
      <c r="E44" s="86">
        <f>Model!M44</f>
        <v>10.653529912983672</v>
      </c>
      <c r="F44" s="86">
        <f>Model!N44</f>
        <v>10.904058584784474</v>
      </c>
      <c r="G44" s="86">
        <f>Model!O44</f>
        <v>11.156109050701255</v>
      </c>
      <c r="H44" s="86">
        <f>Model!P44</f>
        <v>11.409665628106108</v>
      </c>
      <c r="I44" s="86">
        <f>Model!Q44</f>
        <v>11.664712335319239</v>
      </c>
      <c r="J44" s="86">
        <f>Model!R44</f>
        <v>11.921232913156137</v>
      </c>
      <c r="K44" s="86">
        <f>Model!S44</f>
        <v>12.179210846213833</v>
      </c>
      <c r="L44" s="86">
        <f>Model!T44</f>
        <v>12.438629383858183</v>
      </c>
      <c r="M44" s="86">
        <f>Model!U44</f>
        <v>12.699471560878138</v>
      </c>
      <c r="N44" s="86">
        <f>Model!V44</f>
        <v>12.961720217774188</v>
      </c>
      <c r="O44" s="86">
        <f>Model!W44</f>
        <v>13.225358020651946</v>
      </c>
      <c r="P44" s="87">
        <f>Model!X44</f>
        <v>13.490367480693415</v>
      </c>
      <c r="XFD44">
        <v>1</v>
      </c>
    </row>
    <row r="45" spans="2:16 16384:16384" x14ac:dyDescent="0.25">
      <c r="B45" s="83">
        <f>Model!J45</f>
        <v>36.153846153846153</v>
      </c>
      <c r="C45" s="88">
        <f>Model!K45</f>
        <v>940</v>
      </c>
      <c r="D45" s="85">
        <f>Model!L45</f>
        <v>10.274314469671108</v>
      </c>
      <c r="E45" s="86">
        <f>Model!M45</f>
        <v>10.518160414043745</v>
      </c>
      <c r="F45" s="86">
        <f>Model!N45</f>
        <v>10.763498425577811</v>
      </c>
      <c r="G45" s="86">
        <f>Model!O45</f>
        <v>11.010313654074867</v>
      </c>
      <c r="H45" s="86">
        <f>Model!P45</f>
        <v>11.258590944201286</v>
      </c>
      <c r="I45" s="86">
        <f>Model!Q45</f>
        <v>11.508314856224647</v>
      </c>
      <c r="J45" s="86">
        <f>Model!R45</f>
        <v>11.759469686535816</v>
      </c>
      <c r="K45" s="86">
        <f>Model!S45</f>
        <v>12.012039487920102</v>
      </c>
      <c r="L45" s="86">
        <f>Model!T45</f>
        <v>12.266008089541568</v>
      </c>
      <c r="M45" s="86">
        <f>Model!U45</f>
        <v>12.521359116608473</v>
      </c>
      <c r="N45" s="86">
        <f>Model!V45</f>
        <v>12.778076009688927</v>
      </c>
      <c r="O45" s="86">
        <f>Model!W45</f>
        <v>13.036142043649477</v>
      </c>
      <c r="P45" s="87">
        <f>Model!X45</f>
        <v>13.295540346190736</v>
      </c>
      <c r="XFD45">
        <v>0</v>
      </c>
    </row>
    <row r="46" spans="2:16 16384:16384" x14ac:dyDescent="0.25">
      <c r="B46" s="83">
        <f>Model!J46</f>
        <v>36.92307692307692</v>
      </c>
      <c r="C46" s="88">
        <f>Model!K46</f>
        <v>960</v>
      </c>
      <c r="D46" s="85">
        <f>Model!L46</f>
        <v>10.149526032703427</v>
      </c>
      <c r="E46" s="86">
        <f>Model!M46</f>
        <v>10.388444172307665</v>
      </c>
      <c r="F46" s="86">
        <f>Model!N46</f>
        <v>10.628811654617019</v>
      </c>
      <c r="G46" s="86">
        <f>Model!O46</f>
        <v>10.870614108641652</v>
      </c>
      <c r="H46" s="86">
        <f>Model!P46</f>
        <v>11.113836872564805</v>
      </c>
      <c r="I46" s="86">
        <f>Model!Q46</f>
        <v>11.3584650135423</v>
      </c>
      <c r="J46" s="86">
        <f>Model!R46</f>
        <v>11.604483347295062</v>
      </c>
      <c r="K46" s="86">
        <f>Model!S46</f>
        <v>11.851876457460142</v>
      </c>
      <c r="L46" s="86">
        <f>Model!T46</f>
        <v>12.100628714666131</v>
      </c>
      <c r="M46" s="86">
        <f>Model!U46</f>
        <v>12.35072429530274</v>
      </c>
      <c r="N46" s="86">
        <f>Model!V46</f>
        <v>12.602147199955253</v>
      </c>
      <c r="O46" s="86">
        <f>Model!W46</f>
        <v>12.854881271478089</v>
      </c>
      <c r="P46" s="87">
        <f>Model!X46</f>
        <v>13.108910212682943</v>
      </c>
      <c r="XFD46">
        <v>1</v>
      </c>
    </row>
    <row r="47" spans="2:16 16384:16384" x14ac:dyDescent="0.25">
      <c r="B47" s="83">
        <f>Model!J47</f>
        <v>37.692307692307693</v>
      </c>
      <c r="C47" s="88">
        <f>Model!K47</f>
        <v>980</v>
      </c>
      <c r="D47" s="85">
        <f>Model!L47</f>
        <v>10.029839733978628</v>
      </c>
      <c r="E47" s="86">
        <f>Model!M47</f>
        <v>10.264034302803923</v>
      </c>
      <c r="F47" s="86">
        <f>Model!N47</f>
        <v>10.499637681282334</v>
      </c>
      <c r="G47" s="86">
        <f>Model!O47</f>
        <v>10.736635948154493</v>
      </c>
      <c r="H47" s="86">
        <f>Model!P47</f>
        <v>10.975014904418501</v>
      </c>
      <c r="I47" s="86">
        <f>Model!Q47</f>
        <v>11.214760092276544</v>
      </c>
      <c r="J47" s="86">
        <f>Model!R47</f>
        <v>11.455856813881633</v>
      </c>
      <c r="K47" s="86">
        <f>Model!S47</f>
        <v>11.698290149851664</v>
      </c>
      <c r="L47" s="86">
        <f>Model!T47</f>
        <v>11.942044977518352</v>
      </c>
      <c r="M47" s="86">
        <f>Model!U47</f>
        <v>12.187105988882372</v>
      </c>
      <c r="N47" s="86">
        <f>Model!V47</f>
        <v>12.433457708246818</v>
      </c>
      <c r="O47" s="86">
        <f>Model!W47</f>
        <v>12.68108450950454</v>
      </c>
      <c r="P47" s="87">
        <f>Model!X47</f>
        <v>12.929970633056044</v>
      </c>
      <c r="XFD47">
        <v>0</v>
      </c>
    </row>
    <row r="48" spans="2:16 16384:16384" x14ac:dyDescent="0.25">
      <c r="B48" s="83">
        <f>Model!J48</f>
        <v>38.46153846153846</v>
      </c>
      <c r="C48" s="88">
        <f>Model!K48</f>
        <v>1000</v>
      </c>
      <c r="D48" s="85">
        <f>Model!L48</f>
        <v>9.9149489336946246</v>
      </c>
      <c r="E48" s="86">
        <f>Model!M48</f>
        <v>10.144611731110015</v>
      </c>
      <c r="F48" s="86">
        <f>Model!N48</f>
        <v>10.375644839576818</v>
      </c>
      <c r="G48" s="86">
        <f>Model!O48</f>
        <v>10.608034760677082</v>
      </c>
      <c r="H48" s="86">
        <f>Model!P48</f>
        <v>10.841767730244499</v>
      </c>
      <c r="I48" s="86">
        <f>Model!Q48</f>
        <v>11.076829736532126</v>
      </c>
      <c r="J48" s="86">
        <f>Model!R48</f>
        <v>11.313206538187028</v>
      </c>
      <c r="K48" s="86">
        <f>Model!S48</f>
        <v>11.550883682000499</v>
      </c>
      <c r="L48" s="86">
        <f>Model!T48</f>
        <v>11.789846520403</v>
      </c>
      <c r="M48" s="86">
        <f>Model!U48</f>
        <v>12.030080228676402</v>
      </c>
      <c r="N48" s="86">
        <f>Model!V48</f>
        <v>12.271569821856968</v>
      </c>
      <c r="O48" s="86">
        <f>Model!W48</f>
        <v>12.514300171305694</v>
      </c>
      <c r="P48" s="87">
        <f>Model!X48</f>
        <v>12.758256020923906</v>
      </c>
      <c r="XFD48">
        <v>1</v>
      </c>
    </row>
    <row r="49" spans="2:16 16384:16384" x14ac:dyDescent="0.25">
      <c r="B49" s="83">
        <f>Model!J49</f>
        <v>39.230769230769234</v>
      </c>
      <c r="C49" s="88">
        <f>Model!K49</f>
        <v>1020</v>
      </c>
      <c r="D49" s="85">
        <f>Model!L49</f>
        <v>9.804571081377949</v>
      </c>
      <c r="E49" s="86">
        <f>Model!M49</f>
        <v>10.029882461129045</v>
      </c>
      <c r="F49" s="86">
        <f>Model!N49</f>
        <v>10.25652754501651</v>
      </c>
      <c r="G49" s="86">
        <f>Model!O49</f>
        <v>10.484493232875984</v>
      </c>
      <c r="H49" s="86">
        <f>Model!P49</f>
        <v>10.713766169815418</v>
      </c>
      <c r="I49" s="86">
        <f>Model!Q49</f>
        <v>10.944332763669204</v>
      </c>
      <c r="J49" s="86">
        <f>Model!R49</f>
        <v>11.176179202265729</v>
      </c>
      <c r="K49" s="86">
        <f>Model!S49</f>
        <v>11.409291470478374</v>
      </c>
      <c r="L49" s="86">
        <f>Model!T49</f>
        <v>11.64365536703035</v>
      </c>
      <c r="M49" s="86">
        <f>Model!U49</f>
        <v>11.879256521027161</v>
      </c>
      <c r="N49" s="86">
        <f>Model!V49</f>
        <v>12.116080408191248</v>
      </c>
      <c r="O49" s="86">
        <f>Model!W49</f>
        <v>12.354112366776491</v>
      </c>
      <c r="P49" s="87">
        <f>Model!X49</f>
        <v>12.593337613141316</v>
      </c>
      <c r="XFD49">
        <v>0</v>
      </c>
    </row>
    <row r="50" spans="2:16 16384:16384" x14ac:dyDescent="0.25">
      <c r="B50" s="83">
        <f>Model!J50</f>
        <v>40</v>
      </c>
      <c r="C50" s="88">
        <f>Model!K50</f>
        <v>1040</v>
      </c>
      <c r="D50" s="85">
        <f>Model!L50</f>
        <v>9.6984453959304187</v>
      </c>
      <c r="E50" s="86">
        <f>Model!M50</f>
        <v>9.9195751587622016</v>
      </c>
      <c r="F50" s="86">
        <f>Model!N50</f>
        <v>10.142003780395394</v>
      </c>
      <c r="G50" s="86">
        <f>Model!O50</f>
        <v>10.365718536382879</v>
      </c>
      <c r="H50" s="86">
        <f>Model!P50</f>
        <v>10.590706457699024</v>
      </c>
      <c r="I50" s="86">
        <f>Model!Q50</f>
        <v>10.816954347538154</v>
      </c>
      <c r="J50" s="86">
        <f>Model!R50</f>
        <v>11.044448797932615</v>
      </c>
      <c r="K50" s="86">
        <f>Model!S50</f>
        <v>11.273176206161713</v>
      </c>
      <c r="L50" s="86">
        <f>Model!T50</f>
        <v>11.503122790923021</v>
      </c>
      <c r="M50" s="86">
        <f>Model!U50</f>
        <v>11.734274608240927</v>
      </c>
      <c r="N50" s="86">
        <f>Model!V50</f>
        <v>11.966617567087971</v>
      </c>
      <c r="O50" s="86">
        <f>Model!W50</f>
        <v>12.200137444697525</v>
      </c>
      <c r="P50" s="87">
        <f>Model!X50</f>
        <v>12.434819901547446</v>
      </c>
      <c r="XFD50">
        <v>1</v>
      </c>
    </row>
    <row r="51" spans="2:16 16384:16384" x14ac:dyDescent="0.25">
      <c r="B51" s="83">
        <f>Model!J51</f>
        <v>40.769230769230766</v>
      </c>
      <c r="C51" s="88">
        <f>Model!K51</f>
        <v>1060</v>
      </c>
      <c r="D51" s="85">
        <f>Model!L51</f>
        <v>9.5963308087173331</v>
      </c>
      <c r="E51" s="86">
        <f>Model!M51</f>
        <v>9.8134390096729138</v>
      </c>
      <c r="F51" s="86">
        <f>Model!N51</f>
        <v>10.031812866883561</v>
      </c>
      <c r="G51" s="86">
        <f>Model!O51</f>
        <v>10.251440010916937</v>
      </c>
      <c r="H51" s="86">
        <f>Model!P51</f>
        <v>10.47230783712941</v>
      </c>
      <c r="I51" s="86">
        <f>Model!Q51</f>
        <v>10.694403521860352</v>
      </c>
      <c r="J51" s="86">
        <f>Model!R51</f>
        <v>10.917714038451905</v>
      </c>
      <c r="K51" s="86">
        <f>Model!S51</f>
        <v>11.142226173066664</v>
      </c>
      <c r="L51" s="86">
        <f>Model!T51</f>
        <v>11.367926540275672</v>
      </c>
      <c r="M51" s="86">
        <f>Model!U51</f>
        <v>11.594801598392667</v>
      </c>
      <c r="N51" s="86">
        <f>Model!V51</f>
        <v>11.82283766453093</v>
      </c>
      <c r="O51" s="86">
        <f>Model!W51</f>
        <v>12.052020929362159</v>
      </c>
      <c r="P51" s="87">
        <f>Model!X51</f>
        <v>12.282337471557675</v>
      </c>
      <c r="XFD51">
        <v>0</v>
      </c>
    </row>
    <row r="52" spans="2:16 16384:16384" x14ac:dyDescent="0.25">
      <c r="B52" s="83">
        <f>Model!J52</f>
        <v>41.53846153846154</v>
      </c>
      <c r="C52" s="88">
        <f>Model!K52</f>
        <v>1080</v>
      </c>
      <c r="D52" s="85">
        <f>Model!L52</f>
        <v>9.4980041355480012</v>
      </c>
      <c r="E52" s="86">
        <f>Model!M52</f>
        <v>9.7112418155436142</v>
      </c>
      <c r="F52" s="86">
        <f>Model!N52</f>
        <v>9.9257134833825589</v>
      </c>
      <c r="G52" s="86">
        <f>Model!O52</f>
        <v>10.141407105588643</v>
      </c>
      <c r="H52" s="86">
        <f>Model!P52</f>
        <v>10.358310422138366</v>
      </c>
      <c r="I52" s="86">
        <f>Model!Q52</f>
        <v>10.576410962096952</v>
      </c>
      <c r="J52" s="86">
        <f>Model!R52</f>
        <v>10.795696059085518</v>
      </c>
      <c r="K52" s="86">
        <f>Model!S52</f>
        <v>11.01615286655267</v>
      </c>
      <c r="L52" s="86">
        <f>Model!T52</f>
        <v>11.237768372824007</v>
      </c>
      <c r="M52" s="86">
        <f>Model!U52</f>
        <v>11.460529415906215</v>
      </c>
      <c r="N52" s="86">
        <f>Model!V52</f>
        <v>11.684422698022928</v>
      </c>
      <c r="O52" s="86">
        <f>Model!W52</f>
        <v>11.909434799862504</v>
      </c>
      <c r="P52" s="87">
        <f>Model!X52</f>
        <v>12.135552194518713</v>
      </c>
      <c r="XFD52">
        <v>1</v>
      </c>
    </row>
    <row r="53" spans="2:16 16384:16384" x14ac:dyDescent="0.25">
      <c r="B53" s="83">
        <f>Model!J53</f>
        <v>42.307692307692307</v>
      </c>
      <c r="C53" s="88">
        <f>Model!K53</f>
        <v>1100</v>
      </c>
      <c r="D53" s="85">
        <f>Model!L53</f>
        <v>9.4032584483738617</v>
      </c>
      <c r="E53" s="86">
        <f>Model!M53</f>
        <v>9.6127682984137302</v>
      </c>
      <c r="F53" s="86">
        <f>Model!N53</f>
        <v>9.8234819024673143</v>
      </c>
      <c r="G53" s="86">
        <f>Model!O53</f>
        <v>10.035387545433187</v>
      </c>
      <c r="H53" s="86">
        <f>Model!P53</f>
        <v>10.248473293692767</v>
      </c>
      <c r="I53" s="86">
        <f>Model!Q53</f>
        <v>10.46272701022917</v>
      </c>
      <c r="J53" s="86">
        <f>Model!R53</f>
        <v>10.678136369582564</v>
      </c>
      <c r="K53" s="86">
        <f>Model!S53</f>
        <v>10.894688872616173</v>
      </c>
      <c r="L53" s="86">
        <f>Model!T53</f>
        <v>11.112371861067253</v>
      </c>
      <c r="M53" s="86">
        <f>Model!U53</f>
        <v>11.331172531860489</v>
      </c>
      <c r="N53" s="86">
        <f>Model!V53</f>
        <v>11.551077951161728</v>
      </c>
      <c r="O53" s="86">
        <f>Model!W53</f>
        <v>11.772075068152841</v>
      </c>
      <c r="P53" s="87">
        <f>Model!X53</f>
        <v>11.994150728509268</v>
      </c>
      <c r="XFD53">
        <v>0</v>
      </c>
    </row>
    <row r="54" spans="2:16 16384:16384" x14ac:dyDescent="0.25">
      <c r="B54" s="83">
        <f>Model!J54</f>
        <v>43.07692307692308</v>
      </c>
      <c r="C54" s="88">
        <f>Model!K54</f>
        <v>1120</v>
      </c>
      <c r="D54" s="85">
        <f>Model!L54</f>
        <v>9.3119016217031714</v>
      </c>
      <c r="E54" s="86">
        <f>Model!M54</f>
        <v>9.5178185870400505</v>
      </c>
      <c r="F54" s="86">
        <f>Model!N54</f>
        <v>9.7249104157786235</v>
      </c>
      <c r="G54" s="86">
        <f>Model!O54</f>
        <v>9.933165694941728</v>
      </c>
      <c r="H54" s="86">
        <f>Model!P54</f>
        <v>10.142572800492683</v>
      </c>
      <c r="I54" s="86">
        <f>Model!Q54</f>
        <v>10.353119911973817</v>
      </c>
      <c r="J54" s="86">
        <f>Model!R54</f>
        <v>10.564795026986602</v>
      </c>
      <c r="K54" s="86">
        <f>Model!S54</f>
        <v>10.77758597548833</v>
      </c>
      <c r="L54" s="86">
        <f>Model!T54</f>
        <v>10.991480433880403</v>
      </c>
      <c r="M54" s="86">
        <f>Model!U54</f>
        <v>11.206465938866396</v>
      </c>
      <c r="N54" s="86">
        <f>Model!V54</f>
        <v>11.422529901058459</v>
      </c>
      <c r="O54" s="86">
        <f>Model!W54</f>
        <v>11.639659618313432</v>
      </c>
      <c r="P54" s="87">
        <f>Model!X54</f>
        <v>11.857842288780812</v>
      </c>
      <c r="XFD54">
        <v>1</v>
      </c>
    </row>
    <row r="55" spans="2:16 16384:16384" x14ac:dyDescent="0.25">
      <c r="B55" s="83">
        <f>Model!J55</f>
        <v>43.846153846153847</v>
      </c>
      <c r="C55" s="88">
        <f>Model!K55</f>
        <v>1140</v>
      </c>
      <c r="D55" s="85">
        <f>Model!L55</f>
        <v>9.2237550322452577</v>
      </c>
      <c r="E55" s="86">
        <f>Model!M55</f>
        <v>9.4262068628846585</v>
      </c>
      <c r="F55" s="86">
        <f>Model!N55</f>
        <v>9.6298059255473412</v>
      </c>
      <c r="G55" s="86">
        <f>Model!O55</f>
        <v>9.8345410943317777</v>
      </c>
      <c r="H55" s="86">
        <f>Model!P55</f>
        <v>10.040401039216318</v>
      </c>
      <c r="I55" s="86">
        <f>Model!Q55</f>
        <v>10.247374240250585</v>
      </c>
      <c r="J55" s="86">
        <f>Model!R55</f>
        <v>10.455449001593291</v>
      </c>
      <c r="K55" s="86">
        <f>Model!S55</f>
        <v>10.664613465372172</v>
      </c>
      <c r="L55" s="86">
        <f>Model!T55</f>
        <v>10.874855625341842</v>
      </c>
      <c r="M55" s="86">
        <f>Model!U55</f>
        <v>11.086163340318254</v>
      </c>
      <c r="N55" s="86">
        <f>Model!V55</f>
        <v>11.298524347369055</v>
      </c>
      <c r="O55" s="86">
        <f>Model!W55</f>
        <v>11.511926274741654</v>
      </c>
      <c r="P55" s="87">
        <f>Model!X55</f>
        <v>11.726356654511708</v>
      </c>
      <c r="XFD55">
        <v>0</v>
      </c>
    </row>
    <row r="56" spans="2:16 16384:16384" x14ac:dyDescent="0.25">
      <c r="B56" s="83">
        <f>Model!J56</f>
        <v>44.615384615384613</v>
      </c>
      <c r="C56" s="88">
        <f>Model!K56</f>
        <v>1160</v>
      </c>
      <c r="D56" s="85">
        <f>Model!L56</f>
        <v>9.138652393265069</v>
      </c>
      <c r="E56" s="86">
        <f>Model!M56</f>
        <v>9.3377601464300657</v>
      </c>
      <c r="F56" s="86">
        <f>Model!N56</f>
        <v>9.5379886821548734</v>
      </c>
      <c r="G56" s="86">
        <f>Model!O56</f>
        <v>9.7393271476527801</v>
      </c>
      <c r="H56" s="86">
        <f>Model!P56</f>
        <v>9.9417644924863282</v>
      </c>
      <c r="I56" s="86">
        <f>Model!Q56</f>
        <v>10.145289482341488</v>
      </c>
      <c r="J56" s="86">
        <f>Model!R56</f>
        <v>10.349890712652833</v>
      </c>
      <c r="K56" s="86">
        <f>Model!S56</f>
        <v>10.555556622056148</v>
      </c>
      <c r="L56" s="86">
        <f>Model!T56</f>
        <v>10.762275505644812</v>
      </c>
      <c r="M56" s="86">
        <f>Model!U56</f>
        <v>10.970035528009353</v>
      </c>
      <c r="N56" s="86">
        <f>Model!V56</f>
        <v>11.178824736039873</v>
      </c>
      <c r="O56" s="86">
        <f>Model!W56</f>
        <v>11.388631071473757</v>
      </c>
      <c r="P56" s="87">
        <f>Model!X56</f>
        <v>11.59944238317178</v>
      </c>
      <c r="XFD56">
        <v>1</v>
      </c>
    </row>
    <row r="57" spans="2:16 16384:16384" x14ac:dyDescent="0.25">
      <c r="B57" s="83">
        <f>Model!J57</f>
        <v>45.384615384615387</v>
      </c>
      <c r="C57" s="88">
        <f>Model!K57</f>
        <v>1180</v>
      </c>
      <c r="D57" s="85">
        <f>Model!L57</f>
        <v>9.0564387076433022</v>
      </c>
      <c r="E57" s="86">
        <f>Model!M57</f>
        <v>9.2523172071428466</v>
      </c>
      <c r="F57" s="86">
        <f>Model!N57</f>
        <v>9.4492911503653048</v>
      </c>
      <c r="G57" s="86">
        <f>Model!O57</f>
        <v>9.6473499446647715</v>
      </c>
      <c r="H57" s="86">
        <f>Model!P57</f>
        <v>9.8464828057868097</v>
      </c>
      <c r="I57" s="86">
        <f>Model!Q57</f>
        <v>10.046678771252443</v>
      </c>
      <c r="J57" s="86">
        <f>Model!R57</f>
        <v>10.247926713597591</v>
      </c>
      <c r="K57" s="86">
        <f>Model!S57</f>
        <v>10.450215353444833</v>
      </c>
      <c r="L57" s="86">
        <f>Model!T57</f>
        <v>10.653533272384628</v>
      </c>
      <c r="M57" s="86">
        <f>Model!U57</f>
        <v>10.857868925645759</v>
      </c>
      <c r="N57" s="86">
        <f>Model!V57</f>
        <v>11.0632106545353</v>
      </c>
      <c r="O57" s="86">
        <f>Model!W57</f>
        <v>11.26954669863094</v>
      </c>
      <c r="P57" s="87">
        <f>Model!X57</f>
        <v>11.476865207709199</v>
      </c>
      <c r="XFD57">
        <v>0</v>
      </c>
    </row>
    <row r="58" spans="2:16 16384:16384" x14ac:dyDescent="0.25">
      <c r="B58" s="83">
        <f>Model!J58</f>
        <v>46.153846153846153</v>
      </c>
      <c r="C58" s="88">
        <f>Model!K58</f>
        <v>1200</v>
      </c>
      <c r="D58" s="85">
        <f>Model!L58</f>
        <v>8.9769693257743004</v>
      </c>
      <c r="E58" s="86">
        <f>Model!M58</f>
        <v>9.1697275826346925</v>
      </c>
      <c r="F58" s="86">
        <f>Model!N58</f>
        <v>9.3635569891847759</v>
      </c>
      <c r="G58" s="86">
        <f>Model!O58</f>
        <v>9.5584472008424797</v>
      </c>
      <c r="H58" s="86">
        <f>Model!P58</f>
        <v>9.7543876870704516</v>
      </c>
      <c r="I58" s="86">
        <f>Model!Q58</f>
        <v>9.951367744394453</v>
      </c>
      <c r="J58" s="86">
        <f>Model!R58</f>
        <v>10.149376509281304</v>
      </c>
      <c r="K58" s="86">
        <f>Model!S58</f>
        <v>10.348402970853961</v>
      </c>
      <c r="L58" s="86">
        <f>Model!T58</f>
        <v>10.548435983421273</v>
      </c>
      <c r="M58" s="86">
        <f>Model!U58</f>
        <v>10.74946427880276</v>
      </c>
      <c r="N58" s="86">
        <f>Model!V58</f>
        <v>10.951476478429164</v>
      </c>
      <c r="O58" s="86">
        <f>Model!W58</f>
        <v>11.154461105201989</v>
      </c>
      <c r="P58" s="87">
        <f>Model!X58</f>
        <v>11.358406595096014</v>
      </c>
      <c r="XFD58">
        <v>1</v>
      </c>
    </row>
    <row r="59" spans="2:16 16384:16384" x14ac:dyDescent="0.25">
      <c r="B59" s="83">
        <f>Model!J59</f>
        <v>46.92307692307692</v>
      </c>
      <c r="C59" s="88">
        <f>Model!K59</f>
        <v>1220</v>
      </c>
      <c r="D59" s="85">
        <f>Model!L59</f>
        <v>8.9001090962550098</v>
      </c>
      <c r="E59" s="86">
        <f>Model!M59</f>
        <v>9.0898506944683533</v>
      </c>
      <c r="F59" s="86">
        <f>Model!N59</f>
        <v>9.2806401322808885</v>
      </c>
      <c r="G59" s="86">
        <f>Model!O59</f>
        <v>9.4724673019145023</v>
      </c>
      <c r="H59" s="86">
        <f>Model!P59</f>
        <v>9.6653219149342497</v>
      </c>
      <c r="I59" s="86">
        <f>Model!Q59</f>
        <v>9.8591935149234189</v>
      </c>
      <c r="J59" s="86">
        <f>Model!R59</f>
        <v>10.054071490022132</v>
      </c>
      <c r="K59" s="86">
        <f>Model!S59</f>
        <v>10.249945085307557</v>
      </c>
      <c r="L59" s="86">
        <f>Model!T59</f>
        <v>10.446803414993811</v>
      </c>
      <c r="M59" s="86">
        <f>Model!U59</f>
        <v>10.644635474432345</v>
      </c>
      <c r="N59" s="86">
        <f>Model!V59</f>
        <v>10.843430151893957</v>
      </c>
      <c r="O59" s="86">
        <f>Model!W59</f>
        <v>11.043176240116114</v>
      </c>
      <c r="P59" s="87">
        <f>Model!X59</f>
        <v>11.243862447599859</v>
      </c>
      <c r="XFD59">
        <v>0</v>
      </c>
    </row>
    <row r="60" spans="2:16 16384:16384" x14ac:dyDescent="0.25">
      <c r="B60" s="83">
        <f>Model!J60</f>
        <v>47.692307692307693</v>
      </c>
      <c r="C60" s="88">
        <f>Model!K60</f>
        <v>1240</v>
      </c>
      <c r="D60" s="85">
        <f>Model!L60</f>
        <v>8.825731598874702</v>
      </c>
      <c r="E60" s="86">
        <f>Model!M60</f>
        <v>9.0125550496783084</v>
      </c>
      <c r="F60" s="86">
        <f>Model!N60</f>
        <v>9.2004039575845749</v>
      </c>
      <c r="G60" s="86">
        <f>Model!O60</f>
        <v>9.3892684411052603</v>
      </c>
      <c r="H60" s="86">
        <f>Model!P60</f>
        <v>9.5791384430694553</v>
      </c>
      <c r="I60" s="86">
        <f>Model!Q60</f>
        <v>9.7700037429756428</v>
      </c>
      <c r="J60" s="86">
        <f>Model!R60</f>
        <v>9.9618539692110915</v>
      </c>
      <c r="K60" s="86">
        <f>Model!S60</f>
        <v>10.154678611117133</v>
      </c>
      <c r="L60" s="86">
        <f>Model!T60</f>
        <v>10.348467030878831</v>
      </c>
      <c r="M60" s="86">
        <f>Model!U60</f>
        <v>10.543208475220329</v>
      </c>
      <c r="N60" s="86">
        <f>Model!V60</f>
        <v>10.738892086887379</v>
      </c>
      <c r="O60" s="86">
        <f>Model!W60</f>
        <v>10.935506915901108</v>
      </c>
      <c r="P60" s="87">
        <f>Model!X60</f>
        <v>11.133041930567627</v>
      </c>
      <c r="XFD60">
        <v>1</v>
      </c>
    </row>
    <row r="61" spans="2:16 16384:16384" x14ac:dyDescent="0.25">
      <c r="B61" s="83">
        <f>Model!J61</f>
        <v>48.46153846153846</v>
      </c>
      <c r="C61" s="88">
        <f>Model!K61</f>
        <v>1260</v>
      </c>
      <c r="D61" s="85">
        <f>Model!L61</f>
        <v>8.7537184507490799</v>
      </c>
      <c r="E61" s="86">
        <f>Model!M61</f>
        <v>8.9377175184662683</v>
      </c>
      <c r="F61" s="86">
        <f>Model!N61</f>
        <v>9.1227205361446089</v>
      </c>
      <c r="G61" s="86">
        <f>Model!O61</f>
        <v>9.3087178387535978</v>
      </c>
      <c r="H61" s="86">
        <f>Model!P61</f>
        <v>9.4956995902573098</v>
      </c>
      <c r="I61" s="86">
        <f>Model!Q61</f>
        <v>9.6836557956620588</v>
      </c>
      <c r="J61" s="86">
        <f>Model!R61</f>
        <v>9.8725763129349389</v>
      </c>
      <c r="K61" s="86">
        <f>Model!S61</f>
        <v>10.062450864772337</v>
      </c>
      <c r="L61" s="86">
        <f>Model!T61</f>
        <v>10.25326905019732</v>
      </c>
      <c r="M61" s="86">
        <f>Model!U61</f>
        <v>10.44502035596757</v>
      </c>
      <c r="N61" s="86">
        <f>Model!V61</f>
        <v>10.637694167775805</v>
      </c>
      <c r="O61" s="86">
        <f>Model!W61</f>
        <v>10.831279781227034</v>
      </c>
      <c r="P61" s="87">
        <f>Model!X61</f>
        <v>11.025766412577548</v>
      </c>
      <c r="XFD61">
        <v>0</v>
      </c>
    </row>
    <row r="62" spans="2:16 16384:16384" x14ac:dyDescent="0.25">
      <c r="B62" s="83">
        <f>Model!J62</f>
        <v>49.230769230769234</v>
      </c>
      <c r="C62" s="88">
        <f>Model!K62</f>
        <v>1280</v>
      </c>
      <c r="D62" s="85">
        <f>Model!L62</f>
        <v>8.6839586775883113</v>
      </c>
      <c r="E62" s="86">
        <f>Model!M62</f>
        <v>8.8652226797260756</v>
      </c>
      <c r="F62" s="86">
        <f>Model!N62</f>
        <v>9.0474699515486066</v>
      </c>
      <c r="G62" s="86">
        <f>Model!O62</f>
        <v>9.230691035275731</v>
      </c>
      <c r="H62" s="86">
        <f>Model!P62</f>
        <v>9.4148763065268</v>
      </c>
      <c r="I62" s="86">
        <f>Model!Q62</f>
        <v>9.6000159860809298</v>
      </c>
      <c r="J62" s="86">
        <f>Model!R62</f>
        <v>9.7861001515115458</v>
      </c>
      <c r="K62" s="86">
        <f>Model!S62</f>
        <v>9.9731187486747253</v>
      </c>
      <c r="L62" s="86">
        <f>Model!T62</f>
        <v>10.161061603030699</v>
      </c>
      <c r="M62" s="86">
        <f>Model!U62</f>
        <v>10.349918430780539</v>
      </c>
      <c r="N62" s="86">
        <f>Model!V62</f>
        <v>10.539678849800326</v>
      </c>
      <c r="O62" s="86">
        <f>Model!W62</f>
        <v>10.73033239035745</v>
      </c>
      <c r="P62" s="87">
        <f>Model!X62</f>
        <v>10.92186850559429</v>
      </c>
      <c r="XFD62">
        <v>1</v>
      </c>
    </row>
    <row r="63" spans="2:16 16384:16384" x14ac:dyDescent="0.25">
      <c r="B63" s="83">
        <f>Model!J63</f>
        <v>50</v>
      </c>
      <c r="C63" s="88">
        <f>Model!K63</f>
        <v>1300</v>
      </c>
      <c r="D63" s="85">
        <f>Model!L63</f>
        <v>8.6163481430757116</v>
      </c>
      <c r="E63" s="86">
        <f>Model!M63</f>
        <v>8.7949622270813581</v>
      </c>
      <c r="F63" s="86">
        <f>Model!N63</f>
        <v>8.9745396822956991</v>
      </c>
      <c r="G63" s="86">
        <f>Model!O63</f>
        <v>9.1550712495547764</v>
      </c>
      <c r="H63" s="86">
        <f>Model!P63</f>
        <v>9.3365475072489659</v>
      </c>
      <c r="I63" s="86">
        <f>Model!Q63</f>
        <v>9.518958882811356</v>
      </c>
      <c r="J63" s="86">
        <f>Model!R63</f>
        <v>9.7022956640837208</v>
      </c>
      <c r="K63" s="86">
        <f>Model!S63</f>
        <v>9.8865480105399399</v>
      </c>
      <c r="L63" s="86">
        <f>Model!T63</f>
        <v>10.071705964346641</v>
      </c>
      <c r="M63" s="86">
        <f>Model!U63</f>
        <v>10.257759461243431</v>
      </c>
      <c r="N63" s="86">
        <f>Model!V63</f>
        <v>10.44469834122534</v>
      </c>
      <c r="O63" s="86">
        <f>Model!W63</f>
        <v>10.632512359012464</v>
      </c>
      <c r="P63" s="87">
        <f>Model!X63</f>
        <v>10.821191194292263</v>
      </c>
      <c r="XFD63">
        <v>0</v>
      </c>
    </row>
    <row r="64" spans="2:16 16384:16384" x14ac:dyDescent="0.25">
      <c r="B64" s="83">
        <f>Model!J64</f>
        <v>50.769230769230766</v>
      </c>
      <c r="C64" s="88">
        <f>Model!K64</f>
        <v>1320</v>
      </c>
      <c r="D64" s="85">
        <f>Model!L64</f>
        <v>8.550789030186122</v>
      </c>
      <c r="E64" s="86">
        <f>Model!M64</f>
        <v>8.7268344290075746</v>
      </c>
      <c r="F64" s="86">
        <f>Model!N64</f>
        <v>8.903824040430754</v>
      </c>
      <c r="G64" s="86">
        <f>Model!O64</f>
        <v>9.0817487958008485</v>
      </c>
      <c r="H64" s="86">
        <f>Model!P64</f>
        <v>9.2605994679419776</v>
      </c>
      <c r="I64" s="86">
        <f>Model!Q64</f>
        <v>9.4403666823880581</v>
      </c>
      <c r="J64" s="86">
        <f>Model!R64</f>
        <v>9.6210409284943701</v>
      </c>
      <c r="K64" s="86">
        <f>Model!S64</f>
        <v>9.8026125704100533</v>
      </c>
      <c r="L64" s="86">
        <f>Model!T64</f>
        <v>9.9850718578916933</v>
      </c>
      <c r="M64" s="86">
        <f>Model!U64</f>
        <v>10.168408936940679</v>
      </c>
      <c r="N64" s="86">
        <f>Model!V64</f>
        <v>10.352613860247288</v>
      </c>
      <c r="O64" s="86">
        <f>Model!W64</f>
        <v>10.53767659742673</v>
      </c>
      <c r="P64" s="87">
        <f>Model!X64</f>
        <v>10.723587045032948</v>
      </c>
      <c r="XFD64">
        <v>1</v>
      </c>
    </row>
    <row r="65" spans="2:16 16384:16384" x14ac:dyDescent="0.25">
      <c r="B65" s="83">
        <f>Model!J65</f>
        <v>51.53846153846154</v>
      </c>
      <c r="C65" s="88">
        <f>Model!K65</f>
        <v>1340</v>
      </c>
      <c r="D65" s="85">
        <f>Model!L65</f>
        <v>8.4871893690108386</v>
      </c>
      <c r="E65" s="86">
        <f>Model!M65</f>
        <v>8.660743637378852</v>
      </c>
      <c r="F65" s="86">
        <f>Model!N65</f>
        <v>8.8352236605505414</v>
      </c>
      <c r="G65" s="86">
        <f>Model!O65</f>
        <v>9.0106205527584358</v>
      </c>
      <c r="H65" s="86">
        <f>Model!P65</f>
        <v>9.186925273426418</v>
      </c>
      <c r="I65" s="86">
        <f>Model!Q65</f>
        <v>9.3641286381562701</v>
      </c>
      <c r="J65" s="86">
        <f>Model!R65</f>
        <v>9.5422213295979024</v>
      </c>
      <c r="K65" s="86">
        <f>Model!S65</f>
        <v>9.7211939081837926</v>
      </c>
      <c r="L65" s="86">
        <f>Model!T65</f>
        <v>9.9010368227082335</v>
      </c>
      <c r="M65" s="86">
        <f>Model!U65</f>
        <v>10.081740420734301</v>
      </c>
      <c r="N65" s="86">
        <f>Model!V65</f>
        <v>10.263294958811867</v>
      </c>
      <c r="O65" s="86">
        <f>Model!W65</f>
        <v>10.445690612492125</v>
      </c>
      <c r="P65" s="87">
        <f>Model!X65</f>
        <v>10.628917486124646</v>
      </c>
      <c r="XFD65">
        <v>0</v>
      </c>
    </row>
    <row r="66" spans="2:16 16384:16384" x14ac:dyDescent="0.25">
      <c r="B66" s="83">
        <f>Model!J66</f>
        <v>52.307692307692307</v>
      </c>
      <c r="C66" s="88">
        <f>Model!K66</f>
        <v>1360</v>
      </c>
      <c r="D66" s="85">
        <f>Model!L66</f>
        <v>8.4254626062957989</v>
      </c>
      <c r="E66" s="86">
        <f>Model!M66</f>
        <v>8.5965998394468954</v>
      </c>
      <c r="F66" s="86">
        <f>Model!N66</f>
        <v>8.7686450339863384</v>
      </c>
      <c r="G66" s="86">
        <f>Model!O66</f>
        <v>8.9415894798596991</v>
      </c>
      <c r="H66" s="86">
        <f>Model!P66</f>
        <v>9.1154243157204728</v>
      </c>
      <c r="I66" s="86">
        <f>Model!Q66</f>
        <v>9.2901405396844901</v>
      </c>
      <c r="J66" s="86">
        <f>Model!R66</f>
        <v>9.4657290199707944</v>
      </c>
      <c r="K66" s="86">
        <f>Model!S66</f>
        <v>9.6421805054099767</v>
      </c>
      <c r="L66" s="86">
        <f>Model!T66</f>
        <v>9.8194856358007421</v>
      </c>
      <c r="M66" s="86">
        <f>Model!U66</f>
        <v>9.9976349520980587</v>
      </c>
      <c r="N66" s="86">
        <f>Model!V66</f>
        <v>10.176618906416401</v>
      </c>
      <c r="O66" s="86">
        <f>Model!W66</f>
        <v>10.356427871833841</v>
      </c>
      <c r="P66" s="87">
        <f>Model!X66</f>
        <v>10.537052151983275</v>
      </c>
      <c r="XFD66">
        <v>1</v>
      </c>
    </row>
    <row r="67" spans="2:16 16384:16384" x14ac:dyDescent="0.25">
      <c r="B67" s="83">
        <f>Model!J67</f>
        <v>53.07692307692308</v>
      </c>
      <c r="C67" s="88">
        <f>Model!K67</f>
        <v>1380</v>
      </c>
      <c r="D67" s="85">
        <f>Model!L67</f>
        <v>8.3655272124561986</v>
      </c>
      <c r="E67" s="86">
        <f>Model!M67</f>
        <v>8.5343182488390035</v>
      </c>
      <c r="F67" s="86">
        <f>Model!N67</f>
        <v>8.7040000835710476</v>
      </c>
      <c r="G67" s="86">
        <f>Model!O67</f>
        <v>8.8745641755500113</v>
      </c>
      <c r="H67" s="86">
        <f>Model!P67</f>
        <v>9.0460018357169769</v>
      </c>
      <c r="I67" s="86">
        <f>Model!Q67</f>
        <v>9.2183042375899653</v>
      </c>
      <c r="J67" s="86">
        <f>Model!R67</f>
        <v>9.3914624276866334</v>
      </c>
      <c r="K67" s="86">
        <f>Model!S67</f>
        <v>9.5654673358174129</v>
      </c>
      <c r="L67" s="86">
        <f>Model!T67</f>
        <v>9.7403097852302825</v>
      </c>
      <c r="M67" s="86">
        <f>Model!U67</f>
        <v>9.9159805025907115</v>
      </c>
      <c r="N67" s="86">
        <f>Model!V67</f>
        <v>10.092470127780592</v>
      </c>
      <c r="O67" s="86">
        <f>Model!W67</f>
        <v>10.269769223502191</v>
      </c>
      <c r="P67" s="87">
        <f>Model!X67</f>
        <v>10.447868284673538</v>
      </c>
      <c r="XFD67">
        <v>0</v>
      </c>
    </row>
    <row r="68" spans="2:16 16384:16384" x14ac:dyDescent="0.25">
      <c r="B68" s="83">
        <f>Model!J68</f>
        <v>53.846153846153847</v>
      </c>
      <c r="C68" s="88">
        <f>Model!K68</f>
        <v>1400</v>
      </c>
      <c r="D68" s="85">
        <f>Model!L68</f>
        <v>8.3073063223155099</v>
      </c>
      <c r="E68" s="86">
        <f>Model!M68</f>
        <v>8.4738189316673225</v>
      </c>
      <c r="F68" s="86">
        <f>Model!N68</f>
        <v>8.6412057749247353</v>
      </c>
      <c r="G68" s="86">
        <f>Model!O68</f>
        <v>8.8094584735589372</v>
      </c>
      <c r="H68" s="86">
        <f>Model!P68</f>
        <v>8.9785685042523564</v>
      </c>
      <c r="I68" s="86">
        <f>Model!Q68</f>
        <v>9.1485272092216938</v>
      </c>
      <c r="J68" s="86">
        <f>Model!R68</f>
        <v>9.3193258064327651</v>
      </c>
      <c r="K68" s="86">
        <f>Model!S68</f>
        <v>9.4909553996886444</v>
      </c>
      <c r="L68" s="86">
        <f>Model!T68</f>
        <v>9.6634069885726248</v>
      </c>
      <c r="M68" s="86">
        <f>Model!U68</f>
        <v>9.8366714782298157</v>
      </c>
      <c r="N68" s="86">
        <f>Model!V68</f>
        <v>10.010739688971462</v>
      </c>
      <c r="O68" s="86">
        <f>Model!W68</f>
        <v>10.185602365688219</v>
      </c>
      <c r="P68" s="87">
        <f>Model!X68</f>
        <v>10.361250187059017</v>
      </c>
      <c r="XFD68">
        <v>1</v>
      </c>
    </row>
    <row r="69" spans="2:16 16384:16384" x14ac:dyDescent="0.25">
      <c r="B69" s="83">
        <f>Model!J69</f>
        <v>54.615384615384613</v>
      </c>
      <c r="C69" s="88">
        <f>Model!K69</f>
        <v>1420</v>
      </c>
      <c r="D69" s="85">
        <f>Model!L69</f>
        <v>8.2507274062400917</v>
      </c>
      <c r="E69" s="86">
        <f>Model!M69</f>
        <v>8.4150264642824641</v>
      </c>
      <c r="F69" s="86">
        <f>Model!N69</f>
        <v>8.5801837606513658</v>
      </c>
      <c r="G69" s="86">
        <f>Model!O69</f>
        <v>8.7461910733670933</v>
      </c>
      <c r="H69" s="86">
        <f>Model!P69</f>
        <v>8.913040038673504</v>
      </c>
      <c r="I69" s="86">
        <f>Model!Q69</f>
        <v>9.0807221611603026</v>
      </c>
      <c r="J69" s="86">
        <f>Model!R69</f>
        <v>9.249228823779525</v>
      </c>
      <c r="K69" s="86">
        <f>Model!S69</f>
        <v>9.4185512977381425</v>
      </c>
      <c r="L69" s="86">
        <f>Model!T69</f>
        <v>9.5886807522484894</v>
      </c>
      <c r="M69" s="86">
        <f>Model!U69</f>
        <v>9.7596082641206685</v>
      </c>
      <c r="N69" s="86">
        <f>Model!V69</f>
        <v>9.9313248271812231</v>
      </c>
      <c r="O69" s="86">
        <f>Model!W69</f>
        <v>10.103821361504508</v>
      </c>
      <c r="P69" s="87">
        <f>Model!X69</f>
        <v>10.277088722443697</v>
      </c>
      <c r="XFD69">
        <v>0</v>
      </c>
    </row>
    <row r="70" spans="2:16 16384:16384" x14ac:dyDescent="0.25">
      <c r="B70" s="83">
        <f>Model!J70</f>
        <v>55.384615384615387</v>
      </c>
      <c r="C70" s="88">
        <f>Model!K70</f>
        <v>1440</v>
      </c>
      <c r="D70" s="85">
        <f>Model!L70</f>
        <v>8.1957219687108154</v>
      </c>
      <c r="E70" s="86">
        <f>Model!M70</f>
        <v>8.357869619590339</v>
      </c>
      <c r="F70" s="86">
        <f>Model!N70</f>
        <v>8.5208600542411688</v>
      </c>
      <c r="G70" s="86">
        <f>Model!O70</f>
        <v>8.6846852015368068</v>
      </c>
      <c r="H70" s="86">
        <f>Model!P70</f>
        <v>8.8493368514423025</v>
      </c>
      <c r="I70" s="86">
        <f>Model!Q70</f>
        <v>9.0148066649447056</v>
      </c>
      <c r="J70" s="86">
        <f>Model!R70</f>
        <v>9.1810861838801401</v>
      </c>
      <c r="K70" s="86">
        <f>Model!S70</f>
        <v>9.3481668406395872</v>
      </c>
      <c r="L70" s="86">
        <f>Model!T70</f>
        <v>9.5160399677354484</v>
      </c>
      <c r="M70" s="86">
        <f>Model!U70</f>
        <v>9.6846968072132142</v>
      </c>
      <c r="N70" s="86">
        <f>Model!V70</f>
        <v>9.8541285198928268</v>
      </c>
      <c r="O70" s="86">
        <f>Model!W70</f>
        <v>10.024326194426342</v>
      </c>
      <c r="P70" s="87">
        <f>Model!X70</f>
        <v>10.19528085615903</v>
      </c>
      <c r="XFD70">
        <v>1</v>
      </c>
    </row>
    <row r="71" spans="2:16 16384:16384" x14ac:dyDescent="0.25">
      <c r="B71" s="83">
        <f>Model!J71</f>
        <v>56.153846153846153</v>
      </c>
      <c r="C71" s="88">
        <f>Model!K71</f>
        <v>1460</v>
      </c>
      <c r="D71" s="85">
        <f>Model!L71</f>
        <v>8.1422252716978676</v>
      </c>
      <c r="E71" s="86">
        <f>Model!M71</f>
        <v>8.3022810791893207</v>
      </c>
      <c r="F71" s="86">
        <f>Model!N71</f>
        <v>8.4631647308249267</v>
      </c>
      <c r="G71" s="86">
        <f>Model!O71</f>
        <v>8.624868300940669</v>
      </c>
      <c r="H71" s="86">
        <f>Model!P71</f>
        <v>8.7873837276977937</v>
      </c>
      <c r="I71" s="86">
        <f>Model!Q71</f>
        <v>8.9507028228298378</v>
      </c>
      <c r="J71" s="86">
        <f>Model!R71</f>
        <v>9.1148172812885324</v>
      </c>
      <c r="K71" s="86">
        <f>Model!S71</f>
        <v>9.2797186907709452</v>
      </c>
      <c r="L71" s="86">
        <f>Model!T71</f>
        <v>9.4453985411101726</v>
      </c>
      <c r="M71" s="86">
        <f>Model!U71</f>
        <v>9.611848233514209</v>
      </c>
      <c r="N71" s="86">
        <f>Model!V71</f>
        <v>9.7790590896377125</v>
      </c>
      <c r="O71" s="86">
        <f>Model!W71</f>
        <v>9.9470223604735928</v>
      </c>
      <c r="P71" s="87">
        <f>Model!X71</f>
        <v>10.115729235051623</v>
      </c>
      <c r="XFD71">
        <v>0</v>
      </c>
    </row>
    <row r="72" spans="2:16 16384:16384" x14ac:dyDescent="0.25">
      <c r="B72" s="83">
        <f>Model!J72</f>
        <v>56.92307692307692</v>
      </c>
      <c r="C72" s="88">
        <f>Model!K72</f>
        <v>1480</v>
      </c>
      <c r="D72" s="85">
        <f>Model!L72</f>
        <v>8.0901760804898064</v>
      </c>
      <c r="E72" s="86">
        <f>Model!M72</f>
        <v>8.2481971688816529</v>
      </c>
      <c r="F72" s="86">
        <f>Model!N72</f>
        <v>8.4070316522355704</v>
      </c>
      <c r="G72" s="86">
        <f>Model!O72</f>
        <v>8.5666717452430898</v>
      </c>
      <c r="H72" s="86">
        <f>Model!P72</f>
        <v>8.7271095290297076</v>
      </c>
      <c r="I72" s="86">
        <f>Model!Q72</f>
        <v>8.8883369607263205</v>
      </c>
      <c r="J72" s="86">
        <f>Model!R72</f>
        <v>9.0503458829416275</v>
      </c>
      <c r="K72" s="86">
        <f>Model!S72</f>
        <v>9.2131280331182577</v>
      </c>
      <c r="L72" s="86">
        <f>Model!T72</f>
        <v>9.3766750527550702</v>
      </c>
      <c r="M72" s="86">
        <f>Model!U72</f>
        <v>9.5409784964805748</v>
      </c>
      <c r="N72" s="86">
        <f>Model!V72</f>
        <v>9.7060298409623478</v>
      </c>
      <c r="O72" s="86">
        <f>Model!W72</f>
        <v>9.8718204936395804</v>
      </c>
      <c r="P72" s="87">
        <f>Model!X72</f>
        <v>10.03834180126618</v>
      </c>
      <c r="XFD72">
        <v>1</v>
      </c>
    </row>
    <row r="73" spans="2:16 16384:16384" x14ac:dyDescent="0.25">
      <c r="B73" s="83">
        <f>Model!J73</f>
        <v>57.692307692307693</v>
      </c>
      <c r="C73" s="88">
        <f>Model!K73</f>
        <v>1500</v>
      </c>
      <c r="D73" s="85">
        <f>Model!L73</f>
        <v>8.0395164298788266</v>
      </c>
      <c r="E73" s="86">
        <f>Model!M73</f>
        <v>8.1955576153744563</v>
      </c>
      <c r="F73" s="86">
        <f>Model!N73</f>
        <v>8.3523982141043671</v>
      </c>
      <c r="G73" s="86">
        <f>Model!O73</f>
        <v>8.5100305762729747</v>
      </c>
      <c r="H73" s="86">
        <f>Model!P73</f>
        <v>8.6684469210108386</v>
      </c>
      <c r="I73" s="86">
        <f>Model!Q73</f>
        <v>8.8276393457777225</v>
      </c>
      <c r="J73" s="86">
        <f>Model!R73</f>
        <v>8.9875998356687745</v>
      </c>
      <c r="K73" s="86">
        <f>Model!S73</f>
        <v>9.1483202726066608</v>
      </c>
      <c r="L73" s="86">
        <f>Model!T73</f>
        <v>9.3097924444025164</v>
      </c>
      <c r="M73" s="86">
        <f>Model!U73</f>
        <v>9.4720080536707574</v>
      </c>
      <c r="N73" s="86">
        <f>Model!V73</f>
        <v>9.6349587265828873</v>
      </c>
      <c r="O73" s="86">
        <f>Model!W73</f>
        <v>9.7986360214476385</v>
      </c>
      <c r="P73" s="87">
        <f>Model!X73</f>
        <v>9.963031437104986</v>
      </c>
      <c r="XFD73">
        <v>0</v>
      </c>
    </row>
    <row r="74" spans="2:16 16384:16384" x14ac:dyDescent="0.25">
      <c r="B74" s="83">
        <f>Model!J74</f>
        <v>58.46153846153846</v>
      </c>
      <c r="C74" s="88">
        <f>Model!K74</f>
        <v>1520</v>
      </c>
      <c r="D74" s="85">
        <f>Model!L74</f>
        <v>7.9901914088253125</v>
      </c>
      <c r="E74" s="86">
        <f>Model!M74</f>
        <v>8.1443053222158426</v>
      </c>
      <c r="F74" s="86">
        <f>Model!N74</f>
        <v>8.2992051129585818</v>
      </c>
      <c r="G74" s="86">
        <f>Model!O74</f>
        <v>8.4548832621745866</v>
      </c>
      <c r="H74" s="86">
        <f>Model!P74</f>
        <v>8.6113321222943959</v>
      </c>
      <c r="I74" s="86">
        <f>Model!Q74</f>
        <v>8.7685439262995839</v>
      </c>
      <c r="J74" s="86">
        <f>Model!R74</f>
        <v>8.9265107968694011</v>
      </c>
      <c r="K74" s="86">
        <f>Model!S74</f>
        <v>9.0852247554156005</v>
      </c>
      <c r="L74" s="86">
        <f>Model!T74</f>
        <v>9.2446777309885366</v>
      </c>
      <c r="M74" s="86">
        <f>Model!U74</f>
        <v>9.4048615690397863</v>
      </c>
      <c r="N74" s="86">
        <f>Model!V74</f>
        <v>9.5657680400266756</v>
      </c>
      <c r="O74" s="86">
        <f>Model!W74</f>
        <v>9.7273888478461643</v>
      </c>
      <c r="P74" s="87">
        <f>Model!X74</f>
        <v>9.8897156380858302</v>
      </c>
      <c r="XFD74">
        <v>1</v>
      </c>
    </row>
    <row r="75" spans="2:16 16384:16384" x14ac:dyDescent="0.25">
      <c r="B75" s="83">
        <f>Model!J75</f>
        <v>59.230769230769234</v>
      </c>
      <c r="C75" s="88">
        <f>Model!K75</f>
        <v>1540</v>
      </c>
      <c r="D75" s="85">
        <f>Model!L75</f>
        <v>7.9421489619199139</v>
      </c>
      <c r="E75" s="86">
        <f>Model!M75</f>
        <v>8.094386163215102</v>
      </c>
      <c r="F75" s="86">
        <f>Model!N75</f>
        <v>8.2473961314992366</v>
      </c>
      <c r="G75" s="86">
        <f>Model!O75</f>
        <v>8.4011714744437374</v>
      </c>
      <c r="H75" s="86">
        <f>Model!P75</f>
        <v>8.5557046733111459</v>
      </c>
      <c r="I75" s="86">
        <f>Model!Q75</f>
        <v>8.7109880920415392</v>
      </c>
      <c r="J75" s="86">
        <f>Model!R75</f>
        <v>8.8670139862459294</v>
      </c>
      <c r="K75" s="86">
        <f>Model!S75</f>
        <v>9.0237745120900072</v>
      </c>
      <c r="L75" s="86">
        <f>Model!T75</f>
        <v>9.1812617350515016</v>
      </c>
      <c r="M75" s="86">
        <f>Model!U75</f>
        <v>9.3394676385366182</v>
      </c>
      <c r="N75" s="86">
        <f>Model!V75</f>
        <v>9.4983841323411955</v>
      </c>
      <c r="O75" s="86">
        <f>Model!W75</f>
        <v>9.6580030609440897</v>
      </c>
      <c r="P75" s="87">
        <f>Model!X75</f>
        <v>9.8183162116208127</v>
      </c>
      <c r="XFD75">
        <v>0</v>
      </c>
    </row>
    <row r="76" spans="2:16 16384:16384" x14ac:dyDescent="0.25">
      <c r="B76" s="83">
        <f>Model!J76</f>
        <v>60</v>
      </c>
      <c r="C76" s="88">
        <f>Model!K76</f>
        <v>1560</v>
      </c>
      <c r="D76" s="85">
        <f>Model!L76</f>
        <v>7.895339706134056</v>
      </c>
      <c r="E76" s="86">
        <f>Model!M76</f>
        <v>8.045748791775674</v>
      </c>
      <c r="F76" s="86">
        <f>Model!N76</f>
        <v>8.1969179404244841</v>
      </c>
      <c r="G76" s="86">
        <f>Model!O76</f>
        <v>8.3488398821509282</v>
      </c>
      <c r="H76" s="86">
        <f>Model!P76</f>
        <v>8.5015072228030029</v>
      </c>
      <c r="I76" s="86">
        <f>Model!Q76</f>
        <v>8.6549124529435435</v>
      </c>
      <c r="J76" s="86">
        <f>Model!R76</f>
        <v>8.8090479566962863</v>
      </c>
      <c r="K76" s="86">
        <f>Model!S76</f>
        <v>8.963906020484341</v>
      </c>
      <c r="L76" s="86">
        <f>Model!T76</f>
        <v>9.1194788416445594</v>
      </c>
      <c r="M76" s="86">
        <f>Model!U76</f>
        <v>9.2757585369034459</v>
      </c>
      <c r="N76" s="86">
        <f>Model!V76</f>
        <v>9.4327371507004258</v>
      </c>
      <c r="O76" s="86">
        <f>Model!W76</f>
        <v>9.5904066633461902</v>
      </c>
      <c r="P76" s="87">
        <f>Model!X76</f>
        <v>9.7487589990042824</v>
      </c>
      <c r="XFD76">
        <v>1</v>
      </c>
    </row>
    <row r="77" spans="2:16 16384:16384" x14ac:dyDescent="0.25">
      <c r="B77" s="83">
        <f>Model!J77</f>
        <v>60.769230769230766</v>
      </c>
      <c r="C77" s="88">
        <f>Model!K77</f>
        <v>1580</v>
      </c>
      <c r="D77" s="85">
        <f>Model!L77</f>
        <v>7.8497167615028385</v>
      </c>
      <c r="E77" s="86">
        <f>Model!M77</f>
        <v>7.9983444647290245</v>
      </c>
      <c r="F77" s="86">
        <f>Model!N77</f>
        <v>8.1477199153301711</v>
      </c>
      <c r="G77" s="86">
        <f>Model!O77</f>
        <v>8.2978359618254629</v>
      </c>
      <c r="H77" s="86">
        <f>Model!P77</f>
        <v>8.4486853306088712</v>
      </c>
      <c r="I77" s="86">
        <f>Model!Q77</f>
        <v>8.6002606347429236</v>
      </c>
      <c r="J77" s="86">
        <f>Model!R77</f>
        <v>8.7525543826629892</v>
      </c>
      <c r="K77" s="86">
        <f>Model!S77</f>
        <v>8.9055589867759668</v>
      </c>
      <c r="L77" s="86">
        <f>Model!T77</f>
        <v>9.0592667719370112</v>
      </c>
      <c r="M77" s="86">
        <f>Model!U77</f>
        <v>9.2136699837902327</v>
      </c>
      <c r="N77" s="86">
        <f>Model!V77</f>
        <v>9.3687607969592683</v>
      </c>
      <c r="O77" s="86">
        <f>Model!W77</f>
        <v>9.5245313230756707</v>
      </c>
      <c r="P77" s="87">
        <f>Model!X77</f>
        <v>9.6809736186333986</v>
      </c>
      <c r="XFD77">
        <v>0</v>
      </c>
    </row>
    <row r="78" spans="2:16 16384:16384" x14ac:dyDescent="0.25">
      <c r="B78" s="83">
        <f>Model!J78</f>
        <v>61.53846153846154</v>
      </c>
      <c r="C78" s="88">
        <f>Model!K78</f>
        <v>1600</v>
      </c>
      <c r="D78" s="85">
        <f>Model!L78</f>
        <v>7.8052355945199121</v>
      </c>
      <c r="E78" s="86">
        <f>Model!M78</f>
        <v>7.9521268793988575</v>
      </c>
      <c r="F78" s="86">
        <f>Model!N78</f>
        <v>8.0997539673660377</v>
      </c>
      <c r="G78" s="86">
        <f>Model!O78</f>
        <v>8.2481098216274091</v>
      </c>
      <c r="H78" s="86">
        <f>Model!P78</f>
        <v>8.397187285277246</v>
      </c>
      <c r="I78" s="86">
        <f>Model!Q78</f>
        <v>8.546979089953707</v>
      </c>
      <c r="J78" s="86">
        <f>Model!R78</f>
        <v>8.6974778644065722</v>
      </c>
      <c r="K78" s="86">
        <f>Model!S78</f>
        <v>8.8486761429612475</v>
      </c>
      <c r="L78" s="86">
        <f>Model!T78</f>
        <v>9.00056637386297</v>
      </c>
      <c r="M78" s="86">
        <f>Model!U78</f>
        <v>9.1531409274872253</v>
      </c>
      <c r="N78" s="86">
        <f>Model!V78</f>
        <v>9.30639210440253</v>
      </c>
      <c r="O78" s="86">
        <f>Model!W78</f>
        <v>9.4603121432736259</v>
      </c>
      <c r="P78" s="87">
        <f>Model!X78</f>
        <v>9.6148932285935782</v>
      </c>
      <c r="XFD78">
        <v>1</v>
      </c>
    </row>
    <row r="79" spans="2:16 16384:16384" x14ac:dyDescent="0.25">
      <c r="B79" s="83">
        <f>Model!J79</f>
        <v>62.307692307692307</v>
      </c>
      <c r="C79" s="88">
        <f>Model!K79</f>
        <v>1620</v>
      </c>
      <c r="D79" s="85">
        <f>Model!L79</f>
        <v>7.7618538731446964</v>
      </c>
      <c r="E79" s="86">
        <f>Model!M79</f>
        <v>7.9070520227508041</v>
      </c>
      <c r="F79" s="86">
        <f>Model!N79</f>
        <v>8.0529743864568673</v>
      </c>
      <c r="G79" s="86">
        <f>Model!O79</f>
        <v>8.199614038570159</v>
      </c>
      <c r="H79" s="86">
        <f>Model!P79</f>
        <v>8.3469639352212255</v>
      </c>
      <c r="I79" s="86">
        <f>Model!Q79</f>
        <v>8.4950169228861938</v>
      </c>
      <c r="J79" s="86">
        <f>Model!R79</f>
        <v>8.6437657468228686</v>
      </c>
      <c r="K79" s="86">
        <f>Model!S79</f>
        <v>8.7932030594049504</v>
      </c>
      <c r="L79" s="86">
        <f>Model!T79</f>
        <v>8.9433214283384324</v>
      </c>
      <c r="M79" s="86">
        <f>Model!U79</f>
        <v>9.0941133447464555</v>
      </c>
      <c r="N79" s="86">
        <f>Model!V79</f>
        <v>9.2455712311088565</v>
      </c>
      <c r="O79" s="86">
        <f>Model!W79</f>
        <v>9.3976874490447209</v>
      </c>
      <c r="P79" s="87">
        <f>Model!X79</f>
        <v>9.5504543069264436</v>
      </c>
      <c r="XFD79">
        <v>0</v>
      </c>
    </row>
    <row r="80" spans="2:16 16384:16384" x14ac:dyDescent="0.25">
      <c r="B80" s="83">
        <f>Model!J80</f>
        <v>63.07692307692308</v>
      </c>
      <c r="C80" s="88">
        <f>Model!K80</f>
        <v>1640</v>
      </c>
      <c r="D80" s="85">
        <f>Model!L80</f>
        <v>7.7195313324296322</v>
      </c>
      <c r="E80" s="86">
        <f>Model!M80</f>
        <v>7.8630780315945321</v>
      </c>
      <c r="F80" s="86">
        <f>Model!N80</f>
        <v>8.0073376960141722</v>
      </c>
      <c r="G80" s="86">
        <f>Model!O80</f>
        <v>8.1523035076773596</v>
      </c>
      <c r="H80" s="86">
        <f>Model!P80</f>
        <v>8.2979685322572188</v>
      </c>
      <c r="I80" s="86">
        <f>Model!Q80</f>
        <v>8.444325727504939</v>
      </c>
      <c r="J80" s="86">
        <f>Model!R80</f>
        <v>8.5913679515588885</v>
      </c>
      <c r="K80" s="86">
        <f>Model!S80</f>
        <v>8.7390879711535661</v>
      </c>
      <c r="L80" s="86">
        <f>Model!T80</f>
        <v>8.8874784697127325</v>
      </c>
      <c r="M80" s="86">
        <f>Model!U80</f>
        <v>9.0365320553130708</v>
      </c>
      <c r="N80" s="86">
        <f>Model!V80</f>
        <v>9.1862412685048831</v>
      </c>
      <c r="O80" s="86">
        <f>Model!W80</f>
        <v>9.3365985899781805</v>
      </c>
      <c r="P80" s="87">
        <f>Model!X80</f>
        <v>9.4875964480629147</v>
      </c>
      <c r="XFD80">
        <v>1</v>
      </c>
    </row>
    <row r="81" spans="2:16 16384:16384" x14ac:dyDescent="0.25">
      <c r="B81" s="83">
        <f>Model!J81</f>
        <v>63.846153846153847</v>
      </c>
      <c r="C81" s="88">
        <f>Model!K81</f>
        <v>1660</v>
      </c>
      <c r="D81" s="85">
        <f>Model!L81</f>
        <v>7.678229649870838</v>
      </c>
      <c r="E81" s="86">
        <f>Model!M81</f>
        <v>7.8201650629049437</v>
      </c>
      <c r="F81" s="86">
        <f>Model!N81</f>
        <v>7.962802518167833</v>
      </c>
      <c r="G81" s="86">
        <f>Model!O81</f>
        <v>8.1061353020656739</v>
      </c>
      <c r="H81" s="86">
        <f>Model!P81</f>
        <v>8.2501565864804451</v>
      </c>
      <c r="I81" s="86">
        <f>Model!Q81</f>
        <v>8.3948594370395266</v>
      </c>
      <c r="J81" s="86">
        <f>Model!R81</f>
        <v>8.5402368213022122</v>
      </c>
      <c r="K81" s="86">
        <f>Model!S81</f>
        <v>8.6862816168477242</v>
      </c>
      <c r="L81" s="86">
        <f>Model!T81</f>
        <v>8.8329866192492847</v>
      </c>
      <c r="M81" s="86">
        <f>Model!U81</f>
        <v>8.980344549920785</v>
      </c>
      <c r="N81" s="86">
        <f>Model!V81</f>
        <v>9.1283480638226884</v>
      </c>
      <c r="O81" s="86">
        <f>Model!W81</f>
        <v>9.2769897570156932</v>
      </c>
      <c r="P81" s="87">
        <f>Model!X81</f>
        <v>9.4262621740510006</v>
      </c>
      <c r="XFD81">
        <v>0</v>
      </c>
    </row>
    <row r="82" spans="2:16 16384:16384" x14ac:dyDescent="0.25">
      <c r="B82" s="83">
        <f>Model!J82</f>
        <v>64.615384615384613</v>
      </c>
      <c r="C82" s="88">
        <f>Model!K82</f>
        <v>1680</v>
      </c>
      <c r="D82" s="85">
        <f>Model!L82</f>
        <v>7.6379123296711882</v>
      </c>
      <c r="E82" s="86">
        <f>Model!M82</f>
        <v>7.7782751734181019</v>
      </c>
      <c r="F82" s="86">
        <f>Model!N82</f>
        <v>7.919329448639532</v>
      </c>
      <c r="G82" s="86">
        <f>Model!O82</f>
        <v>8.0610685430411753</v>
      </c>
      <c r="H82" s="86">
        <f>Model!P82</f>
        <v>8.2034857315304439</v>
      </c>
      <c r="I82" s="86">
        <f>Model!Q82</f>
        <v>8.3465741843661512</v>
      </c>
      <c r="J82" s="86">
        <f>Model!R82</f>
        <v>8.4903269752265054</v>
      </c>
      <c r="K82" s="86">
        <f>Model!S82</f>
        <v>8.6347370891802875</v>
      </c>
      <c r="L82" s="86">
        <f>Model!T82</f>
        <v>8.7797974305458677</v>
      </c>
      <c r="M82" s="86">
        <f>Model!U82</f>
        <v>8.9255008306248129</v>
      </c>
      <c r="N82" s="86">
        <f>Model!V82</f>
        <v>9.0718400552968514</v>
      </c>
      <c r="O82" s="86">
        <f>Model!W82</f>
        <v>9.2188078124648989</v>
      </c>
      <c r="P82" s="87">
        <f>Model!X82</f>
        <v>9.3663967593390662</v>
      </c>
      <c r="XFD82">
        <v>1</v>
      </c>
    </row>
    <row r="83" spans="2:16 16384:16384" x14ac:dyDescent="0.25">
      <c r="B83" s="83">
        <f>Model!J83</f>
        <v>65.384615384615387</v>
      </c>
      <c r="C83" s="88">
        <f>Model!K83</f>
        <v>1700</v>
      </c>
      <c r="D83" s="85">
        <f>Model!L83</f>
        <v>7.5985445951810657</v>
      </c>
      <c r="E83" s="86">
        <f>Model!M83</f>
        <v>7.737372207737133</v>
      </c>
      <c r="F83" s="86">
        <f>Model!N83</f>
        <v>7.8768809404627813</v>
      </c>
      <c r="G83" s="86">
        <f>Model!O83</f>
        <v>8.0170642793830851</v>
      </c>
      <c r="H83" s="86">
        <f>Model!P83</f>
        <v>8.157915599388911</v>
      </c>
      <c r="I83" s="86">
        <f>Model!Q83</f>
        <v>8.2994281722706447</v>
      </c>
      <c r="J83" s="86">
        <f>Model!R83</f>
        <v>8.4415951746715816</v>
      </c>
      <c r="K83" s="86">
        <f>Model!S83</f>
        <v>8.5844096959461247</v>
      </c>
      <c r="L83" s="86">
        <f>Model!T83</f>
        <v>8.727864745907528</v>
      </c>
      <c r="M83" s="86">
        <f>Model!U83</f>
        <v>8.8719532624521698</v>
      </c>
      <c r="N83" s="86">
        <f>Model!V83</f>
        <v>9.016668119047246</v>
      </c>
      <c r="O83" s="86">
        <f>Model!W83</f>
        <v>9.1620021320707092</v>
      </c>
      <c r="P83" s="87">
        <f>Model!X83</f>
        <v>9.3079480679925357</v>
      </c>
      <c r="XFD83">
        <v>0</v>
      </c>
    </row>
    <row r="84" spans="2:16 16384:16384" x14ac:dyDescent="0.25">
      <c r="B84" s="83">
        <f>Model!J84</f>
        <v>66.15384615384616</v>
      </c>
      <c r="C84" s="88">
        <f>Model!K84</f>
        <v>1720</v>
      </c>
      <c r="D84" s="85">
        <f>Model!L84</f>
        <v>7.560093288850501</v>
      </c>
      <c r="E84" s="86">
        <f>Model!M84</f>
        <v>7.697421694254551</v>
      </c>
      <c r="F84" s="86">
        <f>Model!N84</f>
        <v>7.8354211958282765</v>
      </c>
      <c r="G84" s="86">
        <f>Model!O84</f>
        <v>7.9740853750657017</v>
      </c>
      <c r="H84" s="86">
        <f>Model!P84</f>
        <v>8.1134077039323298</v>
      </c>
      <c r="I84" s="86">
        <f>Model!Q84</f>
        <v>8.2533815527866405</v>
      </c>
      <c r="J84" s="86">
        <f>Model!R84</f>
        <v>8.3940001982226242</v>
      </c>
      <c r="K84" s="86">
        <f>Model!S84</f>
        <v>8.5352568308186054</v>
      </c>
      <c r="L84" s="86">
        <f>Model!T84</f>
        <v>8.6771445627773414</v>
      </c>
      <c r="M84" s="86">
        <f>Model!U84</f>
        <v>8.8196564354444611</v>
      </c>
      <c r="N84" s="86">
        <f>Model!V84</f>
        <v>8.9627854266923528</v>
      </c>
      <c r="O84" s="86">
        <f>Model!W84</f>
        <v>9.1065244581584111</v>
      </c>
      <c r="P84" s="87">
        <f>Model!X84</f>
        <v>9.2508664023268725</v>
      </c>
      <c r="XFD84">
        <v>1</v>
      </c>
    </row>
    <row r="85" spans="2:16 16384:16384" x14ac:dyDescent="0.25">
      <c r="B85" s="83">
        <f>Model!J85</f>
        <v>66.92307692307692</v>
      </c>
      <c r="C85" s="88">
        <f>Model!K85</f>
        <v>1740</v>
      </c>
      <c r="D85" s="85">
        <f>Model!L85</f>
        <v>7.5225267790878583</v>
      </c>
      <c r="E85" s="86">
        <f>Model!M85</f>
        <v>7.6583907482613256</v>
      </c>
      <c r="F85" s="86">
        <f>Model!N85</f>
        <v>7.7949160653998497</v>
      </c>
      <c r="G85" s="86">
        <f>Model!O85</f>
        <v>7.9320964047382621</v>
      </c>
      <c r="H85" s="86">
        <f>Model!P85</f>
        <v>8.0699253325333622</v>
      </c>
      <c r="I85" s="86">
        <f>Model!Q85</f>
        <v>8.2083963148767509</v>
      </c>
      <c r="J85" s="86">
        <f>Model!R85</f>
        <v>8.3475027254300187</v>
      </c>
      <c r="K85" s="86">
        <f>Model!S85</f>
        <v>8.4872378530676453</v>
      </c>
      <c r="L85" s="86">
        <f>Model!T85</f>
        <v>8.6275949094128634</v>
      </c>
      <c r="M85" s="86">
        <f>Model!U85</f>
        <v>8.7685670362536108</v>
      </c>
      <c r="N85" s="86">
        <f>Model!V85</f>
        <v>8.9101473128258881</v>
      </c>
      <c r="O85" s="86">
        <f>Model!W85</f>
        <v>9.0523287629535218</v>
      </c>
      <c r="P85" s="87">
        <f>Model!X85</f>
        <v>9.1951043620337014</v>
      </c>
      <c r="XFD85">
        <v>0</v>
      </c>
    </row>
    <row r="86" spans="2:16 16384:16384" x14ac:dyDescent="0.25">
      <c r="B86" s="83">
        <f>Model!J86</f>
        <v>67.692307692307693</v>
      </c>
      <c r="C86" s="88">
        <f>Model!K86</f>
        <v>1760</v>
      </c>
      <c r="D86" s="85">
        <f>Model!L86</f>
        <v>7.4858148734750145</v>
      </c>
      <c r="E86" s="86">
        <f>Model!M86</f>
        <v>7.6202479816702962</v>
      </c>
      <c r="F86" s="86">
        <f>Model!N86</f>
        <v>7.7553329545058158</v>
      </c>
      <c r="G86" s="86">
        <f>Model!O86</f>
        <v>7.8910635563444718</v>
      </c>
      <c r="H86" s="86">
        <f>Model!P86</f>
        <v>8.0274334450693843</v>
      </c>
      <c r="I86" s="86">
        <f>Model!Q86</f>
        <v>8.1644361797914637</v>
      </c>
      <c r="J86" s="86">
        <f>Model!R86</f>
        <v>8.3020652284805561</v>
      </c>
      <c r="K86" s="86">
        <f>Model!S86</f>
        <v>8.4403139755057452</v>
      </c>
      <c r="L86" s="86">
        <f>Model!T86</f>
        <v>8.5791757290701707</v>
      </c>
      <c r="M86" s="86">
        <f>Model!U86</f>
        <v>8.7186437285277059</v>
      </c>
      <c r="N86" s="86">
        <f>Model!V86</f>
        <v>8.8587111515688584</v>
      </c>
      <c r="O86" s="86">
        <f>Model!W86</f>
        <v>8.9993711212651188</v>
      </c>
      <c r="P86" s="87">
        <f>Model!X86</f>
        <v>9.1406167129611866</v>
      </c>
      <c r="XFD86">
        <v>1</v>
      </c>
    </row>
    <row r="87" spans="2:16 16384:16384" x14ac:dyDescent="0.25">
      <c r="B87" s="83">
        <f>Model!J87</f>
        <v>68.461538461538467</v>
      </c>
      <c r="C87" s="88">
        <f>Model!K87</f>
        <v>1780</v>
      </c>
      <c r="D87" s="85">
        <f>Model!L87</f>
        <v>7.4499287378387606</v>
      </c>
      <c r="E87" s="86">
        <f>Model!M87</f>
        <v>7.5829634188330983</v>
      </c>
      <c r="F87" s="86">
        <f>Model!N87</f>
        <v>7.7166407356641837</v>
      </c>
      <c r="G87" s="86">
        <f>Model!O87</f>
        <v>7.850954540319206</v>
      </c>
      <c r="H87" s="86">
        <f>Model!P87</f>
        <v>7.9858985797543642</v>
      </c>
      <c r="I87" s="86">
        <f>Model!Q87</f>
        <v>8.1214665035003915</v>
      </c>
      <c r="J87" s="86">
        <f>Model!R87</f>
        <v>8.2576518711928202</v>
      </c>
      <c r="K87" s="86">
        <f>Model!S87</f>
        <v>8.3944481600128089</v>
      </c>
      <c r="L87" s="86">
        <f>Model!T87</f>
        <v>8.5318487720239879</v>
      </c>
      <c r="M87" s="86">
        <f>Model!U87</f>
        <v>8.6698470413928419</v>
      </c>
      <c r="N87" s="86">
        <f>Model!V87</f>
        <v>8.8084362414801678</v>
      </c>
      <c r="O87" s="86">
        <f>Model!W87</f>
        <v>8.94760959179286</v>
      </c>
      <c r="P87" s="87">
        <f>Model!X87</f>
        <v>9.0873602647856604</v>
      </c>
      <c r="XFD87">
        <v>0</v>
      </c>
    </row>
    <row r="88" spans="2:16 16384:16384" x14ac:dyDescent="0.25">
      <c r="B88" s="83">
        <f>Model!J88</f>
        <v>69.230769230769226</v>
      </c>
      <c r="C88" s="88">
        <f>Model!K88</f>
        <v>1800</v>
      </c>
      <c r="D88" s="85">
        <f>Model!L88</f>
        <v>7.4148408207224241</v>
      </c>
      <c r="E88" s="86">
        <f>Model!M88</f>
        <v>7.5465084179760797</v>
      </c>
      <c r="F88" s="86">
        <f>Model!N88</f>
        <v>7.6788096669483039</v>
      </c>
      <c r="G88" s="86">
        <f>Model!O88</f>
        <v>7.8117385048497807</v>
      </c>
      <c r="H88" s="86">
        <f>Model!P88</f>
        <v>7.9452887652621307</v>
      </c>
      <c r="I88" s="86">
        <f>Model!Q88</f>
        <v>8.0794541856443942</v>
      </c>
      <c r="J88" s="86">
        <f>Model!R88</f>
        <v>8.2142284147654809</v>
      </c>
      <c r="K88" s="86">
        <f>Model!S88</f>
        <v>8.3496050200484291</v>
      </c>
      <c r="L88" s="86">
        <f>Model!T88</f>
        <v>8.4855774948122544</v>
      </c>
      <c r="M88" s="86">
        <f>Model!U88</f>
        <v>8.622139265398884</v>
      </c>
      <c r="N88" s="86">
        <f>Model!V88</f>
        <v>8.7592836981729469</v>
      </c>
      <c r="O88" s="86">
        <f>Model!W88</f>
        <v>8.897004106383811</v>
      </c>
      <c r="P88" s="87">
        <f>Model!X88</f>
        <v>9.0352937568795042</v>
      </c>
      <c r="XFD88">
        <v>1</v>
      </c>
    </row>
    <row r="89" spans="2:16 16384:16384" x14ac:dyDescent="0.25">
      <c r="B89" s="83">
        <f>Model!J89</f>
        <v>70</v>
      </c>
      <c r="C89" s="88">
        <f>Model!K89</f>
        <v>1820</v>
      </c>
      <c r="D89" s="85">
        <f>Model!L89</f>
        <v>7.3805247828419596</v>
      </c>
      <c r="E89" s="86">
        <f>Model!M89</f>
        <v>7.5108555978224558</v>
      </c>
      <c r="F89" s="86">
        <f>Model!N89</f>
        <v>7.6418113157430536</v>
      </c>
      <c r="G89" s="86">
        <f>Model!O89</f>
        <v>7.7733859567345638</v>
      </c>
      <c r="H89" s="86">
        <f>Model!P89</f>
        <v>7.905573438656174</v>
      </c>
      <c r="I89" s="86">
        <f>Model!Q89</f>
        <v>8.0383675845058011</v>
      </c>
      <c r="J89" s="86">
        <f>Model!R89</f>
        <v>8.1717621297575729</v>
      </c>
      <c r="K89" s="86">
        <f>Model!S89</f>
        <v>8.3057507296123951</v>
      </c>
      <c r="L89" s="86">
        <f>Model!T89</f>
        <v>8.4403269661475093</v>
      </c>
      <c r="M89" s="86">
        <f>Model!U89</f>
        <v>8.5754843553527564</v>
      </c>
      <c r="N89" s="86">
        <f>Model!V89</f>
        <v>8.7112163540413849</v>
      </c>
      <c r="O89" s="86">
        <f>Model!W89</f>
        <v>8.8475163666249053</v>
      </c>
      <c r="P89" s="87">
        <f>Model!X89</f>
        <v>8.9843777517417891</v>
      </c>
      <c r="XFD89">
        <v>0</v>
      </c>
    </row>
    <row r="90" spans="2:16 16384:16384" x14ac:dyDescent="0.25">
      <c r="B90" s="83">
        <f>Model!J90</f>
        <v>70.769230769230774</v>
      </c>
      <c r="C90" s="88">
        <f>Model!K90</f>
        <v>1840</v>
      </c>
      <c r="D90" s="85">
        <f>Model!L90</f>
        <v>7.3469554311469274</v>
      </c>
      <c r="E90" s="86">
        <f>Model!M90</f>
        <v>7.4759787690056285</v>
      </c>
      <c r="F90" s="86">
        <f>Model!N90</f>
        <v>7.6056184874807871</v>
      </c>
      <c r="G90" s="86">
        <f>Model!O90</f>
        <v>7.7358686874121894</v>
      </c>
      <c r="H90" s="86">
        <f>Model!P90</f>
        <v>7.8667233686831644</v>
      </c>
      <c r="I90" s="86">
        <f>Model!Q90</f>
        <v>7.9981764375376416</v>
      </c>
      <c r="J90" s="86">
        <f>Model!R90</f>
        <v>8.1302217138253354</v>
      </c>
      <c r="K90" s="86">
        <f>Model!S90</f>
        <v>8.2628529381613358</v>
      </c>
      <c r="L90" s="86">
        <f>Model!T90</f>
        <v>8.396063778986024</v>
      </c>
      <c r="M90" s="86">
        <f>Model!U90</f>
        <v>8.5298478395132697</v>
      </c>
      <c r="N90" s="86">
        <f>Model!V90</f>
        <v>8.6641986645547782</v>
      </c>
      <c r="O90" s="86">
        <f>Model!W90</f>
        <v>8.7991097472102808</v>
      </c>
      <c r="P90" s="87">
        <f>Model!X90</f>
        <v>8.934574535413466</v>
      </c>
      <c r="XFD90">
        <v>1</v>
      </c>
    </row>
    <row r="91" spans="2:16 16384:16384" x14ac:dyDescent="0.25">
      <c r="B91" s="83">
        <f>Model!J91</f>
        <v>71.538461538461533</v>
      </c>
      <c r="C91" s="88">
        <f>Model!K91</f>
        <v>1860</v>
      </c>
      <c r="D91" s="85">
        <f>Model!L91</f>
        <v>7.3141086571394007</v>
      </c>
      <c r="E91" s="86">
        <f>Model!M91</f>
        <v>7.4418528699126583</v>
      </c>
      <c r="F91" s="86">
        <f>Model!N91</f>
        <v>7.5702051589817323</v>
      </c>
      <c r="G91" s="86">
        <f>Model!O91</f>
        <v>7.6991597037715644</v>
      </c>
      <c r="H91" s="86">
        <f>Model!P91</f>
        <v>7.8287105840256812</v>
      </c>
      <c r="I91" s="86">
        <f>Model!Q91</f>
        <v>7.9588517870325326</v>
      </c>
      <c r="J91" s="86">
        <f>Model!R91</f>
        <v>8.0895772147810483</v>
      </c>
      <c r="K91" s="86">
        <f>Model!S91</f>
        <v>8.2208806910317715</v>
      </c>
      <c r="L91" s="86">
        <f>Model!T91</f>
        <v>8.3527559682896886</v>
      </c>
      <c r="M91" s="86">
        <f>Model!U91</f>
        <v>8.485196734666804</v>
      </c>
      <c r="N91" s="86">
        <f>Model!V91</f>
        <v>8.6181966206224896</v>
      </c>
      <c r="O91" s="86">
        <f>Model!W91</f>
        <v>8.7517492055713895</v>
      </c>
      <c r="P91" s="87">
        <f>Model!X91</f>
        <v>8.8858480243488707</v>
      </c>
      <c r="XFD91">
        <v>0</v>
      </c>
    </row>
    <row r="92" spans="2:16 16384:16384" x14ac:dyDescent="0.25">
      <c r="B92" s="83">
        <f>Model!J92</f>
        <v>72.307692307692307</v>
      </c>
      <c r="C92" s="88">
        <f>Model!K92</f>
        <v>1880</v>
      </c>
      <c r="D92" s="85">
        <f>Model!L92</f>
        <v>7.2819613791335147</v>
      </c>
      <c r="E92" s="86">
        <f>Model!M92</f>
        <v>7.4084539066275656</v>
      </c>
      <c r="F92" s="86">
        <f>Model!N92</f>
        <v>7.5355464160553689</v>
      </c>
      <c r="G92" s="86">
        <f>Model!O92</f>
        <v>7.6632331633860229</v>
      </c>
      <c r="H92" s="86">
        <f>Model!P92</f>
        <v>7.791508306144042</v>
      </c>
      <c r="I92" s="86">
        <f>Model!Q92</f>
        <v>7.9203659105475248</v>
      </c>
      <c r="J92" s="86">
        <f>Model!R92</f>
        <v>8.0497999585765463</v>
      </c>
      <c r="K92" s="86">
        <f>Model!S92</f>
        <v>8.1798043549582875</v>
      </c>
      <c r="L92" s="86">
        <f>Model!T92</f>
        <v>8.3103729340551933</v>
      </c>
      <c r="M92" s="86">
        <f>Model!U92</f>
        <v>8.4414994666443004</v>
      </c>
      <c r="N92" s="86">
        <f>Model!V92</f>
        <v>8.5731776665758836</v>
      </c>
      <c r="O92" s="86">
        <f>Model!W92</f>
        <v>8.705401197301363</v>
      </c>
      <c r="P92" s="87">
        <f>Model!X92</f>
        <v>8.8381636782604858</v>
      </c>
      <c r="XFD92">
        <v>1</v>
      </c>
    </row>
    <row r="93" spans="2:16 16384:16384" x14ac:dyDescent="0.25">
      <c r="B93" s="83">
        <f>Model!J93</f>
        <v>73.07692307692308</v>
      </c>
      <c r="C93" s="88">
        <f>Model!K93</f>
        <v>1900</v>
      </c>
      <c r="D93" s="85">
        <f>Model!L93</f>
        <v>7.250491488164954</v>
      </c>
      <c r="E93" s="86">
        <f>Model!M93</f>
        <v>7.3757588966720355</v>
      </c>
      <c r="F93" s="86">
        <f>Model!N93</f>
        <v>7.5016183950484638</v>
      </c>
      <c r="G93" s="86">
        <f>Model!O93</f>
        <v>7.6280643138450346</v>
      </c>
      <c r="H93" s="86">
        <f>Model!P93</f>
        <v>7.7550908863684418</v>
      </c>
      <c r="I93" s="86">
        <f>Model!Q93</f>
        <v>7.8826922557336481</v>
      </c>
      <c r="J93" s="86">
        <f>Model!R93</f>
        <v>8.0108624818475054</v>
      </c>
      <c r="K93" s="86">
        <f>Model!S93</f>
        <v>8.1395955483102327</v>
      </c>
      <c r="L93" s="86">
        <f>Model!T93</f>
        <v>8.2688853692211808</v>
      </c>
      <c r="M93" s="86">
        <f>Model!U93</f>
        <v>8.3987257958771657</v>
      </c>
      <c r="N93" s="86">
        <f>Model!V93</f>
        <v>8.5291106233516683</v>
      </c>
      <c r="O93" s="86">
        <f>Model!W93</f>
        <v>8.6600335969448725</v>
      </c>
      <c r="P93" s="87">
        <f>Model!X93</f>
        <v>8.7914884184947368</v>
      </c>
      <c r="XFD93">
        <v>0</v>
      </c>
    </row>
    <row r="94" spans="2:16 16384:16384" x14ac:dyDescent="0.25">
      <c r="B94" s="83">
        <f>Model!J94</f>
        <v>73.84615384615384</v>
      </c>
      <c r="C94" s="88">
        <f>Model!K94</f>
        <v>1920</v>
      </c>
      <c r="D94" s="85">
        <f>Model!L94</f>
        <v>7.21967779728406</v>
      </c>
      <c r="E94" s="86">
        <f>Model!M94</f>
        <v>7.3437458162663258</v>
      </c>
      <c r="F94" s="86">
        <f>Model!N94</f>
        <v>7.4683982280515151</v>
      </c>
      <c r="G94" s="86">
        <f>Model!O94</f>
        <v>7.5936294358842442</v>
      </c>
      <c r="H94" s="86">
        <f>Model!P94</f>
        <v>7.7194337469308376</v>
      </c>
      <c r="I94" s="86">
        <f>Model!Q94</f>
        <v>7.8458053792482394</v>
      </c>
      <c r="J94" s="86">
        <f>Model!R94</f>
        <v>7.9727384686851126</v>
      </c>
      <c r="K94" s="86">
        <f>Model!S94</f>
        <v>8.1002270757018948</v>
      </c>
      <c r="L94" s="86">
        <f>Model!T94</f>
        <v>8.2282651920963872</v>
      </c>
      <c r="M94" s="86">
        <f>Model!U94</f>
        <v>8.3568467476232549</v>
      </c>
      <c r="N94" s="86">
        <f>Model!V94</f>
        <v>8.4859656164958714</v>
      </c>
      <c r="O94" s="86">
        <f>Model!W94</f>
        <v>8.6156156237605828</v>
      </c>
      <c r="P94" s="87">
        <f>Model!X94</f>
        <v>8.7457905515336964</v>
      </c>
      <c r="XFD94">
        <v>1</v>
      </c>
    </row>
    <row r="95" spans="2:16 16384:16384" x14ac:dyDescent="0.25">
      <c r="B95" s="83">
        <f>Model!J95</f>
        <v>74.615384615384613</v>
      </c>
      <c r="C95" s="88">
        <f>Model!K95</f>
        <v>1940</v>
      </c>
      <c r="D95" s="85">
        <f>Model!L95</f>
        <v>7.1894999939881536</v>
      </c>
      <c r="E95" s="86">
        <f>Model!M95</f>
        <v>7.3123935508560507</v>
      </c>
      <c r="F95" s="86">
        <f>Model!N95</f>
        <v>7.4358639914992732</v>
      </c>
      <c r="G95" s="86">
        <f>Model!O95</f>
        <v>7.5599057900391973</v>
      </c>
      <c r="H95" s="86">
        <f>Model!P95</f>
        <v>7.6845133256516895</v>
      </c>
      <c r="I95" s="86">
        <f>Model!Q95</f>
        <v>7.8096808894547305</v>
      </c>
      <c r="J95" s="86">
        <f>Model!R95</f>
        <v>7.9354026913291857</v>
      </c>
      <c r="K95" s="86">
        <f>Model!S95</f>
        <v>8.0616728666595741</v>
      </c>
      <c r="L95" s="86">
        <f>Model!T95</f>
        <v>8.1884854829815765</v>
      </c>
      <c r="M95" s="86">
        <f>Model!U95</f>
        <v>8.3158345465247798</v>
      </c>
      <c r="N95" s="86">
        <f>Model!V95</f>
        <v>8.4437140086391924</v>
      </c>
      <c r="O95" s="86">
        <f>Model!W95</f>
        <v>8.5721177720957193</v>
      </c>
      <c r="P95" s="87">
        <f>Model!X95</f>
        <v>8.7010396972509927</v>
      </c>
      <c r="XFD95">
        <v>0</v>
      </c>
    </row>
    <row r="96" spans="2:16 16384:16384" x14ac:dyDescent="0.25">
      <c r="B96" s="83">
        <f>Model!J96</f>
        <v>75.384615384615387</v>
      </c>
      <c r="C96" s="88">
        <f>Model!K96</f>
        <v>1960</v>
      </c>
      <c r="D96" s="85">
        <f>Model!L96</f>
        <v>7.1599385955686632</v>
      </c>
      <c r="E96" s="86">
        <f>Model!M96</f>
        <v>7.2816818486713188</v>
      </c>
      <c r="F96" s="86">
        <f>Model!N96</f>
        <v>7.4039946579225298</v>
      </c>
      <c r="G96" s="86">
        <f>Model!O96</f>
        <v>7.5268715665707102</v>
      </c>
      <c r="H96" s="86">
        <f>Model!P96</f>
        <v>7.6503070240199964</v>
      </c>
      <c r="I96" s="86">
        <f>Model!Q96</f>
        <v>7.7742953926387361</v>
      </c>
      <c r="J96" s="86">
        <f>Model!R96</f>
        <v>7.8988309545019586</v>
      </c>
      <c r="K96" s="86">
        <f>Model!S96</f>
        <v>8.0239079180549275</v>
      </c>
      <c r="L96" s="86">
        <f>Model!T96</f>
        <v>8.1495204246845852</v>
      </c>
      <c r="M96" s="86">
        <f>Model!U96</f>
        <v>8.2756625551875214</v>
      </c>
      <c r="N96" s="86">
        <f>Model!V96</f>
        <v>8.4023283361230909</v>
      </c>
      <c r="O96" s="86">
        <f>Model!W96</f>
        <v>8.5295117460420027</v>
      </c>
      <c r="P96" s="87">
        <f>Model!X96</f>
        <v>8.6572067215808559</v>
      </c>
      <c r="XFD96">
        <v>1</v>
      </c>
    </row>
    <row r="97" spans="2:16 16384:16384" x14ac:dyDescent="0.25">
      <c r="B97" s="83">
        <f>Model!J97</f>
        <v>76.15384615384616</v>
      </c>
      <c r="C97" s="88">
        <f>Model!K97</f>
        <v>1980</v>
      </c>
      <c r="D97" s="85">
        <f>Model!L97</f>
        <v>7.1309749071667561</v>
      </c>
      <c r="E97" s="86">
        <f>Model!M97</f>
        <v>7.2515912771035556</v>
      </c>
      <c r="F97" s="86">
        <f>Model!N97</f>
        <v>7.3727700506280778</v>
      </c>
      <c r="G97" s="86">
        <f>Model!O97</f>
        <v>7.4945058384300953</v>
      </c>
      <c r="H97" s="86">
        <f>Model!P97</f>
        <v>7.6167931584262263</v>
      </c>
      <c r="I97" s="86">
        <f>Model!Q97</f>
        <v>7.7396264424912689</v>
      </c>
      <c r="J97" s="86">
        <f>Model!R97</f>
        <v>7.8630000431244094</v>
      </c>
      <c r="K97" s="86">
        <f>Model!S97</f>
        <v>7.9869082400375131</v>
      </c>
      <c r="L97" s="86">
        <f>Model!T97</f>
        <v>8.1113452466524247</v>
      </c>
      <c r="M97" s="86">
        <f>Model!U97</f>
        <v>8.2363052164960511</v>
      </c>
      <c r="N97" s="86">
        <f>Model!V97</f>
        <v>8.3617822494819585</v>
      </c>
      <c r="O97" s="86">
        <f>Model!W97</f>
        <v>8.4877703980688999</v>
      </c>
      <c r="P97" s="87">
        <f>Model!X97</f>
        <v>8.6142636732868034</v>
      </c>
      <c r="XFD97">
        <v>0</v>
      </c>
    </row>
    <row r="98" spans="2:16 16384:16384" x14ac:dyDescent="0.25">
      <c r="B98" s="83">
        <f>Model!J98</f>
        <v>76.92307692307692</v>
      </c>
      <c r="C98" s="88">
        <f>Model!K98</f>
        <v>2000</v>
      </c>
      <c r="D98" s="85">
        <f>Model!L98</f>
        <v>7.1025909823477775</v>
      </c>
      <c r="E98" s="86">
        <f>Model!M98</f>
        <v>7.2221031817025789</v>
      </c>
      <c r="F98" s="86">
        <f>Model!N98</f>
        <v>7.3421708011015934</v>
      </c>
      <c r="G98" s="86">
        <f>Model!O98</f>
        <v>7.4627885170512087</v>
      </c>
      <c r="H98" s="86">
        <f>Model!P98</f>
        <v>7.5839509143269961</v>
      </c>
      <c r="I98" s="86">
        <f>Model!Q98</f>
        <v>7.7056524926298362</v>
      </c>
      <c r="J98" s="86">
        <f>Model!R98</f>
        <v>7.82788767317777</v>
      </c>
      <c r="K98" s="86">
        <f>Model!S98</f>
        <v>7.9506508052208957</v>
      </c>
      <c r="L98" s="86">
        <f>Model!T98</f>
        <v>8.0739361724663805</v>
      </c>
      <c r="M98" s="86">
        <f>Model!U98</f>
        <v>8.1977379994024933</v>
      </c>
      <c r="N98" s="86">
        <f>Model!V98</f>
        <v>8.322050457510457</v>
      </c>
      <c r="O98" s="86">
        <f>Model!W98</f>
        <v>8.446867671354628</v>
      </c>
      <c r="P98" s="87">
        <f>Model!X98</f>
        <v>8.5721837245417092</v>
      </c>
      <c r="XFD98">
        <v>1</v>
      </c>
    </row>
    <row r="99" spans="2:16 16384:16384" x14ac:dyDescent="0.25">
      <c r="B99" s="83">
        <f>Model!J99</f>
        <v>77.692307692307693</v>
      </c>
      <c r="C99" s="88">
        <f>Model!K99</f>
        <v>2020</v>
      </c>
      <c r="D99" s="85">
        <f>Model!L99</f>
        <v>7.0747695860196727</v>
      </c>
      <c r="E99" s="86">
        <f>Model!M99</f>
        <v>7.1931996476121256</v>
      </c>
      <c r="F99" s="86">
        <f>Model!N99</f>
        <v>7.312178308944441</v>
      </c>
      <c r="G99" s="86">
        <f>Model!O99</f>
        <v>7.4317003107729347</v>
      </c>
      <c r="H99" s="86">
        <f>Model!P99</f>
        <v>7.5517603031379101</v>
      </c>
      <c r="I99" s="86">
        <f>Model!Q99</f>
        <v>7.6723528519464317</v>
      </c>
      <c r="J99" s="86">
        <f>Model!R99</f>
        <v>7.7934724454916502</v>
      </c>
      <c r="K99" s="86">
        <f>Model!S99</f>
        <v>7.915113500896112</v>
      </c>
      <c r="L99" s="86">
        <f>Model!T99</f>
        <v>8.0372703704662847</v>
      </c>
      <c r="M99" s="86">
        <f>Model!U99</f>
        <v>8.1599373479472437</v>
      </c>
      <c r="N99" s="86">
        <f>Model!V99</f>
        <v>8.2831086746665044</v>
      </c>
      <c r="O99" s="86">
        <f>Model!W99</f>
        <v>8.4067785455575628</v>
      </c>
      <c r="P99" s="87">
        <f>Model!X99</f>
        <v>8.5309411150539098</v>
      </c>
      <c r="XFD99">
        <v>0</v>
      </c>
    </row>
    <row r="100" spans="2:16 16384:16384" x14ac:dyDescent="0.25">
      <c r="B100" s="83">
        <f>Model!J100</f>
        <v>78.461538461538467</v>
      </c>
      <c r="C100" s="88">
        <f>Model!K100</f>
        <v>2040</v>
      </c>
      <c r="D100" s="85">
        <f>Model!L100</f>
        <v>7.0474941595345921</v>
      </c>
      <c r="E100" s="86">
        <f>Model!M100</f>
        <v>7.1648634632763093</v>
      </c>
      <c r="F100" s="86">
        <f>Model!N100</f>
        <v>7.2827747041703113</v>
      </c>
      <c r="G100" s="86">
        <f>Model!O100</f>
        <v>7.4012226857114509</v>
      </c>
      <c r="H100" s="86">
        <f>Model!P100</f>
        <v>7.5202021216670296</v>
      </c>
      <c r="I100" s="86">
        <f>Model!Q100</f>
        <v>7.6397076425879851</v>
      </c>
      <c r="J100" s="86">
        <f>Model!R100</f>
        <v>7.7597338022574567</v>
      </c>
      <c r="K100" s="86">
        <f>Model!S100</f>
        <v>7.880275084064257</v>
      </c>
      <c r="L100" s="86">
        <f>Model!T100</f>
        <v>8.0013259072885852</v>
      </c>
      <c r="M100" s="86">
        <f>Model!U100</f>
        <v>8.1228806332890819</v>
      </c>
      <c r="N100" s="86">
        <f>Model!V100</f>
        <v>8.2449335715802476</v>
      </c>
      <c r="O100" s="86">
        <f>Model!W100</f>
        <v>8.3674789857909744</v>
      </c>
      <c r="P100" s="87">
        <f>Model!X100</f>
        <v>8.4905110994949329</v>
      </c>
      <c r="XFD100">
        <v>1</v>
      </c>
    </row>
    <row r="101" spans="2:16 16384:16384" x14ac:dyDescent="0.25">
      <c r="B101" s="83">
        <f>Model!J101</f>
        <v>79.230769230769226</v>
      </c>
      <c r="C101" s="88">
        <f>Model!K101</f>
        <v>2060</v>
      </c>
      <c r="D101" s="85">
        <f>Model!L101</f>
        <v>7.0207487878249299</v>
      </c>
      <c r="E101" s="86">
        <f>Model!M101</f>
        <v>7.1370780862624965</v>
      </c>
      <c r="F101" s="86">
        <f>Model!N101</f>
        <v>7.2539428117010818</v>
      </c>
      <c r="G101" s="86">
        <f>Model!O101</f>
        <v>7.3713378289154203</v>
      </c>
      <c r="H101" s="86">
        <f>Model!P101</f>
        <v>7.4892579139159103</v>
      </c>
      <c r="I101" s="86">
        <f>Model!Q101</f>
        <v>7.6076977603899465</v>
      </c>
      <c r="J101" s="86">
        <f>Model!R101</f>
        <v>7.7266519860814027</v>
      </c>
      <c r="K101" s="86">
        <f>Model!S101</f>
        <v>7.8461151390959269</v>
      </c>
      <c r="L101" s="86">
        <f>Model!T101</f>
        <v>7.9660817041194942</v>
      </c>
      <c r="M101" s="86">
        <f>Model!U101</f>
        <v>8.0865461085394266</v>
      </c>
      <c r="N101" s="86">
        <f>Model!V101</f>
        <v>8.2075027284570083</v>
      </c>
      <c r="O101" s="86">
        <f>Model!W101</f>
        <v>8.3289458945824979</v>
      </c>
      <c r="P101" s="87">
        <f>Model!X101</f>
        <v>8.4508698980034538</v>
      </c>
      <c r="XFD101">
        <v>0</v>
      </c>
    </row>
    <row r="102" spans="2:16 16384:16384" x14ac:dyDescent="0.25">
      <c r="B102" s="83">
        <f>Model!J102</f>
        <v>80</v>
      </c>
      <c r="C102" s="88">
        <f>Model!K102</f>
        <v>2080</v>
      </c>
      <c r="D102" s="85">
        <f>Model!L102</f>
        <v>6.9945181684369953</v>
      </c>
      <c r="E102" s="86">
        <f>Model!M102</f>
        <v>7.1098276110580123</v>
      </c>
      <c r="F102" s="86">
        <f>Model!N102</f>
        <v>7.2256661179136605</v>
      </c>
      <c r="G102" s="86">
        <f>Model!O102</f>
        <v>7.3420286136502</v>
      </c>
      <c r="H102" s="86">
        <f>Model!P102</f>
        <v>7.4589099350885846</v>
      </c>
      <c r="I102" s="86">
        <f>Model!Q102</f>
        <v>7.5763048375975695</v>
      </c>
      <c r="J102" s="86">
        <f>Model!R102</f>
        <v>7.6942080014057632</v>
      </c>
      <c r="K102" s="86">
        <f>Model!S102</f>
        <v>7.8126140378403264</v>
      </c>
      <c r="L102" s="86">
        <f>Model!T102</f>
        <v>7.9315174954799534</v>
      </c>
      <c r="M102" s="86">
        <f>Model!U102</f>
        <v>8.0509128662113909</v>
      </c>
      <c r="N102" s="86">
        <f>Model!V102</f>
        <v>8.1707945911787778</v>
      </c>
      <c r="O102" s="86">
        <f>Model!W102</f>
        <v>8.291157066616627</v>
      </c>
      <c r="P102" s="87">
        <f>Model!X102</f>
        <v>8.4119946495575295</v>
      </c>
      <c r="XFD102">
        <v>1</v>
      </c>
    </row>
    <row r="103" spans="2:16 16384:16384" x14ac:dyDescent="0.25">
      <c r="B103" s="83">
        <f>Model!J103</f>
        <v>80.769230769230774</v>
      </c>
      <c r="C103" s="88">
        <f>Model!K103</f>
        <v>2100</v>
      </c>
      <c r="D103" s="85">
        <f>Model!L103</f>
        <v>6.9687875823355379</v>
      </c>
      <c r="E103" s="86">
        <f>Model!M103</f>
        <v>7.0830967387089689</v>
      </c>
      <c r="F103" s="86">
        <f>Model!N103</f>
        <v>7.1979287391009699</v>
      </c>
      <c r="G103" s="86">
        <f>Model!O103</f>
        <v>7.3132785666690063</v>
      </c>
      <c r="H103" s="86">
        <f>Model!P103</f>
        <v>7.4291411176610325</v>
      </c>
      <c r="I103" s="86">
        <f>Model!Q103</f>
        <v>7.5455112077220257</v>
      </c>
      <c r="J103" s="86">
        <f>Model!R103</f>
        <v>7.6623835781401031</v>
      </c>
      <c r="K103" s="86">
        <f>Model!S103</f>
        <v>7.7797529020202267</v>
      </c>
      <c r="L103" s="86">
        <f>Model!T103</f>
        <v>7.8976137903730939</v>
      </c>
      <c r="M103" s="86">
        <f>Model!U103</f>
        <v>8.0159607981086616</v>
      </c>
      <c r="N103" s="86">
        <f>Model!V103</f>
        <v>8.134788429923649</v>
      </c>
      <c r="O103" s="86">
        <f>Model!W103</f>
        <v>8.2540911460739554</v>
      </c>
      <c r="P103" s="87">
        <f>Model!X103</f>
        <v>8.3738633680230983</v>
      </c>
      <c r="XFD103">
        <v>0</v>
      </c>
    </row>
    <row r="104" spans="2:16 16384:16384" x14ac:dyDescent="0.25">
      <c r="B104" s="83">
        <f>Model!J104</f>
        <v>81.538461538461533</v>
      </c>
      <c r="C104" s="88">
        <f>Model!K104</f>
        <v>2120</v>
      </c>
      <c r="D104" s="85">
        <f>Model!L104</f>
        <v>6.943542866362205</v>
      </c>
      <c r="E104" s="86">
        <f>Model!M104</f>
        <v>7.0568707481793815</v>
      </c>
      <c r="F104" s="86">
        <f>Model!N104</f>
        <v>7.1707153917204245</v>
      </c>
      <c r="G104" s="86">
        <f>Model!O104</f>
        <v>7.2850718373394976</v>
      </c>
      <c r="H104" s="86">
        <f>Model!P104</f>
        <v>7.3999350393748173</v>
      </c>
      <c r="I104" s="86">
        <f>Model!Q104</f>
        <v>7.5152998723900719</v>
      </c>
      <c r="J104" s="86">
        <f>Model!R104</f>
        <v>7.6311611373561785</v>
      </c>
      <c r="K104" s="86">
        <f>Model!S104</f>
        <v>7.7475135677614135</v>
      </c>
      <c r="L104" s="86">
        <f>Model!T104</f>
        <v>7.8643518356377085</v>
      </c>
      <c r="M104" s="86">
        <f>Model!U104</f>
        <v>7.9816705574926026</v>
      </c>
      <c r="N104" s="86">
        <f>Model!V104</f>
        <v>8.0994643001363205</v>
      </c>
      <c r="O104" s="86">
        <f>Model!W104</f>
        <v>8.2177275863949859</v>
      </c>
      <c r="P104" s="87">
        <f>Model!X104</f>
        <v>8.3364549007011561</v>
      </c>
      <c r="XFD104">
        <v>1</v>
      </c>
    </row>
    <row r="105" spans="2:16 16384:16384" x14ac:dyDescent="0.25">
      <c r="B105" s="83">
        <f>Model!J105</f>
        <v>82.307692307692307</v>
      </c>
      <c r="C105" s="88">
        <f>Model!K105</f>
        <v>2140</v>
      </c>
      <c r="D105" s="85">
        <f>Model!L105</f>
        <v>6.9187703872395305</v>
      </c>
      <c r="E105" s="86">
        <f>Model!M105</f>
        <v>7.031135469318011</v>
      </c>
      <c r="F105" s="86">
        <f>Model!N105</f>
        <v>7.1440113643128704</v>
      </c>
      <c r="G105" s="86">
        <f>Model!O105</f>
        <v>7.2573931685043052</v>
      </c>
      <c r="H105" s="86">
        <f>Model!P105</f>
        <v>7.3712758930287352</v>
      </c>
      <c r="I105" s="86">
        <f>Model!Q105</f>
        <v>7.4856544700566019</v>
      </c>
      <c r="J105" s="86">
        <f>Model!R105</f>
        <v>7.6005237589111818</v>
      </c>
      <c r="K105" s="86">
        <f>Model!S105</f>
        <v>7.7158785521166093</v>
      </c>
      <c r="L105" s="86">
        <f>Model!T105</f>
        <v>7.8317135813629548</v>
      </c>
      <c r="M105" s="86">
        <f>Model!U105</f>
        <v>7.9480235233780085</v>
      </c>
      <c r="N105" s="86">
        <f>Model!V105</f>
        <v>8.0648030056952678</v>
      </c>
      <c r="O105" s="86">
        <f>Model!W105</f>
        <v>8.1820466123092821</v>
      </c>
      <c r="P105" s="87">
        <f>Model!X105</f>
        <v>8.2997488892095888</v>
      </c>
      <c r="XFD105">
        <v>0</v>
      </c>
    </row>
    <row r="106" spans="2:16 16384:16384" x14ac:dyDescent="0.25">
      <c r="B106" s="83">
        <f>Model!J106</f>
        <v>83.07692307692308</v>
      </c>
      <c r="C106" s="88">
        <f>Model!K106</f>
        <v>2160</v>
      </c>
      <c r="D106" s="85">
        <f>Model!L106</f>
        <v>6.8944570170203479</v>
      </c>
      <c r="E106" s="86">
        <f>Model!M106</f>
        <v>7.0058772573285122</v>
      </c>
      <c r="F106" s="86">
        <f>Model!N106</f>
        <v>7.1178024909835429</v>
      </c>
      <c r="G106" s="86">
        <f>Model!O106</f>
        <v>7.2302278689628725</v>
      </c>
      <c r="H106" s="86">
        <f>Model!P106</f>
        <v>7.3431484579517967</v>
      </c>
      <c r="I106" s="86">
        <f>Model!Q106</f>
        <v>7.4565592464590384</v>
      </c>
      <c r="J106" s="86">
        <f>Model!R106</f>
        <v>7.5704551508740447</v>
      </c>
      <c r="K106" s="86">
        <f>Model!S106</f>
        <v>7.6848310214542517</v>
      </c>
      <c r="L106" s="86">
        <f>Model!T106</f>
        <v>7.7996816482303268</v>
      </c>
      <c r="M106" s="86">
        <f>Model!U106</f>
        <v>7.9150017668190884</v>
      </c>
      <c r="N106" s="86">
        <f>Model!V106</f>
        <v>8.0307860641337214</v>
      </c>
      <c r="O106" s="86">
        <f>Model!W106</f>
        <v>8.1470291839825428</v>
      </c>
      <c r="P106" s="87">
        <f>Model!X106</f>
        <v>8.2637257325475559</v>
      </c>
      <c r="XFD106">
        <v>1</v>
      </c>
    </row>
    <row r="107" spans="2:16 16384:16384" x14ac:dyDescent="0.25">
      <c r="B107" s="83">
        <f>Model!J107</f>
        <v>83.84615384615384</v>
      </c>
      <c r="C107" s="88">
        <f>Model!K107</f>
        <v>2180</v>
      </c>
      <c r="D107" s="85">
        <f>Model!L107</f>
        <v>6.8705901098895872</v>
      </c>
      <c r="E107" s="86">
        <f>Model!M107</f>
        <v>6.9810829686463514</v>
      </c>
      <c r="F107" s="86">
        <f>Model!N107</f>
        <v>7.0920751263446444</v>
      </c>
      <c r="G107" s="86">
        <f>Model!O107</f>
        <v>7.2035617874704059</v>
      </c>
      <c r="H107" s="86">
        <f>Model!P107</f>
        <v>7.3155380730493196</v>
      </c>
      <c r="I107" s="86">
        <f>Model!Q107</f>
        <v>7.4279990267015226</v>
      </c>
      <c r="J107" s="86">
        <f>Model!R107</f>
        <v>7.540939620638726</v>
      </c>
      <c r="K107" s="86">
        <f>Model!S107</f>
        <v>7.6543547615920495</v>
      </c>
      <c r="L107" s="86">
        <f>Model!T107</f>
        <v>7.7682392966587237</v>
      </c>
      <c r="M107" s="86">
        <f>Model!U107</f>
        <v>7.8825880190574455</v>
      </c>
      <c r="N107" s="86">
        <f>Model!V107</f>
        <v>7.9973956737820817</v>
      </c>
      <c r="O107" s="86">
        <f>Model!W107</f>
        <v>8.1126569631450582</v>
      </c>
      <c r="P107" s="87">
        <f>Model!X107</f>
        <v>8.2283665522017788</v>
      </c>
      <c r="XFD107">
        <v>0</v>
      </c>
    </row>
    <row r="108" spans="2:16 16384:16384" x14ac:dyDescent="0.25">
      <c r="B108" s="83">
        <f>Model!J108</f>
        <v>84.615384615384613</v>
      </c>
      <c r="C108" s="88">
        <f>Model!K108</f>
        <v>2200</v>
      </c>
      <c r="D108" s="85">
        <f>Model!L108</f>
        <v>6.8471574802324184</v>
      </c>
      <c r="E108" s="86">
        <f>Model!M108</f>
        <v>6.9567399381328086</v>
      </c>
      <c r="F108" s="86">
        <f>Model!N108</f>
        <v>7.0668161218263723</v>
      </c>
      <c r="G108" s="86">
        <f>Model!O108</f>
        <v>7.1773812881571608</v>
      </c>
      <c r="H108" s="86">
        <f>Model!P108</f>
        <v>7.2884306113218553</v>
      </c>
      <c r="I108" s="86">
        <f>Model!Q108</f>
        <v>7.3999591888649325</v>
      </c>
      <c r="J108" s="86">
        <f>Model!R108</f>
        <v>7.5119620476168922</v>
      </c>
      <c r="K108" s="86">
        <f>Model!S108</f>
        <v>7.6244341495639709</v>
      </c>
      <c r="L108" s="86">
        <f>Model!T108</f>
        <v>7.7373703976375534</v>
      </c>
      <c r="M108" s="86">
        <f>Model!U108</f>
        <v>7.8507656414131928</v>
      </c>
      <c r="N108" s="86">
        <f>Model!V108</f>
        <v>7.9646146827090245</v>
      </c>
      <c r="O108" s="86">
        <f>Model!W108</f>
        <v>8.0789122810749721</v>
      </c>
      <c r="P108" s="87">
        <f>Model!X108</f>
        <v>8.1936531591641817</v>
      </c>
      <c r="XFD108">
        <v>1</v>
      </c>
    </row>
    <row r="109" spans="2:16 16384:16384" x14ac:dyDescent="0.25">
      <c r="B109" s="83">
        <f>Model!J109</f>
        <v>85.384615384615387</v>
      </c>
      <c r="C109" s="88">
        <f>Model!K109</f>
        <v>2220</v>
      </c>
      <c r="D109" s="85">
        <f>Model!L109</f>
        <v>6.8241473818888103</v>
      </c>
      <c r="E109" s="86">
        <f>Model!M109</f>
        <v>6.9328359575029683</v>
      </c>
      <c r="F109" s="86">
        <f>Model!N109</f>
        <v>7.0420128032700182</v>
      </c>
      <c r="G109" s="86">
        <f>Model!O109</f>
        <v>7.1516732272784491</v>
      </c>
      <c r="H109" s="86">
        <f>Model!P109</f>
        <v>7.2618124557639447</v>
      </c>
      <c r="I109" s="86">
        <f>Model!Q109</f>
        <v>7.3724256390463321</v>
      </c>
      <c r="J109" s="86">
        <f>Model!R109</f>
        <v>7.4835078574101361</v>
      </c>
      <c r="K109" s="86">
        <f>Model!S109</f>
        <v>7.5950541269174163</v>
      </c>
      <c r="L109" s="86">
        <f>Model!T109</f>
        <v>7.7070594051411057</v>
      </c>
      <c r="M109" s="86">
        <f>Model!U109</f>
        <v>7.8195185968088943</v>
      </c>
      <c r="N109" s="86">
        <f>Model!V109</f>
        <v>7.9324265593475189</v>
      </c>
      <c r="O109" s="86">
        <f>Model!W109</f>
        <v>8.0457781083189399</v>
      </c>
      <c r="P109" s="87">
        <f>Model!X109</f>
        <v>8.1595680227399132</v>
      </c>
      <c r="XFD109">
        <v>0</v>
      </c>
    </row>
    <row r="110" spans="2:16 16384:16384" x14ac:dyDescent="0.25">
      <c r="B110" s="83">
        <f>Model!J110</f>
        <v>86.15384615384616</v>
      </c>
      <c r="C110" s="88">
        <f>Model!K110</f>
        <v>2240</v>
      </c>
      <c r="D110" s="85">
        <f>Model!L110</f>
        <v>6.8015484885202646</v>
      </c>
      <c r="E110" s="86">
        <f>Model!M110</f>
        <v>6.9093592549104619</v>
      </c>
      <c r="F110" s="86">
        <f>Model!N110</f>
        <v>7.0176529497229057</v>
      </c>
      <c r="G110" s="86">
        <f>Model!O110</f>
        <v>7.1264249312119841</v>
      </c>
      <c r="H110" s="86">
        <f>Model!P110</f>
        <v>7.2356704765562512</v>
      </c>
      <c r="I110" s="86">
        <f>Model!Q110</f>
        <v>7.3453847877383325</v>
      </c>
      <c r="J110" s="86">
        <f>Model!R110</f>
        <v>7.4555629973690714</v>
      </c>
      <c r="K110" s="86">
        <f>Model!S110</f>
        <v>7.5662001744446563</v>
      </c>
      <c r="L110" s="86">
        <f>Model!T110</f>
        <v>7.6772913300250654</v>
      </c>
      <c r="M110" s="86">
        <f>Model!U110</f>
        <v>7.7888314228239723</v>
      </c>
      <c r="N110" s="86">
        <f>Model!V110</f>
        <v>7.9008153647000405</v>
      </c>
      <c r="O110" s="86">
        <f>Model!W110</f>
        <v>8.0132380260411775</v>
      </c>
      <c r="P110" s="87">
        <f>Model!X110</f>
        <v>8.126094241033325</v>
      </c>
      <c r="XFD110">
        <v>1</v>
      </c>
    </row>
    <row r="111" spans="2:16 16384:16384" x14ac:dyDescent="0.25">
      <c r="B111" s="83">
        <f>Model!J111</f>
        <v>86.92307692307692</v>
      </c>
      <c r="C111" s="88">
        <f>Model!K111</f>
        <v>2260</v>
      </c>
      <c r="D111" s="85">
        <f>Model!L111</f>
        <v>6.7793498750197987</v>
      </c>
      <c r="E111" s="86">
        <f>Model!M111</f>
        <v>6.8862984756172816</v>
      </c>
      <c r="F111" s="86">
        <f>Model!N111</f>
        <v>6.9937247733606265</v>
      </c>
      <c r="G111" s="86">
        <f>Model!O111</f>
        <v>7.1016241756252825</v>
      </c>
      <c r="H111" s="86">
        <f>Model!P111</f>
        <v>7.2099920094708558</v>
      </c>
      <c r="I111" s="86">
        <f>Model!Q111</f>
        <v>7.3188235274651694</v>
      </c>
      <c r="J111" s="86">
        <f>Model!R111</f>
        <v>7.4281139134531688</v>
      </c>
      <c r="K111" s="86">
        <f>Model!S111</f>
        <v>7.5378582882594749</v>
      </c>
      <c r="L111" s="86">
        <f>Model!T111</f>
        <v>7.6480517153131018</v>
      </c>
      <c r="M111" s="86">
        <f>Model!U111</f>
        <v>7.7586892061844717</v>
      </c>
      <c r="N111" s="86">
        <f>Model!V111</f>
        <v>7.8697657260248262</v>
      </c>
      <c r="O111" s="86">
        <f>Model!W111</f>
        <v>7.9812761988996286</v>
      </c>
      <c r="P111" s="87">
        <f>Model!X111</f>
        <v>8.0932155130076016</v>
      </c>
      <c r="XFD111">
        <v>0</v>
      </c>
    </row>
    <row r="112" spans="2:16 16384:16384" x14ac:dyDescent="0.25">
      <c r="B112" s="83">
        <f>Model!J112</f>
        <v>87.692307692307693</v>
      </c>
      <c r="C112" s="88">
        <f>Model!K112</f>
        <v>2280</v>
      </c>
      <c r="D112" s="85">
        <f>Model!L112</f>
        <v>6.7575409999011047</v>
      </c>
      <c r="E112" s="86">
        <f>Model!M112</f>
        <v>6.8636426636819285</v>
      </c>
      <c r="F112" s="86">
        <f>Model!N112</f>
        <v>6.9702169004672587</v>
      </c>
      <c r="G112" s="86">
        <f>Model!O112</f>
        <v>7.077259165741058</v>
      </c>
      <c r="H112" s="86">
        <f>Model!P112</f>
        <v>7.1847648354150806</v>
      </c>
      <c r="I112" s="86">
        <f>Model!Q112</f>
        <v>7.2927292115982212</v>
      </c>
      <c r="J112" s="86">
        <f>Model!R112</f>
        <v>7.4011475283113048</v>
      </c>
      <c r="K112" s="86">
        <f>Model!S112</f>
        <v>7.510014957136212</v>
      </c>
      <c r="L112" s="86">
        <f>Model!T112</f>
        <v>7.6193266127879227</v>
      </c>
      <c r="M112" s="86">
        <f>Model!U112</f>
        <v>7.7290775585997542</v>
      </c>
      <c r="N112" s="86">
        <f>Model!V112</f>
        <v>7.8392628119119321</v>
      </c>
      <c r="O112" s="86">
        <f>Model!W112</f>
        <v>7.9498773493551624</v>
      </c>
      <c r="P112" s="87">
        <f>Model!X112</f>
        <v>8.0609161120209709</v>
      </c>
      <c r="XFD112">
        <v>1</v>
      </c>
    </row>
    <row r="113" spans="2:16 16384:16384" x14ac:dyDescent="0.25">
      <c r="B113" s="83">
        <f>Model!J113</f>
        <v>88.461538461538467</v>
      </c>
      <c r="C113" s="88">
        <f>Model!K113</f>
        <v>2300</v>
      </c>
      <c r="D113" s="85">
        <f>Model!L113</f>
        <v>6.7361116886071422</v>
      </c>
      <c r="E113" s="86">
        <f>Model!M113</f>
        <v>6.8413812446038866</v>
      </c>
      <c r="F113" s="86">
        <f>Model!N113</f>
        <v>6.9471183534091292</v>
      </c>
      <c r="G113" s="86">
        <f>Model!O113</f>
        <v>7.0533185176337874</v>
      </c>
      <c r="H113" s="86">
        <f>Model!P113</f>
        <v>7.1599771610444218</v>
      </c>
      <c r="I113" s="86">
        <f>Model!Q113</f>
        <v>7.267089634278971</v>
      </c>
      <c r="J113" s="86">
        <f>Model!R113</f>
        <v>7.3746512205085404</v>
      </c>
      <c r="K113" s="86">
        <f>Model!S113</f>
        <v>7.482657141034144</v>
      </c>
      <c r="L113" s="86">
        <f>Model!T113</f>
        <v>7.5911025608071743</v>
      </c>
      <c r="M113" s="86">
        <f>Model!U113</f>
        <v>7.6999825938638899</v>
      </c>
      <c r="N113" s="86">
        <f>Model!V113</f>
        <v>7.8092923086641575</v>
      </c>
      <c r="O113" s="86">
        <f>Model!W113</f>
        <v>7.9190267333262216</v>
      </c>
      <c r="P113" s="87">
        <f>Model!X113</f>
        <v>8.0291808607492925</v>
      </c>
      <c r="XFD113">
        <v>0</v>
      </c>
    </row>
    <row r="114" spans="2:16 16384:16384" x14ac:dyDescent="0.25">
      <c r="B114" s="83">
        <f>Model!J114</f>
        <v>89.230769230769226</v>
      </c>
      <c r="C114" s="88">
        <f>Model!K114</f>
        <v>2320</v>
      </c>
      <c r="D114" s="85">
        <f>Model!L114</f>
        <v>6.7150521176827862</v>
      </c>
      <c r="E114" s="86">
        <f>Model!M114</f>
        <v>6.8195040088666321</v>
      </c>
      <c r="F114" s="86">
        <f>Model!N114</f>
        <v>6.9244185335420365</v>
      </c>
      <c r="G114" s="86">
        <f>Model!O114</f>
        <v>7.0297912404950518</v>
      </c>
      <c r="H114" s="86">
        <f>Model!P114</f>
        <v>7.1356176003799598</v>
      </c>
      <c r="I114" s="86">
        <f>Model!Q114</f>
        <v>7.2418930113825279</v>
      </c>
      <c r="J114" s="86">
        <f>Model!R114</f>
        <v>7.3486128048297967</v>
      </c>
      <c r="K114" s="86">
        <f>Model!S114</f>
        <v>7.4557722507355191</v>
      </c>
      <c r="L114" s="86">
        <f>Model!T114</f>
        <v>7.5633665632700735</v>
      </c>
      <c r="M114" s="86">
        <f>Model!U114</f>
        <v>7.671390906145195</v>
      </c>
      <c r="N114" s="86">
        <f>Model!V114</f>
        <v>7.7798403979039072</v>
      </c>
      <c r="O114" s="86">
        <f>Model!W114</f>
        <v>7.8887101171074381</v>
      </c>
      <c r="P114" s="87">
        <f>Model!X114</f>
        <v>7.9979951074110067</v>
      </c>
      <c r="XFD114">
        <v>1</v>
      </c>
    </row>
    <row r="115" spans="2:16 16384:16384" x14ac:dyDescent="0.25">
      <c r="B115" s="83">
        <f>Model!J115</f>
        <v>90</v>
      </c>
      <c r="C115" s="88">
        <f>Model!K115</f>
        <v>2340</v>
      </c>
      <c r="D115" s="85">
        <f>Model!L115</f>
        <v>6.6943527997596437</v>
      </c>
      <c r="E115" s="86">
        <f>Model!M115</f>
        <v>6.7980010963253887</v>
      </c>
      <c r="F115" s="86">
        <f>Model!N115</f>
        <v>6.9021072049960974</v>
      </c>
      <c r="G115" s="86">
        <f>Model!O115</f>
        <v>7.0066667198096546</v>
      </c>
      <c r="H115" s="86">
        <f>Model!P115</f>
        <v>7.1116751573700707</v>
      </c>
      <c r="I115" s="86">
        <f>Model!Q115</f>
        <v>7.2171279624592604</v>
      </c>
      <c r="J115" s="86">
        <f>Model!R115</f>
        <v>7.323020513595865</v>
      </c>
      <c r="K115" s="86">
        <f>Model!S115</f>
        <v>7.4293481285304246</v>
      </c>
      <c r="L115" s="86">
        <f>Model!T115</f>
        <v>7.5361060696656814</v>
      </c>
      <c r="M115" s="86">
        <f>Model!U115</f>
        <v>7.6432895493925788</v>
      </c>
      <c r="N115" s="86">
        <f>Model!V115</f>
        <v>7.7508937353323075</v>
      </c>
      <c r="O115" s="86">
        <f>Model!W115</f>
        <v>7.8589137554763173</v>
      </c>
      <c r="P115" s="87">
        <f>Model!X115</f>
        <v>7.967344703216229</v>
      </c>
      <c r="XFD115">
        <v>0</v>
      </c>
    </row>
    <row r="116" spans="2:16 16384:16384" x14ac:dyDescent="0.25">
      <c r="B116" s="83">
        <f>Model!J116</f>
        <v>90.769230769230774</v>
      </c>
      <c r="C116" s="88">
        <f>Model!K116</f>
        <v>2360</v>
      </c>
      <c r="D116" s="85">
        <f>Model!L116</f>
        <v>6.6740045693049339</v>
      </c>
      <c r="E116" s="86">
        <f>Model!M116</f>
        <v>6.776862981389459</v>
      </c>
      <c r="F116" s="86">
        <f>Model!N116</f>
        <v>6.8801744792859987</v>
      </c>
      <c r="G116" s="86">
        <f>Model!O116</f>
        <v>6.9839347013883923</v>
      </c>
      <c r="H116" s="86">
        <f>Model!P116</f>
        <v>7.0881392093402926</v>
      </c>
      <c r="I116" s="86">
        <f>Model!Q116</f>
        <v>7.1927834935964414</v>
      </c>
      <c r="J116" s="86">
        <f>Model!R116</f>
        <v>7.297862978931577</v>
      </c>
      <c r="K116" s="86">
        <f>Model!S116</f>
        <v>7.403373029886259</v>
      </c>
      <c r="L116" s="86">
        <f>Model!T116</f>
        <v>7.5093089561385735</v>
      </c>
      <c r="M116" s="86">
        <f>Model!U116</f>
        <v>7.6156660177923055</v>
      </c>
      <c r="N116" s="86">
        <f>Model!V116</f>
        <v>7.7224394305720603</v>
      </c>
      <c r="O116" s="86">
        <f>Model!W116</f>
        <v>7.8296243709172639</v>
      </c>
      <c r="P116" s="87">
        <f>Model!X116</f>
        <v>7.9372159809670926</v>
      </c>
      <c r="XFD116">
        <v>1</v>
      </c>
    </row>
    <row r="117" spans="2:16 16384:16384" x14ac:dyDescent="0.25">
      <c r="B117" s="83">
        <f>Model!J117</f>
        <v>91.538461538461533</v>
      </c>
      <c r="C117" s="88">
        <f>Model!K117</f>
        <v>2380</v>
      </c>
      <c r="D117" s="85">
        <f>Model!L117</f>
        <v>6.6539985690894259</v>
      </c>
      <c r="E117" s="86">
        <f>Model!M117</f>
        <v>6.7560804589523453</v>
      </c>
      <c r="F117" s="86">
        <f>Model!N117</f>
        <v>6.8586108006981412</v>
      </c>
      <c r="G117" s="86">
        <f>Model!O117</f>
        <v>6.9615852762070407</v>
      </c>
      <c r="H117" s="86">
        <f>Model!P117</f>
        <v>7.064999491279055</v>
      </c>
      <c r="I117" s="86">
        <f>Model!Q117</f>
        <v>7.1688489811457075</v>
      </c>
      <c r="J117" s="86">
        <f>Model!R117</f>
        <v>7.2731292159299805</v>
      </c>
      <c r="K117" s="86">
        <f>Model!S117</f>
        <v>7.3778356060437371</v>
      </c>
      <c r="L117" s="86">
        <f>Model!T117</f>
        <v>7.482963507511788</v>
      </c>
      <c r="M117" s="86">
        <f>Model!U117</f>
        <v>7.5885082272131275</v>
      </c>
      <c r="N117" s="86">
        <f>Model!V117</f>
        <v>7.6944650280300397</v>
      </c>
      <c r="O117" s="86">
        <f>Model!W117</f>
        <v>7.8008291338969693</v>
      </c>
      <c r="P117" s="87">
        <f>Model!X117</f>
        <v>7.9075957347413199</v>
      </c>
      <c r="XFD117">
        <v>0</v>
      </c>
    </row>
    <row r="118" spans="2:16 16384:16384" x14ac:dyDescent="0.25">
      <c r="B118" s="83">
        <f>Model!J118</f>
        <v>92.307692307692307</v>
      </c>
      <c r="C118" s="88">
        <f>Model!K118</f>
        <v>2400</v>
      </c>
      <c r="D118" s="85">
        <f>Model!L118</f>
        <v>6.6343262373324308</v>
      </c>
      <c r="E118" s="86">
        <f>Model!M118</f>
        <v>6.7356446310260409</v>
      </c>
      <c r="F118" s="86">
        <f>Model!N118</f>
        <v>6.837406932409233</v>
      </c>
      <c r="G118" s="86">
        <f>Model!O118</f>
        <v>6.9396088660044111</v>
      </c>
      <c r="H118" s="86">
        <f>Model!P118</f>
        <v>7.0422460809104042</v>
      </c>
      <c r="I118" s="86">
        <f>Model!Q118</f>
        <v>7.1453141562656617</v>
      </c>
      <c r="J118" s="86">
        <f>Model!R118</f>
        <v>7.2488086066601261</v>
      </c>
      <c r="K118" s="86">
        <f>Model!S118</f>
        <v>7.3527248874852269</v>
      </c>
      <c r="L118" s="86">
        <f>Model!T118</f>
        <v>7.45705840021113</v>
      </c>
      <c r="M118" s="86">
        <f>Model!U118</f>
        <v>7.5618044975820133</v>
      </c>
      <c r="N118" s="86">
        <f>Model!V118</f>
        <v>7.6669584887199669</v>
      </c>
      <c r="O118" s="86">
        <f>Model!W118</f>
        <v>7.7725156441296228</v>
      </c>
      <c r="P118" s="87">
        <f>Model!X118</f>
        <v>7.878471200595639</v>
      </c>
      <c r="XFD118">
        <v>1</v>
      </c>
    </row>
    <row r="119" spans="2:16 16384:16384" x14ac:dyDescent="0.25">
      <c r="B119" s="83">
        <f>Model!J119</f>
        <v>93.07692307692308</v>
      </c>
      <c r="C119" s="88">
        <f>Model!K119</f>
        <v>2420</v>
      </c>
      <c r="D119" s="85">
        <f>Model!L119</f>
        <v>6.6149792954846998</v>
      </c>
      <c r="E119" s="86">
        <f>Model!M119</f>
        <v>6.7155468940386216</v>
      </c>
      <c r="F119" s="86">
        <f>Model!N119</f>
        <v>6.8165539432940205</v>
      </c>
      <c r="G119" s="86">
        <f>Model!O119</f>
        <v>6.9179962095955609</v>
      </c>
      <c r="H119" s="86">
        <f>Model!P119</f>
        <v>7.0198693845081355</v>
      </c>
      <c r="I119" s="86">
        <f>Model!Q119</f>
        <v>7.1221690902324335</v>
      </c>
      <c r="J119" s="86">
        <f>Model!R119</f>
        <v>7.2248908849696383</v>
      </c>
      <c r="K119" s="86">
        <f>Model!S119</f>
        <v>7.3280302682248628</v>
      </c>
      <c r="L119" s="86">
        <f>Model!T119</f>
        <v>7.4315826860385226</v>
      </c>
      <c r="M119" s="86">
        <f>Model!U119</f>
        <v>7.5355435361364389</v>
      </c>
      <c r="N119" s="86">
        <f>Model!V119</f>
        <v>7.6399081729894229</v>
      </c>
      <c r="O119" s="86">
        <f>Model!W119</f>
        <v>7.7446719127744732</v>
      </c>
      <c r="P119" s="87">
        <f>Model!X119</f>
        <v>7.8498300382297757</v>
      </c>
      <c r="XFD119">
        <v>0</v>
      </c>
    </row>
    <row r="120" spans="2:16 16384:16384" x14ac:dyDescent="0.25">
      <c r="B120" s="83">
        <f>Model!J120</f>
        <v>93.84615384615384</v>
      </c>
      <c r="C120" s="88">
        <f>Model!K120</f>
        <v>2440</v>
      </c>
      <c r="D120" s="85">
        <f>Model!L120</f>
        <v>6.5959497366125444</v>
      </c>
      <c r="E120" s="86">
        <f>Model!M120</f>
        <v>6.695778926757181</v>
      </c>
      <c r="F120" s="86">
        <f>Model!N120</f>
        <v>6.7960431953825369</v>
      </c>
      <c r="G120" s="86">
        <f>Model!O120</f>
        <v>6.896738349859044</v>
      </c>
      <c r="H120" s="86">
        <f>Model!P120</f>
        <v>6.9978601234087332</v>
      </c>
      <c r="I120" s="86">
        <f>Model!Q120</f>
        <v>7.0994041804740382</v>
      </c>
      <c r="J120" s="86">
        <f>Model!R120</f>
        <v>7.2013661220362364</v>
      </c>
      <c r="K120" s="86">
        <f>Model!S120</f>
        <v>7.3037414908731648</v>
      </c>
      <c r="L120" s="86">
        <f>Model!T120</f>
        <v>7.4065257767455499</v>
      </c>
      <c r="M120" s="86">
        <f>Model!U120</f>
        <v>7.5097144215028173</v>
      </c>
      <c r="N120" s="86">
        <f>Model!V120</f>
        <v>7.6133028240991534</v>
      </c>
      <c r="O120" s="86">
        <f>Model!W120</f>
        <v>7.7172863455120773</v>
      </c>
      <c r="P120" s="87">
        <f>Model!X120</f>
        <v>7.8216603135557339</v>
      </c>
      <c r="XFD120">
        <v>1</v>
      </c>
    </row>
    <row r="121" spans="2:16 16384:16384" x14ac:dyDescent="0.25">
      <c r="B121" s="83">
        <f>Model!J121</f>
        <v>94.615384615384613</v>
      </c>
      <c r="C121" s="88">
        <f>Model!K121</f>
        <v>2460</v>
      </c>
      <c r="D121" s="85">
        <f>Model!L121</f>
        <v>6.5772298143489989</v>
      </c>
      <c r="E121" s="86">
        <f>Model!M121</f>
        <v>6.6763326788003425</v>
      </c>
      <c r="F121" s="86">
        <f>Model!N121</f>
        <v>6.7758663319298655</v>
      </c>
      <c r="G121" s="86">
        <f>Model!O121</f>
        <v>6.8758266213597796</v>
      </c>
      <c r="H121" s="86">
        <f>Model!P121</f>
        <v>6.9762093211832443</v>
      </c>
      <c r="I121" s="86">
        <f>Model!Q121</f>
        <v>7.0770101372872487</v>
      </c>
      <c r="J121" s="86">
        <f>Model!R121</f>
        <v>7.1782247126256333</v>
      </c>
      <c r="K121" s="86">
        <f>Model!S121</f>
        <v>7.2798486324319462</v>
      </c>
      <c r="L121" s="86">
        <f>Model!T121</f>
        <v>7.3818774293615412</v>
      </c>
      <c r="M121" s="86">
        <f>Model!U121</f>
        <v>7.4843065885539106</v>
      </c>
      <c r="N121" s="86">
        <f>Model!V121</f>
        <v>7.5871315526060137</v>
      </c>
      <c r="O121" s="86">
        <f>Model!W121</f>
        <v>7.6903477264490103</v>
      </c>
      <c r="P121" s="87">
        <f>Model!X121</f>
        <v>7.7939504821206071</v>
      </c>
      <c r="XFD121">
        <v>0</v>
      </c>
    </row>
    <row r="122" spans="2:16 16384:16384" x14ac:dyDescent="0.25">
      <c r="B122" s="83">
        <f>Model!J122</f>
        <v>95.384615384615387</v>
      </c>
      <c r="C122" s="88">
        <f>Model!K122</f>
        <v>2480</v>
      </c>
      <c r="D122" s="85">
        <f>Model!L122</f>
        <v>6.5588120323799703</v>
      </c>
      <c r="E122" s="86">
        <f>Model!M122</f>
        <v>6.6572003597071943</v>
      </c>
      <c r="F122" s="86">
        <f>Model!N122</f>
        <v>6.7560152660638355</v>
      </c>
      <c r="G122" s="86">
        <f>Model!O122</f>
        <v>6.8552526385716197</v>
      </c>
      <c r="H122" s="86">
        <f>Model!P122</f>
        <v>6.9549082914308809</v>
      </c>
      <c r="I122" s="86">
        <f>Model!Q122</f>
        <v>7.0549779711983831</v>
      </c>
      <c r="J122" s="86">
        <f>Model!R122</f>
        <v>7.155457362015742</v>
      </c>
      <c r="K122" s="86">
        <f>Model!S122</f>
        <v>7.2563420907782357</v>
      </c>
      <c r="L122" s="86">
        <f>Model!T122</f>
        <v>7.3576277322334978</v>
      </c>
      <c r="M122" s="86">
        <f>Model!U122</f>
        <v>7.4593098140011058</v>
      </c>
      <c r="N122" s="86">
        <f>Model!V122</f>
        <v>7.5613838215040108</v>
      </c>
      <c r="O122" s="86">
        <f>Model!W122</f>
        <v>7.6638452028041479</v>
      </c>
      <c r="P122" s="87">
        <f>Model!X122</f>
        <v>7.7666893733345894</v>
      </c>
      <c r="XFD122">
        <v>1</v>
      </c>
    </row>
    <row r="123" spans="2:16 16384:16384" x14ac:dyDescent="0.25">
      <c r="B123" s="83">
        <f>Model!J123</f>
        <v>96.15384615384616</v>
      </c>
      <c r="C123" s="88">
        <f>Model!K123</f>
        <v>2500</v>
      </c>
      <c r="D123" s="85">
        <f>Model!L123</f>
        <v>6.5406891344353699</v>
      </c>
      <c r="E123" s="86">
        <f>Model!M123</f>
        <v>6.6383744285312654</v>
      </c>
      <c r="F123" s="86">
        <f>Model!N123</f>
        <v>6.7364821699782018</v>
      </c>
      <c r="G123" s="86">
        <f>Model!O123</f>
        <v>6.835008284666003</v>
      </c>
      <c r="H123" s="86">
        <f>Model!P123</f>
        <v>6.9339486261594647</v>
      </c>
      <c r="I123" s="86">
        <f>Model!Q123</f>
        <v>7.0332989809319146</v>
      </c>
      <c r="J123" s="86">
        <f>Model!R123</f>
        <v>7.133055073549861</v>
      </c>
      <c r="K123" s="86">
        <f>Model!S123</f>
        <v>7.2332125717985161</v>
      </c>
      <c r="L123" s="86">
        <f>Model!T123</f>
        <v>7.3337670917378617</v>
      </c>
      <c r="M123" s="86">
        <f>Model!U123</f>
        <v>7.4347142026803059</v>
      </c>
      <c r="N123" s="86">
        <f>Model!V123</f>
        <v>7.5360494320808975</v>
      </c>
      <c r="O123" s="86">
        <f>Model!W123</f>
        <v>7.6377682703325931</v>
      </c>
      <c r="P123" s="87">
        <f>Model!X123</f>
        <v>7.7398661754589266</v>
      </c>
      <c r="XFD123">
        <v>0</v>
      </c>
    </row>
    <row r="124" spans="2:16 16384:16384" x14ac:dyDescent="0.25">
      <c r="B124" s="83">
        <f>Model!J124</f>
        <v>96.92307692307692</v>
      </c>
      <c r="C124" s="88">
        <f>Model!K124</f>
        <v>2520</v>
      </c>
      <c r="D124" s="85">
        <f>Model!L124</f>
        <v>6.5228540947571858</v>
      </c>
      <c r="E124" s="86">
        <f>Model!M124</f>
        <v>6.6198475839305759</v>
      </c>
      <c r="F124" s="86">
        <f>Model!N124</f>
        <v>6.7172594646410264</v>
      </c>
      <c r="G124" s="86">
        <f>Model!O124</f>
        <v>6.8150857008351711</v>
      </c>
      <c r="H124" s="86">
        <f>Model!P124</f>
        <v>6.9133221847200126</v>
      </c>
      <c r="I124" s="86">
        <f>Model!Q124</f>
        <v>7.0119647419530349</v>
      </c>
      <c r="J124" s="86">
        <f>Model!R124</f>
        <v>7.1110091367838004</v>
      </c>
      <c r="K124" s="86">
        <f>Model!S124</f>
        <v>7.21045107713703</v>
      </c>
      <c r="L124" s="86">
        <f>Model!T124</f>
        <v>7.3102862196267555</v>
      </c>
      <c r="M124" s="86">
        <f>Model!U124</f>
        <v>7.4105101744927637</v>
      </c>
      <c r="N124" s="86">
        <f>Model!V124</f>
        <v>7.5111185104503884</v>
      </c>
      <c r="O124" s="86">
        <f>Model!W124</f>
        <v>7.612106759446096</v>
      </c>
      <c r="P124" s="87">
        <f>Model!X124</f>
        <v>7.7134704213113885</v>
      </c>
      <c r="XFD124">
        <v>1</v>
      </c>
    </row>
    <row r="125" spans="2:16 16384:16384" x14ac:dyDescent="0.25">
      <c r="B125" s="83">
        <f>Model!J125</f>
        <v>97.692307692307693</v>
      </c>
      <c r="C125" s="88">
        <f>Model!K125</f>
        <v>2540</v>
      </c>
      <c r="D125" s="85">
        <f>Model!L125</f>
        <v>6.5053001090181919</v>
      </c>
      <c r="E125" s="86">
        <f>Model!M125</f>
        <v>6.6016127547261885</v>
      </c>
      <c r="F125" s="86">
        <f>Model!N125</f>
        <v>6.6983398099897737</v>
      </c>
      <c r="G125" s="86">
        <f>Model!O125</f>
        <v>6.795477276120474</v>
      </c>
      <c r="H125" s="86">
        <f>Model!P125</f>
        <v>6.893021083264971</v>
      </c>
      <c r="I125" s="86">
        <f>Model!Q125</f>
        <v>6.9909670955524863</v>
      </c>
      <c r="J125" s="86">
        <f>Model!R125</f>
        <v>7.0893111161941498</v>
      </c>
      <c r="K125" s="86">
        <f>Model!S125</f>
        <v>7.188048892524316</v>
      </c>
      <c r="L125" s="86">
        <f>Model!T125</f>
        <v>7.2871761209735677</v>
      </c>
      <c r="M125" s="86">
        <f>Model!U125</f>
        <v>7.3866884519646892</v>
      </c>
      <c r="N125" s="86">
        <f>Model!V125</f>
        <v>7.486581494722703</v>
      </c>
      <c r="O125" s="86">
        <f>Model!W125</f>
        <v>7.5868508219915016</v>
      </c>
      <c r="P125" s="87">
        <f>Model!X125</f>
        <v>7.6874919746496388</v>
      </c>
      <c r="XFD125">
        <v>0</v>
      </c>
    </row>
    <row r="126" spans="2:16 16384:16384" x14ac:dyDescent="0.25">
      <c r="B126" s="83">
        <f>Model!J126</f>
        <v>98.461538461538467</v>
      </c>
      <c r="C126" s="88">
        <f>Model!K126</f>
        <v>2560</v>
      </c>
      <c r="D126" s="85">
        <f>Model!L126</f>
        <v>6.4880205856666127</v>
      </c>
      <c r="E126" s="86">
        <f>Model!M126</f>
        <v>6.583663090903757</v>
      </c>
      <c r="F126" s="86">
        <f>Model!N126</f>
        <v>6.6797160955865156</v>
      </c>
      <c r="G126" s="86">
        <f>Model!O126</f>
        <v>6.7761756377180919</v>
      </c>
      <c r="H126" s="86">
        <f>Model!P126</f>
        <v>6.8730376847012913</v>
      </c>
      <c r="I126" s="86">
        <f>Model!Q126</f>
        <v>6.9702981384439884</v>
      </c>
      <c r="J126" s="86">
        <f>Model!R126</f>
        <v>7.0679528404169307</v>
      </c>
      <c r="K126" s="86">
        <f>Model!S126</f>
        <v>7.1659975766540622</v>
      </c>
      <c r="L126" s="86">
        <f>Model!T126</f>
        <v>7.2644280826850842</v>
      </c>
      <c r="M126" s="86">
        <f>Model!U126</f>
        <v>7.3632400483916545</v>
      </c>
      <c r="N126" s="86">
        <f>Model!V126</f>
        <v>7.4624291227783548</v>
      </c>
      <c r="O126" s="86">
        <f>Model!W126</f>
        <v>7.5619909186510501</v>
      </c>
      <c r="P126" s="87">
        <f>Model!X126</f>
        <v>7.6619210171952234</v>
      </c>
      <c r="XFD126">
        <v>1</v>
      </c>
    </row>
    <row r="127" spans="2:16 16384:16384" x14ac:dyDescent="0.25">
      <c r="B127" s="83">
        <f>Model!J127</f>
        <v>99.230769230769226</v>
      </c>
      <c r="C127" s="88">
        <f>Model!K127</f>
        <v>2580</v>
      </c>
      <c r="D127" s="85">
        <f>Model!L127</f>
        <v>6.471009137673609</v>
      </c>
      <c r="E127" s="86">
        <f>Model!M127</f>
        <v>6.5659919550339332</v>
      </c>
      <c r="F127" s="86">
        <f>Model!N127</f>
        <v>6.6613814317082509</v>
      </c>
      <c r="G127" s="86">
        <f>Model!O127</f>
        <v>6.7571736417362285</v>
      </c>
      <c r="H127" s="86">
        <f>Model!P127</f>
        <v>6.8533645891115906</v>
      </c>
      <c r="I127" s="86">
        <f>Model!Q127</f>
        <v>6.9499502128463471</v>
      </c>
      <c r="J127" s="86">
        <f>Model!R127</f>
        <v>7.0469263919878005</v>
      </c>
      <c r="K127" s="86">
        <f>Model!S127</f>
        <v>7.144288950578547</v>
      </c>
      <c r="L127" s="86">
        <f>Model!T127</f>
        <v>7.2420336625493071</v>
      </c>
      <c r="M127" s="86">
        <f>Model!U127</f>
        <v>7.3401562565360097</v>
      </c>
      <c r="N127" s="86">
        <f>Model!V127</f>
        <v>7.4386524206123967</v>
      </c>
      <c r="O127" s="86">
        <f>Model!W127</f>
        <v>7.5375178069307296</v>
      </c>
      <c r="P127" s="87">
        <f>Model!X127</f>
        <v>7.6367480362633398</v>
      </c>
      <c r="XFD127">
        <v>0</v>
      </c>
    </row>
    <row r="128" spans="2:16 16384:16384" x14ac:dyDescent="0.25">
      <c r="B128" s="83">
        <f>Model!J128</f>
        <v>100</v>
      </c>
      <c r="C128" s="88">
        <f>Model!K128</f>
        <v>2600</v>
      </c>
      <c r="D128" s="85">
        <f>Model!L128</f>
        <v>6.4542595746619327</v>
      </c>
      <c r="E128" s="86">
        <f>Model!M128</f>
        <v>6.5485929140891148</v>
      </c>
      <c r="F128" s="86">
        <f>Model!N128</f>
        <v>6.6433291408488575</v>
      </c>
      <c r="G128" s="86">
        <f>Model!O128</f>
        <v>6.7384643643794657</v>
      </c>
      <c r="H128" s="86">
        <f>Model!P128</f>
        <v>6.8339946246180272</v>
      </c>
      <c r="I128" s="86">
        <f>Model!Q128</f>
        <v>6.9299158970241308</v>
      </c>
      <c r="J128" s="86">
        <f>Model!R128</f>
        <v>7.0262240975567538</v>
      </c>
      <c r="K128" s="86">
        <f>Model!S128</f>
        <v>7.1229150875946345</v>
      </c>
      <c r="L128" s="86">
        <f>Model!T128</f>
        <v>7.219984678790043</v>
      </c>
      <c r="M128" s="86">
        <f>Model!U128</f>
        <v>7.3174286378474296</v>
      </c>
      <c r="N128" s="86">
        <f>Model!V128</f>
        <v>7.4152426912182907</v>
      </c>
      <c r="O128" s="86">
        <f>Model!W128</f>
        <v>7.5134225297048882</v>
      </c>
      <c r="P128" s="87">
        <f>Model!X128</f>
        <v>7.6119638129656195</v>
      </c>
      <c r="XFD128">
        <v>1</v>
      </c>
    </row>
    <row r="129" spans="2:16 16384:16384" x14ac:dyDescent="0.25">
      <c r="B129" s="83">
        <f>Model!J129</f>
        <v>100.76923076923077</v>
      </c>
      <c r="C129" s="88">
        <f>Model!K129</f>
        <v>2620</v>
      </c>
      <c r="D129" s="85">
        <f>Model!L129</f>
        <v>6.4377658953953008</v>
      </c>
      <c r="E129" s="86">
        <f>Model!M129</f>
        <v>6.5314597316352998</v>
      </c>
      <c r="F129" s="86">
        <f>Model!N129</f>
        <v>6.6255527496107014</v>
      </c>
      <c r="G129" s="86">
        <f>Model!O129</f>
        <v>6.7200410935373789</v>
      </c>
      <c r="H129" s="86">
        <f>Model!P129</f>
        <v>6.8149208386652944</v>
      </c>
      <c r="I129" s="86">
        <f>Model!Q129</f>
        <v>6.9101879962623602</v>
      </c>
      <c r="J129" s="86">
        <f>Model!R129</f>
        <v>7.005838518551899</v>
      </c>
      <c r="K129" s="86">
        <f>Model!S129</f>
        <v>7.1018683035940517</v>
      </c>
      <c r="L129" s="86">
        <f>Model!T129</f>
        <v>7.1982732001011476</v>
      </c>
      <c r="M129" s="86">
        <f>Model!U129</f>
        <v>7.2950490121785698</v>
      </c>
      <c r="N129" s="86">
        <f>Model!V129</f>
        <v>7.3921915039824988</v>
      </c>
      <c r="O129" s="86">
        <f>Model!W129</f>
        <v>7.4896964042872831</v>
      </c>
      <c r="P129" s="87">
        <f>Model!X129</f>
        <v>7.587559410955226</v>
      </c>
      <c r="XFD129">
        <v>0</v>
      </c>
    </row>
    <row r="130" spans="2:16 16384:16384" x14ac:dyDescent="0.25">
      <c r="B130" s="83">
        <f>Model!J130</f>
        <v>101.53846153846153</v>
      </c>
      <c r="C130" s="88">
        <f>Model!K130</f>
        <v>2640</v>
      </c>
      <c r="D130" s="85">
        <f>Model!L130</f>
        <v>6.4215222806093761</v>
      </c>
      <c r="E130" s="86">
        <f>Model!M130</f>
        <v>6.5145863603791474</v>
      </c>
      <c r="F130" s="86">
        <f>Model!N130</f>
        <v>6.6080459809651622</v>
      </c>
      <c r="G130" s="86">
        <f>Model!O130</f>
        <v>6.7018973207559931</v>
      </c>
      <c r="H130" s="86">
        <f>Model!P130</f>
        <v>6.7961364897004302</v>
      </c>
      <c r="I130" s="86">
        <f>Model!Q130</f>
        <v>6.8907595342521564</v>
      </c>
      <c r="J130" s="86">
        <f>Model!R130</f>
        <v>6.9857624422684585</v>
      </c>
      <c r="K130" s="86">
        <f>Model!S130</f>
        <v>7.0811411478532857</v>
      </c>
      <c r="L130" s="86">
        <f>Model!T130</f>
        <v>7.1768915361348817</v>
      </c>
      <c r="M130" s="86">
        <f>Model!U130</f>
        <v>7.2730094479694891</v>
      </c>
      <c r="N130" s="86">
        <f>Model!V130</f>
        <v>7.369490684562594</v>
      </c>
      <c r="O130" s="86">
        <f>Model!W130</f>
        <v>7.4663310120005484</v>
      </c>
      <c r="P130" s="87">
        <f>Model!X130</f>
        <v>7.5635261656853618</v>
      </c>
      <c r="XFD130">
        <v>1</v>
      </c>
    </row>
    <row r="131" spans="2:16 16384:16384" x14ac:dyDescent="0.25">
      <c r="B131" s="83">
        <f>Model!J131</f>
        <v>102.30769230769231</v>
      </c>
      <c r="C131" s="88">
        <f>Model!K131</f>
        <v>2660</v>
      </c>
      <c r="D131" s="85">
        <f>Model!L131</f>
        <v>6.4055230861664096</v>
      </c>
      <c r="E131" s="86">
        <f>Model!M131</f>
        <v>6.4979669350515472</v>
      </c>
      <c r="F131" s="86">
        <f>Model!N131</f>
        <v>6.5908027468626891</v>
      </c>
      <c r="G131" s="86">
        <f>Model!O131</f>
        <v>6.6840267335718568</v>
      </c>
      <c r="H131" s="86">
        <f>Model!P131</f>
        <v>6.7776350392285103</v>
      </c>
      <c r="I131" s="86">
        <f>Model!Q131</f>
        <v>6.8716237448656869</v>
      </c>
      <c r="J131" s="86">
        <f>Model!R131</f>
        <v>6.9659888733605744</v>
      </c>
      <c r="K131" s="86">
        <f>Model!S131</f>
        <v>7.0607263942399054</v>
      </c>
      <c r="L131" s="86">
        <f>Model!T131</f>
        <v>7.1558322284204383</v>
      </c>
      <c r="M131" s="86">
        <f>Model!U131</f>
        <v>7.2513022528761066</v>
      </c>
      <c r="N131" s="86">
        <f>Model!V131</f>
        <v>7.3471323052233961</v>
      </c>
      <c r="O131" s="86">
        <f>Model!W131</f>
        <v>7.4433181882177806</v>
      </c>
      <c r="P131" s="87">
        <f>Model!X131</f>
        <v>7.5398556741541061</v>
      </c>
      <c r="XFD131">
        <v>0</v>
      </c>
    </row>
    <row r="132" spans="2:16 16384:16384" x14ac:dyDescent="0.25">
      <c r="B132" s="83">
        <f>Model!J132</f>
        <v>103.07692307692308</v>
      </c>
      <c r="C132" s="88">
        <f>Model!K132</f>
        <v>2680</v>
      </c>
      <c r="D132" s="85">
        <f>Model!L132</f>
        <v>6.3897628365165335</v>
      </c>
      <c r="E132" s="86">
        <f>Model!M132</f>
        <v>6.4815957656101002</v>
      </c>
      <c r="F132" s="86">
        <f>Model!N132</f>
        <v>6.5738171411740911</v>
      </c>
      <c r="G132" s="86">
        <f>Model!O132</f>
        <v>6.6664232081898316</v>
      </c>
      <c r="H132" s="86">
        <f>Model!P132</f>
        <v>6.7594101442246188</v>
      </c>
      <c r="I132" s="86">
        <f>Model!Q132</f>
        <v>6.8527740643000099</v>
      </c>
      <c r="J132" s="86">
        <f>Model!R132</f>
        <v>6.9465110257148224</v>
      </c>
      <c r="K132" s="86">
        <f>Model!S132</f>
        <v>7.0406170328135218</v>
      </c>
      <c r="L132" s="86">
        <f>Model!T132</f>
        <v>7.1350880416901337</v>
      </c>
      <c r="M132" s="86">
        <f>Model!U132</f>
        <v>7.2299199648194579</v>
      </c>
      <c r="N132" s="86">
        <f>Model!V132</f>
        <v>7.3251086756071366</v>
      </c>
      <c r="O132" s="86">
        <f>Model!W132</f>
        <v>7.4206500128514961</v>
      </c>
      <c r="P132" s="87">
        <f>Model!X132</f>
        <v>7.5165397851100799</v>
      </c>
      <c r="XFD132">
        <v>1</v>
      </c>
    </row>
    <row r="133" spans="2:16 16384:16384" x14ac:dyDescent="0.25">
      <c r="B133" s="83">
        <f>Model!J133</f>
        <v>103.84615384615384</v>
      </c>
      <c r="C133" s="88">
        <f>Model!K133</f>
        <v>2700</v>
      </c>
      <c r="D133" s="85">
        <f>Model!L133</f>
        <v>6.374236218449866</v>
      </c>
      <c r="E133" s="86">
        <f>Model!M133</f>
        <v>6.4654673307439445</v>
      </c>
      <c r="F133" s="86">
        <f>Model!N133</f>
        <v>6.5570834329458538</v>
      </c>
      <c r="G133" s="86">
        <f>Model!O133</f>
        <v>6.6490808024866626</v>
      </c>
      <c r="H133" s="86">
        <f>Model!P133</f>
        <v>6.7414556498835285</v>
      </c>
      <c r="I133" s="86">
        <f>Model!Q133</f>
        <v>6.8342041235706912</v>
      </c>
      <c r="J133" s="86">
        <f>Model!R133</f>
        <v>6.927322314685604</v>
      </c>
      <c r="K133" s="86">
        <f>Model!S133</f>
        <v>7.020806261800832</v>
      </c>
      <c r="L133" s="86">
        <f>Model!T133</f>
        <v>7.1146519555920369</v>
      </c>
      <c r="M133" s="86">
        <f>Model!U133</f>
        <v>7.2088553434338181</v>
      </c>
      <c r="N133" s="86">
        <f>Model!V133</f>
        <v>7.3034123339150483</v>
      </c>
      <c r="O133" s="86">
        <f>Model!W133</f>
        <v>7.3983188012666767</v>
      </c>
      <c r="P133" s="87">
        <f>Model!X133</f>
        <v>7.493570589694948</v>
      </c>
      <c r="XFD133">
        <v>0</v>
      </c>
    </row>
    <row r="134" spans="2:16 16384:16384" x14ac:dyDescent="0.25">
      <c r="B134" s="83">
        <f>Model!J134</f>
        <v>104.61538461538461</v>
      </c>
      <c r="C134" s="88">
        <f>Model!K134</f>
        <v>2720</v>
      </c>
      <c r="D134" s="85">
        <f>Model!L134</f>
        <v>6.3589380751244491</v>
      </c>
      <c r="E134" s="86">
        <f>Model!M134</f>
        <v>6.4495762716653573</v>
      </c>
      <c r="F134" s="86">
        <f>Model!N134</f>
        <v>6.5405960599533257</v>
      </c>
      <c r="G134" s="86">
        <f>Model!O134</f>
        <v>6.6319937493236747</v>
      </c>
      <c r="H134" s="86">
        <f>Model!P134</f>
        <v>6.7237655826897349</v>
      </c>
      <c r="I134" s="86">
        <f>Model!Q134</f>
        <v>6.8159077413371696</v>
      </c>
      <c r="J134" s="86">
        <f>Model!R134</f>
        <v>6.9084163496737743</v>
      </c>
      <c r="K134" s="86">
        <f>Model!S134</f>
        <v>7.0012874799255087</v>
      </c>
      <c r="L134" s="86">
        <f>Model!T134</f>
        <v>7.0945171567691165</v>
      </c>
      <c r="M134" s="86">
        <f>Model!U134</f>
        <v>7.1881013618931613</v>
      </c>
      <c r="N134" s="86">
        <f>Model!V134</f>
        <v>7.2820360384791885</v>
      </c>
      <c r="O134" s="86">
        <f>Model!W134</f>
        <v>7.3763170955960149</v>
      </c>
      <c r="P134" s="87">
        <f>Model!X134</f>
        <v>7.4709404125002052</v>
      </c>
      <c r="XFD134">
        <v>1</v>
      </c>
    </row>
    <row r="135" spans="2:16 16384:16384" x14ac:dyDescent="0.25">
      <c r="B135" s="83">
        <f>Model!J135</f>
        <v>105.38461538461539</v>
      </c>
      <c r="C135" s="88">
        <f>Model!K135</f>
        <v>2740</v>
      </c>
      <c r="D135" s="85">
        <f>Model!L135</f>
        <v>6.3438634003558381</v>
      </c>
      <c r="E135" s="86">
        <f>Model!M135</f>
        <v>6.4339173861735235</v>
      </c>
      <c r="F135" s="86">
        <f>Model!N135</f>
        <v>6.5243496225365369</v>
      </c>
      <c r="G135" s="86">
        <f>Model!O135</f>
        <v>6.615156450152611</v>
      </c>
      <c r="H135" s="86">
        <f>Model!P135</f>
        <v>6.706334143791425</v>
      </c>
      <c r="I135" s="86">
        <f>Model!Q135</f>
        <v>6.7978789170428264</v>
      </c>
      <c r="J135" s="86">
        <f>Model!R135</f>
        <v>6.889786927030908</v>
      </c>
      <c r="K135" s="86">
        <f>Model!S135</f>
        <v>6.9820542790747364</v>
      </c>
      <c r="L135" s="86">
        <f>Model!T135</f>
        <v>7.0746770312861447</v>
      </c>
      <c r="M135" s="86">
        <f>Model!U135</f>
        <v>7.1676511990965412</v>
      </c>
      <c r="N135" s="86">
        <f>Model!V135</f>
        <v>7.2609727597044307</v>
      </c>
      <c r="O135" s="86">
        <f>Model!W135</f>
        <v>7.3546376564367328</v>
      </c>
      <c r="P135" s="87">
        <f>Model!X135</f>
        <v>7.4486418030170061</v>
      </c>
      <c r="XFD135">
        <v>0</v>
      </c>
    </row>
    <row r="136" spans="2:16 16384:16384" x14ac:dyDescent="0.25">
      <c r="B136" s="83">
        <f>Model!J136</f>
        <v>106.15384615384616</v>
      </c>
      <c r="C136" s="88">
        <f>Model!K136</f>
        <v>2760</v>
      </c>
      <c r="D136" s="85">
        <f>Model!L136</f>
        <v>6.3290073331552108</v>
      </c>
      <c r="E136" s="86">
        <f>Model!M136</f>
        <v>6.4184856229765339</v>
      </c>
      <c r="F136" s="86">
        <f>Model!N136</f>
        <v>6.5083388777042703</v>
      </c>
      <c r="G136" s="86">
        <f>Model!O136</f>
        <v>6.5985634688998793</v>
      </c>
      <c r="H136" s="86">
        <f>Model!P136</f>
        <v>6.6891557026629389</v>
      </c>
      <c r="I136" s="86">
        <f>Model!Q136</f>
        <v>6.7801118243538392</v>
      </c>
      <c r="J136" s="86">
        <f>Model!R136</f>
        <v>6.8714280232726823</v>
      </c>
      <c r="K136" s="86">
        <f>Model!S136</f>
        <v>6.9631004372852718</v>
      </c>
      <c r="L136" s="86">
        <f>Model!T136</f>
        <v>7.0551251573866409</v>
      </c>
      <c r="M136" s="86">
        <f>Model!U136</f>
        <v>7.1474982321941516</v>
      </c>
      <c r="N136" s="86">
        <f>Model!V136</f>
        <v>7.2402156723618969</v>
      </c>
      <c r="O136" s="86">
        <f>Model!W136</f>
        <v>7.3332734549095875</v>
      </c>
      <c r="P136" s="87">
        <f>Model!X136</f>
        <v>7.4266675274590241</v>
      </c>
      <c r="XFD136">
        <v>1</v>
      </c>
    </row>
    <row r="137" spans="2:16 16384:16384" x14ac:dyDescent="0.25">
      <c r="B137" s="83">
        <f>Model!J137</f>
        <v>106.92307692307692</v>
      </c>
      <c r="C137" s="88">
        <f>Model!K137</f>
        <v>2780</v>
      </c>
      <c r="D137" s="85">
        <f>Model!L137</f>
        <v>6.314365152503294</v>
      </c>
      <c r="E137" s="86">
        <f>Model!M137</f>
        <v>6.4032760762587317</v>
      </c>
      <c r="F137" s="86">
        <f>Model!N137</f>
        <v>6.4925587334929062</v>
      </c>
      <c r="G137" s="86">
        <f>Model!O137</f>
        <v>6.5822095261150722</v>
      </c>
      <c r="H137" s="86">
        <f>Model!P137</f>
        <v>6.6722247910412005</v>
      </c>
      <c r="I137" s="86">
        <f>Model!Q137</f>
        <v>6.7626008048817052</v>
      </c>
      <c r="J137" s="86">
        <f>Model!R137</f>
        <v>6.8533337885857382</v>
      </c>
      <c r="K137" s="86">
        <f>Model!S137</f>
        <v>6.9444199120329326</v>
      </c>
      <c r="L137" s="86">
        <f>Model!T137</f>
        <v>7.0358552985632477</v>
      </c>
      <c r="M137" s="86">
        <f>Model!U137</f>
        <v>7.1276360294368519</v>
      </c>
      <c r="N137" s="86">
        <f>Model!V137</f>
        <v>7.2197581482159485</v>
      </c>
      <c r="O137" s="86">
        <f>Model!W137</f>
        <v>7.3122176650617146</v>
      </c>
      <c r="P137" s="87">
        <f>Model!X137</f>
        <v>7.4050105609395098</v>
      </c>
      <c r="XFD137">
        <v>0</v>
      </c>
    </row>
    <row r="138" spans="2:16 16384:16384" x14ac:dyDescent="0.25">
      <c r="B138" s="83">
        <f>Model!J138</f>
        <v>107.69230769230769</v>
      </c>
      <c r="C138" s="88">
        <f>Model!K138</f>
        <v>2800</v>
      </c>
      <c r="D138" s="85">
        <f>Model!L138</f>
        <v>6.2999322723484541</v>
      </c>
      <c r="E138" s="86">
        <f>Model!M138</f>
        <v>6.3882839804810398</v>
      </c>
      <c r="F138" s="86">
        <f>Model!N138</f>
        <v>6.4770042435672703</v>
      </c>
      <c r="G138" s="86">
        <f>Model!O138</f>
        <v>6.5660894933705851</v>
      </c>
      <c r="H138" s="86">
        <f>Model!P138</f>
        <v>6.6555360971223774</v>
      </c>
      <c r="I138" s="86">
        <f>Model!Q138</f>
        <v>6.7453403621752788</v>
      </c>
      <c r="J138" s="86">
        <f>Model!R138</f>
        <v>6.8354985406133713</v>
      </c>
      <c r="K138" s="86">
        <f>Model!S138</f>
        <v>6.9260068338102769</v>
      </c>
      <c r="L138" s="86">
        <f>Model!T138</f>
        <v>7.0168613969257656</v>
      </c>
      <c r="M138" s="86">
        <f>Model!U138</f>
        <v>7.1080583433329698</v>
      </c>
      <c r="N138" s="86">
        <f>Model!V138</f>
        <v>7.1995937489681436</v>
      </c>
      <c r="O138" s="86">
        <f>Model!W138</f>
        <v>7.2914636565961146</v>
      </c>
      <c r="P138" s="87">
        <f>Model!X138</f>
        <v>7.3836640799847562</v>
      </c>
      <c r="XFD138">
        <v>1</v>
      </c>
    </row>
    <row r="139" spans="2:16 16384:16384" x14ac:dyDescent="0.25">
      <c r="B139" s="83">
        <f>Model!J139</f>
        <v>108.46153846153847</v>
      </c>
      <c r="C139" s="88">
        <f>Model!K139</f>
        <v>2820</v>
      </c>
      <c r="D139" s="85">
        <f>Model!L139</f>
        <v>6.2857042368177449</v>
      </c>
      <c r="E139" s="86">
        <f>Model!M139</f>
        <v>6.3735047054027332</v>
      </c>
      <c r="F139" s="86">
        <f>Model!N139</f>
        <v>6.4616706020514378</v>
      </c>
      <c r="G139" s="86">
        <f>Model!O139</f>
        <v>6.5501983878998224</v>
      </c>
      <c r="H139" s="86">
        <f>Model!P139</f>
        <v>6.6390844600058383</v>
      </c>
      <c r="I139" s="86">
        <f>Model!Q139</f>
        <v>6.72832515596882</v>
      </c>
      <c r="J139" s="86">
        <f>Model!R139</f>
        <v>6.8179167585061524</v>
      </c>
      <c r="K139" s="86">
        <f>Model!S139</f>
        <v>6.9078554999781669</v>
      </c>
      <c r="L139" s="86">
        <f>Model!T139</f>
        <v>6.9981375668520869</v>
      </c>
      <c r="M139" s="86">
        <f>Model!U139</f>
        <v>7.0887591040970515</v>
      </c>
      <c r="N139" s="86">
        <f>Model!V139</f>
        <v>7.1797162195022635</v>
      </c>
      <c r="O139" s="86">
        <f>Model!W139</f>
        <v>7.2710049879114926</v>
      </c>
      <c r="P139" s="87">
        <f>Model!X139</f>
        <v>7.3626214553672202</v>
      </c>
      <c r="XFD139">
        <v>0</v>
      </c>
    </row>
    <row r="140" spans="2:16 16384:16384" x14ac:dyDescent="0.25">
      <c r="B140" s="83">
        <f>Model!J140</f>
        <v>109.23076923076923</v>
      </c>
      <c r="C140" s="88">
        <f>Model!K140</f>
        <v>2840</v>
      </c>
      <c r="D140" s="85">
        <f>Model!L140</f>
        <v>6.2716767156304467</v>
      </c>
      <c r="E140" s="86">
        <f>Model!M140</f>
        <v>6.3589337513137023</v>
      </c>
      <c r="F140" s="86">
        <f>Model!N140</f>
        <v>6.4465531385781825</v>
      </c>
      <c r="G140" s="86">
        <f>Model!O140</f>
        <v>6.5345313674622219</v>
      </c>
      <c r="H140" s="86">
        <f>Model!P140</f>
        <v>6.6228648643732004</v>
      </c>
      <c r="I140" s="86">
        <f>Model!Q140</f>
        <v>6.7115499966735603</v>
      </c>
      <c r="J140" s="86">
        <f>Model!R140</f>
        <v>6.8005830772243767</v>
      </c>
      <c r="K140" s="86">
        <f>Model!S140</f>
        <v>6.8899603688776612</v>
      </c>
      <c r="L140" s="86">
        <f>Model!T140</f>
        <v>6.9796780889080434</v>
      </c>
      <c r="M140" s="86">
        <f>Model!U140</f>
        <v>7.0697324133761548</v>
      </c>
      <c r="N140" s="86">
        <f>Model!V140</f>
        <v>7.1601194814156264</v>
      </c>
      <c r="O140" s="86">
        <f>Model!W140</f>
        <v>7.2508353994370935</v>
      </c>
      <c r="P140" s="87">
        <f>Model!X140</f>
        <v>7.3418762452425099</v>
      </c>
      <c r="XFD140">
        <v>1</v>
      </c>
    </row>
    <row r="141" spans="2:16 16384:16384" x14ac:dyDescent="0.25">
      <c r="B141" s="83">
        <f>Model!J141</f>
        <v>110</v>
      </c>
      <c r="C141" s="88">
        <f>Model!K141</f>
        <v>2860</v>
      </c>
      <c r="D141" s="85">
        <f>Model!L141</f>
        <v>6.2578454997041</v>
      </c>
      <c r="E141" s="86">
        <f>Model!M141</f>
        <v>6.3445667444669587</v>
      </c>
      <c r="F141" s="86">
        <f>Model!N141</f>
        <v>6.4316473135463292</v>
      </c>
      <c r="G141" s="86">
        <f>Model!O141</f>
        <v>6.5190837254239824</v>
      </c>
      <c r="H141" s="86">
        <f>Model!P141</f>
        <v>6.6068724353909527</v>
      </c>
      <c r="I141" s="86">
        <f>Model!Q141</f>
        <v>6.6950098401006803</v>
      </c>
      <c r="J141" s="86">
        <f>Model!R141</f>
        <v>6.7834922820800498</v>
      </c>
      <c r="K141" s="86">
        <f>Model!S141</f>
        <v>6.872316054189481</v>
      </c>
      <c r="L141" s="86">
        <f>Model!T141</f>
        <v>6.9614774040229364</v>
      </c>
      <c r="M141" s="86">
        <f>Model!U141</f>
        <v>7.0509725382400568</v>
      </c>
      <c r="N141" s="86">
        <f>Model!V141</f>
        <v>7.1407976268225379</v>
      </c>
      <c r="O141" s="86">
        <f>Model!W141</f>
        <v>7.2309488072480779</v>
      </c>
      <c r="P141" s="87">
        <f>Model!X141</f>
        <v>7.3214221885752746</v>
      </c>
      <c r="XFD141">
        <v>0</v>
      </c>
    </row>
    <row r="142" spans="2:16 16384:16384" x14ac:dyDescent="0.25">
      <c r="B142" s="83">
        <f>Model!J142</f>
        <v>110.76923076923077</v>
      </c>
      <c r="C142" s="88">
        <f>Model!K142</f>
        <v>2880</v>
      </c>
      <c r="D142" s="85">
        <f>Model!L142</f>
        <v>6.2442064969438036</v>
      </c>
      <c r="E142" s="86">
        <f>Model!M142</f>
        <v>6.330399432701558</v>
      </c>
      <c r="F142" s="86">
        <f>Model!N142</f>
        <v>6.4169487135759296</v>
      </c>
      <c r="G142" s="86">
        <f>Model!O142</f>
        <v>6.5038508860440123</v>
      </c>
      <c r="H142" s="86">
        <f>Model!P142</f>
        <v>6.5911024338257356</v>
      </c>
      <c r="I142" s="86">
        <f>Model!Q142</f>
        <v>6.6786997824046033</v>
      </c>
      <c r="J142" s="86">
        <f>Model!R142</f>
        <v>6.7666393035066843</v>
      </c>
      <c r="K142" s="86">
        <f>Model!S142</f>
        <v>6.8549173195290063</v>
      </c>
      <c r="L142" s="86">
        <f>Model!T142</f>
        <v>6.9435301079083214</v>
      </c>
      <c r="M142" s="86">
        <f>Model!U142</f>
        <v>7.0324739054225054</v>
      </c>
      <c r="N142" s="86">
        <f>Model!V142</f>
        <v>7.1217449124167107</v>
      </c>
      <c r="O142" s="86">
        <f>Model!W142</f>
        <v>7.2113392969477346</v>
      </c>
      <c r="P142" s="87">
        <f>Model!X142</f>
        <v>7.3012531988399605</v>
      </c>
      <c r="XFD142">
        <v>1</v>
      </c>
    </row>
    <row r="143" spans="2:16 16384:16384" x14ac:dyDescent="0.25">
      <c r="B143" s="83">
        <f>Model!J143</f>
        <v>111.53846153846153</v>
      </c>
      <c r="C143" s="88">
        <f>Model!K143</f>
        <v>2900</v>
      </c>
      <c r="D143" s="85">
        <f>Model!L143</f>
        <v>6.2307557282058044</v>
      </c>
      <c r="E143" s="86">
        <f>Model!M143</f>
        <v>6.3164276812467737</v>
      </c>
      <c r="F143" s="86">
        <f>Model!N143</f>
        <v>6.4024530471516314</v>
      </c>
      <c r="G143" s="86">
        <f>Model!O143</f>
        <v>6.488828399955163</v>
      </c>
      <c r="H143" s="86">
        <f>Model!P143</f>
        <v>6.5755502513620634</v>
      </c>
      <c r="I143" s="86">
        <f>Model!Q143</f>
        <v>6.6626150552357828</v>
      </c>
      <c r="J143" s="86">
        <f>Model!R143</f>
        <v>6.7500192120459106</v>
      </c>
      <c r="K143" s="86">
        <f>Model!S143</f>
        <v>6.8377590732653477</v>
      </c>
      <c r="L143" s="86">
        <f>Model!T143</f>
        <v>6.9258309457083058</v>
      </c>
      <c r="M143" s="86">
        <f>Model!U143</f>
        <v>7.014231095801386</v>
      </c>
      <c r="N143" s="86">
        <f>Model!V143</f>
        <v>7.1029557537800159</v>
      </c>
      <c r="O143" s="86">
        <f>Model!W143</f>
        <v>7.1920011178036205</v>
      </c>
      <c r="P143" s="87">
        <f>Model!X143</f>
        <v>7.2813633579830466</v>
      </c>
      <c r="XFD143">
        <v>0</v>
      </c>
    </row>
    <row r="144" spans="2:16 16384:16384" x14ac:dyDescent="0.25">
      <c r="B144" s="83">
        <f>Model!J144</f>
        <v>112.30769230769231</v>
      </c>
      <c r="C144" s="88">
        <f>Model!K144</f>
        <v>2920</v>
      </c>
      <c r="D144" s="85">
        <f>Model!L144</f>
        <v>6.2174893234270483</v>
      </c>
      <c r="E144" s="86">
        <f>Model!M144</f>
        <v>6.3026474686988951</v>
      </c>
      <c r="F144" s="86">
        <f>Model!N144</f>
        <v>6.3881561404453233</v>
      </c>
      <c r="G144" s="86">
        <f>Model!O144</f>
        <v>6.4740119398313674</v>
      </c>
      <c r="H144" s="86">
        <f>Model!P144</f>
        <v>6.5602114061127033</v>
      </c>
      <c r="I144" s="86">
        <f>Model!Q144</f>
        <v>6.6467510210930723</v>
      </c>
      <c r="J144" s="86">
        <f>Model!R144</f>
        <v>6.7336272135405135</v>
      </c>
      <c r="K144" s="86">
        <f>Model!S144</f>
        <v>6.8208363635538181</v>
      </c>
      <c r="L144" s="86">
        <f>Model!T144</f>
        <v>6.9083748068701496</v>
      </c>
      <c r="M144" s="86">
        <f>Model!U144</f>
        <v>6.9962388391063062</v>
      </c>
      <c r="N144" s="86">
        <f>Model!V144</f>
        <v>7.0844247199258223</v>
      </c>
      <c r="O144" s="86">
        <f>Model!W144</f>
        <v>7.1729286771254115</v>
      </c>
      <c r="P144" s="87">
        <f>Model!X144</f>
        <v>7.2617469106342707</v>
      </c>
      <c r="XFD144">
        <v>1</v>
      </c>
    </row>
    <row r="145" spans="2:16 16384:16384" x14ac:dyDescent="0.25">
      <c r="B145" s="83">
        <f>Model!J145</f>
        <v>113.07692307692308</v>
      </c>
      <c r="C145" s="88">
        <f>Model!K145</f>
        <v>2940</v>
      </c>
      <c r="D145" s="85">
        <f>Model!L145</f>
        <v>6.2044035179128656</v>
      </c>
      <c r="E145" s="86">
        <f>Model!M145</f>
        <v>6.2890548831622697</v>
      </c>
      <c r="F145" s="86">
        <f>Model!N145</f>
        <v>6.3740539333093755</v>
      </c>
      <c r="G145" s="86">
        <f>Model!O145</f>
        <v>6.4593972962318453</v>
      </c>
      <c r="H145" s="86">
        <f>Model!P145</f>
        <v>6.5450815383125587</v>
      </c>
      <c r="I145" s="86">
        <f>Model!Q145</f>
        <v>6.6311031688660353</v>
      </c>
      <c r="J145" s="86">
        <f>Model!R145</f>
        <v>6.7174586445240063</v>
      </c>
      <c r="K145" s="86">
        <f>Model!S145</f>
        <v>6.8041443735715283</v>
      </c>
      <c r="L145" s="86">
        <f>Model!T145</f>
        <v>6.8911567202247461</v>
      </c>
      <c r="M145" s="86">
        <f>Model!U145</f>
        <v>6.9784920088427222</v>
      </c>
      <c r="N145" s="86">
        <f>Model!V145</f>
        <v>7.0661465280656328</v>
      </c>
      <c r="O145" s="86">
        <f>Model!W145</f>
        <v>7.1541165348729212</v>
      </c>
      <c r="P145" s="87">
        <f>Model!X145</f>
        <v>7.2423982585548661</v>
      </c>
      <c r="XFD145">
        <v>0</v>
      </c>
    </row>
    <row r="146" spans="2:16 16384:16384" x14ac:dyDescent="0.25">
      <c r="B146" s="83">
        <f>Model!J146</f>
        <v>113.84615384615384</v>
      </c>
      <c r="C146" s="88">
        <f>Model!K146</f>
        <v>2960</v>
      </c>
      <c r="D146" s="85">
        <f>Model!L146</f>
        <v>6.1914946487751612</v>
      </c>
      <c r="E146" s="86">
        <f>Model!M146</f>
        <v>6.2756461185469945</v>
      </c>
      <c r="F146" s="86">
        <f>Model!N146</f>
        <v>6.3601424754325091</v>
      </c>
      <c r="G146" s="86">
        <f>Model!O146</f>
        <v>6.4449803736139666</v>
      </c>
      <c r="H146" s="86">
        <f>Model!P146</f>
        <v>6.5301564061873627</v>
      </c>
      <c r="I146" s="86">
        <f>Model!Q146</f>
        <v>6.6156671095583306</v>
      </c>
      <c r="J146" s="86">
        <f>Model!R146</f>
        <v>6.7015089677974577</v>
      </c>
      <c r="K146" s="86">
        <f>Model!S146</f>
        <v>6.7876784169465729</v>
      </c>
      <c r="L146" s="86">
        <f>Model!T146</f>
        <v>6.8741718492669932</v>
      </c>
      <c r="M146" s="86">
        <f>Model!U146</f>
        <v>6.9609856174223861</v>
      </c>
      <c r="N146" s="86">
        <f>Model!V146</f>
        <v>7.0481160385885033</v>
      </c>
      <c r="O146" s="86">
        <f>Model!W146</f>
        <v>7.1355593984833803</v>
      </c>
      <c r="P146" s="87">
        <f>Model!X146</f>
        <v>7.2233119553116367</v>
      </c>
      <c r="XFD146">
        <v>1</v>
      </c>
    </row>
    <row r="147" spans="2:16 16384:16384" x14ac:dyDescent="0.25">
      <c r="B147" s="83">
        <f>Model!J147</f>
        <v>114.61538461538461</v>
      </c>
      <c r="C147" s="88">
        <f>Model!K147</f>
        <v>2980</v>
      </c>
      <c r="D147" s="85">
        <f>Model!L147</f>
        <v>6.1787591515141687</v>
      </c>
      <c r="E147" s="86">
        <f>Model!M147</f>
        <v>6.262417471015719</v>
      </c>
      <c r="F147" s="86">
        <f>Model!N147</f>
        <v>6.3464179226505983</v>
      </c>
      <c r="G147" s="86">
        <f>Model!O147</f>
        <v>6.4307571865068658</v>
      </c>
      <c r="H147" s="86">
        <f>Model!P147</f>
        <v>6.515431881988949</v>
      </c>
      <c r="I147" s="86">
        <f>Model!Q147</f>
        <v>6.6004385721834744</v>
      </c>
      <c r="J147" s="86">
        <f>Model!R147</f>
        <v>6.6857737681847471</v>
      </c>
      <c r="K147" s="86">
        <f>Model!S147</f>
        <v>6.7714339333715969</v>
      </c>
      <c r="L147" s="86">
        <f>Model!T147</f>
        <v>6.8574154876266018</v>
      </c>
      <c r="M147" s="86">
        <f>Model!U147</f>
        <v>6.943714811490362</v>
      </c>
      <c r="N147" s="86">
        <f>Model!V147</f>
        <v>7.0303282502431497</v>
      </c>
      <c r="O147" s="86">
        <f>Model!W147</f>
        <v>7.1172521179076185</v>
      </c>
      <c r="P147" s="87">
        <f>Model!X147</f>
        <v>7.2044827011661603</v>
      </c>
      <c r="XFD147">
        <v>0</v>
      </c>
    </row>
    <row r="148" spans="2:16 16384:16384" ht="15.75" thickBot="1" x14ac:dyDescent="0.3">
      <c r="B148" s="89">
        <f>Model!J148</f>
        <v>115.38461538461539</v>
      </c>
      <c r="C148" s="90">
        <f>Model!K148</f>
        <v>3000</v>
      </c>
      <c r="D148" s="91">
        <f>Model!L148</f>
        <v>6.1661935567369843</v>
      </c>
      <c r="E148" s="92">
        <f>Model!M148</f>
        <v>6.249365335572783</v>
      </c>
      <c r="F148" s="92">
        <f>Model!N148</f>
        <v>6.3328765334051775</v>
      </c>
      <c r="G148" s="92">
        <f>Model!O148</f>
        <v>6.4167238558382538</v>
      </c>
      <c r="H148" s="92">
        <f>Model!P148</f>
        <v>6.5009039481893351</v>
      </c>
      <c r="I148" s="92">
        <f>Model!Q148</f>
        <v>6.5854133998251339</v>
      </c>
      <c r="J148" s="92">
        <f>Model!R148</f>
        <v>6.6702487484579045</v>
      </c>
      <c r="K148" s="92">
        <f>Model!S148</f>
        <v>6.7554064843932116</v>
      </c>
      <c r="L148" s="92">
        <f>Model!T148</f>
        <v>6.8408830547205426</v>
      </c>
      <c r="M148" s="92">
        <f>Model!U148</f>
        <v>6.926674867439413</v>
      </c>
      <c r="N148" s="92">
        <f>Model!V148</f>
        <v>7.0127782955133355</v>
      </c>
      <c r="O148" s="92">
        <f>Model!W148</f>
        <v>7.0991896808454031</v>
      </c>
      <c r="P148" s="93">
        <f>Model!X148</f>
        <v>7.185905338169106</v>
      </c>
      <c r="XFD148">
        <v>1</v>
      </c>
    </row>
  </sheetData>
  <sheetProtection sheet="1"/>
  <mergeCells count="3">
    <mergeCell ref="D1:P1"/>
    <mergeCell ref="C1:C2"/>
    <mergeCell ref="B1:B2"/>
  </mergeCells>
  <conditionalFormatting sqref="B3:P148">
    <cfRule type="expression" dxfId="0" priority="1">
      <formula>ISODD(ROW(A3))</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EFA28-B156-4467-8B19-93C5D4CF0F4F}">
  <dimension ref="A1:Z149"/>
  <sheetViews>
    <sheetView topLeftCell="A30" zoomScale="85" zoomScaleNormal="85" workbookViewId="0">
      <selection activeCell="E41" sqref="E41"/>
    </sheetView>
  </sheetViews>
  <sheetFormatPr defaultColWidth="0" defaultRowHeight="15" zeroHeight="1" x14ac:dyDescent="0.25"/>
  <cols>
    <col min="1" max="1" width="53.7109375" style="25" bestFit="1" customWidth="1"/>
    <col min="2" max="2" width="27.7109375" style="25" bestFit="1" customWidth="1"/>
    <col min="3" max="3" width="39.28515625" style="25" customWidth="1"/>
    <col min="4" max="4" width="15.7109375" style="25" bestFit="1" customWidth="1"/>
    <col min="5" max="5" width="18" style="25" customWidth="1"/>
    <col min="6" max="6" width="19.140625" style="25" customWidth="1"/>
    <col min="7" max="7" width="22.140625" style="25" customWidth="1"/>
    <col min="8" max="8" width="15.28515625" style="25" bestFit="1" customWidth="1"/>
    <col min="9" max="9" width="17.140625" style="25" customWidth="1"/>
    <col min="10" max="10" width="25.5703125" style="25" customWidth="1"/>
    <col min="11" max="11" width="25.5703125" style="79" bestFit="1" customWidth="1"/>
    <col min="12" max="12" width="9.28515625" style="25" customWidth="1"/>
    <col min="13" max="24" width="9.140625" style="25" customWidth="1"/>
    <col min="25" max="25" width="14" style="25" hidden="1" customWidth="1"/>
    <col min="26" max="26" width="0" style="29" hidden="1" customWidth="1"/>
    <col min="27" max="16384" width="9.140625" style="25" hidden="1"/>
  </cols>
  <sheetData>
    <row r="1" spans="1:26" x14ac:dyDescent="0.25">
      <c r="A1" s="23" t="s">
        <v>25</v>
      </c>
      <c r="B1" s="24"/>
      <c r="J1" s="139" t="s">
        <v>56</v>
      </c>
      <c r="K1" s="26" t="s">
        <v>55</v>
      </c>
      <c r="L1" s="27"/>
      <c r="M1" s="27"/>
      <c r="N1" s="27"/>
      <c r="O1" s="27"/>
      <c r="P1" s="27"/>
      <c r="Q1" s="27"/>
      <c r="R1" s="27"/>
      <c r="S1" s="27"/>
      <c r="T1" s="27"/>
      <c r="U1" s="27"/>
      <c r="V1" s="27"/>
      <c r="W1" s="27"/>
      <c r="X1" s="28"/>
    </row>
    <row r="2" spans="1:26" x14ac:dyDescent="0.25">
      <c r="A2" s="30" t="s">
        <v>26</v>
      </c>
      <c r="B2" s="31"/>
      <c r="J2" s="140"/>
      <c r="K2" s="32">
        <f>B26</f>
        <v>12.271569821856968</v>
      </c>
      <c r="L2" s="33">
        <v>0.03</v>
      </c>
      <c r="M2" s="33">
        <v>3.5000000000000003E-2</v>
      </c>
      <c r="N2" s="33">
        <v>0.04</v>
      </c>
      <c r="O2" s="33">
        <v>4.4999999999999998E-2</v>
      </c>
      <c r="P2" s="33">
        <v>0.05</v>
      </c>
      <c r="Q2" s="33">
        <v>5.5E-2</v>
      </c>
      <c r="R2" s="33">
        <v>0.06</v>
      </c>
      <c r="S2" s="33">
        <v>6.5000000000000002E-2</v>
      </c>
      <c r="T2" s="33">
        <v>7.0000000000000007E-2</v>
      </c>
      <c r="U2" s="33">
        <v>7.4999999999999997E-2</v>
      </c>
      <c r="V2" s="33">
        <v>0.08</v>
      </c>
      <c r="W2" s="33">
        <v>8.5000000000000006E-2</v>
      </c>
      <c r="X2" s="34">
        <v>9.0000000000000094E-2</v>
      </c>
      <c r="Y2" s="25" t="s">
        <v>72</v>
      </c>
      <c r="Z2" s="29" t="s">
        <v>75</v>
      </c>
    </row>
    <row r="3" spans="1:26" ht="15.75" thickBot="1" x14ac:dyDescent="0.3">
      <c r="A3" s="30"/>
      <c r="B3" s="31"/>
      <c r="J3" s="35">
        <f>K3/$B$7</f>
        <v>3.8461538461538463</v>
      </c>
      <c r="K3" s="36">
        <v>100</v>
      </c>
      <c r="L3" s="37">
        <f t="dataTable" ref="L3:X148" dt2D="1" dtr="1" r1="B5" r2="B4"/>
        <v>61.272992626319557</v>
      </c>
      <c r="M3" s="37">
        <v>63.716616627927621</v>
      </c>
      <c r="N3" s="37">
        <v>66.194087435910987</v>
      </c>
      <c r="O3" s="37">
        <v>68.700710432081777</v>
      </c>
      <c r="P3" s="37">
        <v>71.232351552755787</v>
      </c>
      <c r="Q3" s="37">
        <v>73.78547683433105</v>
      </c>
      <c r="R3" s="37">
        <v>76.357137593716487</v>
      </c>
      <c r="S3" s="37">
        <v>78.944921112247286</v>
      </c>
      <c r="T3" s="37">
        <v>81.546883395927111</v>
      </c>
      <c r="U3" s="37">
        <v>84.161476210363645</v>
      </c>
      <c r="V3" s="37">
        <v>86.787476375188973</v>
      </c>
      <c r="W3" s="37">
        <v>89.423921861742059</v>
      </c>
      <c r="X3" s="38">
        <v>92.070056737836651</v>
      </c>
      <c r="Y3" s="39">
        <f>'Inputs and summary'!$B$2</f>
        <v>12.5</v>
      </c>
      <c r="Z3" s="40" cm="1">
        <f t="array" ref="Z3">INDEX($L$3:$X$148, ROW()-ROW(L$3)+1, _xlfn.XMATCH('Inputs and summary'!$B$3, Model!L$2:X$2, 0))</f>
        <v>86.787476375188973</v>
      </c>
    </row>
    <row r="4" spans="1:26" x14ac:dyDescent="0.25">
      <c r="A4" s="41" t="s">
        <v>40</v>
      </c>
      <c r="B4" s="42">
        <f>'Inputs and summary'!B7</f>
        <v>1000</v>
      </c>
      <c r="J4" s="35">
        <f t="shared" ref="J4:J67" si="0">K4/$B$7</f>
        <v>4.615384615384615</v>
      </c>
      <c r="K4" s="36">
        <v>120</v>
      </c>
      <c r="L4" s="37">
        <v>51.670576153366142</v>
      </c>
      <c r="M4" s="37">
        <v>53.68072634254105</v>
      </c>
      <c r="N4" s="37">
        <v>55.719581740333894</v>
      </c>
      <c r="O4" s="37">
        <v>57.784107889341627</v>
      </c>
      <c r="P4" s="37">
        <v>59.871462618630531</v>
      </c>
      <c r="Q4" s="37">
        <v>61.979053815938812</v>
      </c>
      <c r="R4" s="37">
        <v>64.104569672490427</v>
      </c>
      <c r="S4" s="37">
        <v>66.245986657817866</v>
      </c>
      <c r="T4" s="37">
        <v>68.401561015446902</v>
      </c>
      <c r="U4" s="37">
        <v>70.569809235249167</v>
      </c>
      <c r="V4" s="37">
        <v>72.749482126724871</v>
      </c>
      <c r="W4" s="37">
        <v>74.939536091726126</v>
      </c>
      <c r="X4" s="38">
        <v>77.139104181847856</v>
      </c>
      <c r="Y4" s="39">
        <f>'Inputs and summary'!$B$2</f>
        <v>12.5</v>
      </c>
      <c r="Z4" s="40" cm="1">
        <f t="array" ref="Z4">INDEX($L$3:$X$148, ROW()-ROW(L$3)+1, _xlfn.XMATCH('Inputs and summary'!$B$3, Model!L$2:X$2, 0))</f>
        <v>72.749482126724871</v>
      </c>
    </row>
    <row r="5" spans="1:26" ht="15.75" thickBot="1" x14ac:dyDescent="0.3">
      <c r="A5" s="43" t="s">
        <v>0</v>
      </c>
      <c r="B5" s="44">
        <f>'Inputs and summary'!B3</f>
        <v>0.08</v>
      </c>
      <c r="J5" s="35">
        <f t="shared" si="0"/>
        <v>5.384615384615385</v>
      </c>
      <c r="K5" s="36">
        <v>140</v>
      </c>
      <c r="L5" s="37">
        <v>44.833649725333281</v>
      </c>
      <c r="M5" s="37">
        <v>46.53837393016471</v>
      </c>
      <c r="N5" s="37">
        <v>48.267231090558603</v>
      </c>
      <c r="O5" s="37">
        <v>50.018230201914385</v>
      </c>
      <c r="P5" s="37">
        <v>51.789431376457713</v>
      </c>
      <c r="Q5" s="37">
        <v>53.578988888551123</v>
      </c>
      <c r="R5" s="37">
        <v>55.385181751545531</v>
      </c>
      <c r="S5" s="37">
        <v>57.206432797448457</v>
      </c>
      <c r="T5" s="37">
        <v>59.041317877352313</v>
      </c>
      <c r="U5" s="37">
        <v>60.888567106573689</v>
      </c>
      <c r="V5" s="37">
        <v>62.747060115878767</v>
      </c>
      <c r="W5" s="37">
        <v>64.61581712262101</v>
      </c>
      <c r="X5" s="38">
        <v>66.493987380867381</v>
      </c>
      <c r="Y5" s="39">
        <f>'Inputs and summary'!$B$2</f>
        <v>12.5</v>
      </c>
      <c r="Z5" s="40" cm="1">
        <f t="array" ref="Z5">INDEX($L$3:$X$148, ROW()-ROW(L$3)+1, _xlfn.XMATCH('Inputs and summary'!$B$3, Model!L$2:X$2, 0))</f>
        <v>62.747060115878767</v>
      </c>
    </row>
    <row r="6" spans="1:26" x14ac:dyDescent="0.25">
      <c r="A6" s="30" t="s">
        <v>28</v>
      </c>
      <c r="B6" s="45">
        <f>Time_recharging_battery__hours+Pumping_in_and_mixing__hours</f>
        <v>0.25</v>
      </c>
      <c r="J6" s="35">
        <f t="shared" si="0"/>
        <v>6.1538461538461542</v>
      </c>
      <c r="K6" s="36">
        <v>160</v>
      </c>
      <c r="L6" s="37">
        <v>39.719258404612113</v>
      </c>
      <c r="M6" s="37">
        <v>41.197994982366772</v>
      </c>
      <c r="N6" s="37">
        <v>42.69710414481284</v>
      </c>
      <c r="O6" s="37">
        <v>44.215240772839849</v>
      </c>
      <c r="P6" s="37">
        <v>45.751059663273033</v>
      </c>
      <c r="Q6" s="37">
        <v>47.303243799751343</v>
      </c>
      <c r="R6" s="37">
        <v>48.870527048704368</v>
      </c>
      <c r="S6" s="37">
        <v>50.451711228637599</v>
      </c>
      <c r="T6" s="37">
        <v>52.045677869797743</v>
      </c>
      <c r="U6" s="37">
        <v>53.651395235545372</v>
      </c>
      <c r="V6" s="37">
        <v>55.267921322909707</v>
      </c>
      <c r="W6" s="37">
        <v>56.894403614663695</v>
      </c>
      <c r="X6" s="38">
        <v>58.530076340386572</v>
      </c>
      <c r="Y6" s="39">
        <f>'Inputs and summary'!$B$2</f>
        <v>12.5</v>
      </c>
      <c r="Z6" s="40" cm="1">
        <f t="array" ref="Z6">INDEX($L$3:$X$148, ROW()-ROW(L$3)+1, _xlfn.XMATCH('Inputs and summary'!$B$3, Model!L$2:X$2, 0))</f>
        <v>55.267921322909707</v>
      </c>
    </row>
    <row r="7" spans="1:26" x14ac:dyDescent="0.25">
      <c r="A7" s="30" t="s">
        <v>18</v>
      </c>
      <c r="B7" s="45">
        <f>Acres_applied_per_flight/Recharge_of_a_battery___pumping__hours*'Inputs and summary'!B4</f>
        <v>26</v>
      </c>
      <c r="J7" s="35">
        <f t="shared" si="0"/>
        <v>6.9230769230769234</v>
      </c>
      <c r="K7" s="36">
        <v>180</v>
      </c>
      <c r="L7" s="37">
        <v>35.749828390100724</v>
      </c>
      <c r="M7" s="37">
        <v>37.054982431269863</v>
      </c>
      <c r="N7" s="37">
        <v>38.377488187182792</v>
      </c>
      <c r="O7" s="37">
        <v>39.716406942186644</v>
      </c>
      <c r="P7" s="37">
        <v>41.070783273023366</v>
      </c>
      <c r="Q7" s="37">
        <v>42.439663134088015</v>
      </c>
      <c r="R7" s="37">
        <v>43.822109404748929</v>
      </c>
      <c r="S7" s="37">
        <v>45.217214685431472</v>
      </c>
      <c r="T7" s="37">
        <v>46.624111313462862</v>
      </c>
      <c r="U7" s="37">
        <v>48.041978717377546</v>
      </c>
      <c r="V7" s="37">
        <v>49.47004833614686</v>
      </c>
      <c r="W7" s="37">
        <v>50.907606398978473</v>
      </c>
      <c r="X7" s="38">
        <v>52.353994896445101</v>
      </c>
      <c r="Y7" s="39">
        <f>'Inputs and summary'!$B$2</f>
        <v>12.5</v>
      </c>
      <c r="Z7" s="40" cm="1">
        <f t="array" ref="Z7">INDEX($L$3:$X$148, ROW()-ROW(L$3)+1, _xlfn.XMATCH('Inputs and summary'!$B$3, Model!L$2:X$2, 0))</f>
        <v>49.47004833614686</v>
      </c>
    </row>
    <row r="8" spans="1:26" x14ac:dyDescent="0.25">
      <c r="A8" s="30" t="s">
        <v>44</v>
      </c>
      <c r="B8" s="45">
        <f>Applied_acres_per_year/Acres_applied_per_charge_cycle</f>
        <v>153.84615384615384</v>
      </c>
      <c r="J8" s="35">
        <f t="shared" si="0"/>
        <v>7.6923076923076925</v>
      </c>
      <c r="K8" s="36">
        <v>200</v>
      </c>
      <c r="L8" s="37">
        <v>32.579844934019242</v>
      </c>
      <c r="M8" s="37">
        <v>33.747683646807431</v>
      </c>
      <c r="N8" s="37">
        <v>34.930454095919188</v>
      </c>
      <c r="O8" s="37">
        <v>36.127480171116105</v>
      </c>
      <c r="P8" s="37">
        <v>37.338065456462338</v>
      </c>
      <c r="Q8" s="37">
        <v>38.561504870478821</v>
      </c>
      <c r="R8" s="37">
        <v>39.797095119000389</v>
      </c>
      <c r="S8" s="37">
        <v>41.044143777754982</v>
      </c>
      <c r="T8" s="37">
        <v>42.301976911683006</v>
      </c>
      <c r="U8" s="37">
        <v>43.569945216760424</v>
      </c>
      <c r="V8" s="37">
        <v>44.847428734511283</v>
      </c>
      <c r="W8" s="37">
        <v>46.13384023831248</v>
      </c>
      <c r="X8" s="38">
        <v>47.428627424293268</v>
      </c>
      <c r="Y8" s="39">
        <f>'Inputs and summary'!$B$2</f>
        <v>12.5</v>
      </c>
      <c r="Z8" s="40" cm="1">
        <f t="array" ref="Z8">INDEX($L$3:$X$148, ROW()-ROW(L$3)+1, _xlfn.XMATCH('Inputs and summary'!$B$3, Model!L$2:X$2, 0))</f>
        <v>44.847428734511283</v>
      </c>
    </row>
    <row r="9" spans="1:26" x14ac:dyDescent="0.25">
      <c r="A9" s="30" t="s">
        <v>17</v>
      </c>
      <c r="B9" s="45">
        <f>Charges_of_lifespan__batteries/Charge_cycles_per_year</f>
        <v>6.5</v>
      </c>
      <c r="J9" s="35">
        <f t="shared" si="0"/>
        <v>8.4615384615384617</v>
      </c>
      <c r="K9" s="36">
        <v>220</v>
      </c>
      <c r="L9" s="37">
        <v>29.990021334991557</v>
      </c>
      <c r="M9" s="37">
        <v>31.046625239216784</v>
      </c>
      <c r="N9" s="37">
        <v>32.116211266115528</v>
      </c>
      <c r="O9" s="37">
        <v>33.198277975671175</v>
      </c>
      <c r="P9" s="37">
        <v>34.292304676892087</v>
      </c>
      <c r="Q9" s="37">
        <v>35.397759057294046</v>
      </c>
      <c r="R9" s="37">
        <v>36.514104241108974</v>
      </c>
      <c r="S9" s="37">
        <v>37.640805147520723</v>
      </c>
      <c r="T9" s="37">
        <v>38.777334064781982</v>
      </c>
      <c r="U9" s="37">
        <v>39.923175397414454</v>
      </c>
      <c r="V9" s="37">
        <v>41.077829579998024</v>
      </c>
      <c r="W9" s="37">
        <v>42.240816181226513</v>
      </c>
      <c r="X9" s="38">
        <v>43.411676245478667</v>
      </c>
      <c r="Y9" s="39">
        <f>'Inputs and summary'!$B$2</f>
        <v>12.5</v>
      </c>
      <c r="Z9" s="40" cm="1">
        <f t="array" ref="Z9">INDEX($L$3:$X$148, ROW()-ROW(L$3)+1, _xlfn.XMATCH('Inputs and summary'!$B$3, Model!L$2:X$2, 0))</f>
        <v>41.077829579998024</v>
      </c>
    </row>
    <row r="10" spans="1:26" x14ac:dyDescent="0.25">
      <c r="A10" s="30" t="s">
        <v>19</v>
      </c>
      <c r="B10" s="45">
        <f>Applied_acres_per_year/Acres_applied_per_hour</f>
        <v>38.46153846153846</v>
      </c>
      <c r="J10" s="35">
        <f t="shared" si="0"/>
        <v>9.2307692307692299</v>
      </c>
      <c r="K10" s="36">
        <v>240</v>
      </c>
      <c r="L10" s="37">
        <v>27.834511250902352</v>
      </c>
      <c r="M10" s="37">
        <v>28.799233222504878</v>
      </c>
      <c r="N10" s="37">
        <v>29.775352318945739</v>
      </c>
      <c r="O10" s="37">
        <v>30.762486613870163</v>
      </c>
      <c r="P10" s="37">
        <v>31.760237390288815</v>
      </c>
      <c r="Q10" s="37">
        <v>32.768194255223555</v>
      </c>
      <c r="R10" s="37">
        <v>33.785939972403277</v>
      </c>
      <c r="S10" s="37">
        <v>34.813054927607794</v>
      </c>
      <c r="T10" s="37">
        <v>35.849121163937319</v>
      </c>
      <c r="U10" s="37">
        <v>36.893725946247343</v>
      </c>
      <c r="V10" s="37">
        <v>37.94646483423157</v>
      </c>
      <c r="W10" s="37">
        <v>39.006944261471894</v>
      </c>
      <c r="X10" s="38">
        <v>40.074783632764401</v>
      </c>
      <c r="Y10" s="39">
        <f>'Inputs and summary'!$B$2</f>
        <v>12.5</v>
      </c>
      <c r="Z10" s="40" cm="1">
        <f t="array" ref="Z10">INDEX($L$3:$X$148, ROW()-ROW(L$3)+1, _xlfn.XMATCH('Inputs and summary'!$B$3, Model!L$2:X$2, 0))</f>
        <v>37.94646483423157</v>
      </c>
    </row>
    <row r="11" spans="1:26" x14ac:dyDescent="0.25">
      <c r="A11" s="30" t="s">
        <v>20</v>
      </c>
      <c r="B11" s="45">
        <f>Acres_applied_per_hour/Acres_applied_per_flight</f>
        <v>4</v>
      </c>
      <c r="J11" s="35">
        <f t="shared" si="0"/>
        <v>10</v>
      </c>
      <c r="K11" s="36">
        <v>260</v>
      </c>
      <c r="L11" s="37">
        <v>26.012553855360721</v>
      </c>
      <c r="M11" s="37">
        <v>26.900134296996121</v>
      </c>
      <c r="N11" s="37">
        <v>27.797810027696023</v>
      </c>
      <c r="O11" s="37">
        <v>28.705283091477128</v>
      </c>
      <c r="P11" s="37">
        <v>29.62224137881331</v>
      </c>
      <c r="Q11" s="37">
        <v>30.548362137113759</v>
      </c>
      <c r="R11" s="37">
        <v>31.483315339070131</v>
      </c>
      <c r="S11" s="37">
        <v>32.426766853027473</v>
      </c>
      <c r="T11" s="37">
        <v>33.378381371471406</v>
      </c>
      <c r="U11" s="37">
        <v>34.337825065658798</v>
      </c>
      <c r="V11" s="37">
        <v>35.30476794581574</v>
      </c>
      <c r="W11" s="37">
        <v>36.27888591679239</v>
      </c>
      <c r="X11" s="38">
        <v>37.259862528298783</v>
      </c>
      <c r="Y11" s="39">
        <f>'Inputs and summary'!$B$2</f>
        <v>12.5</v>
      </c>
      <c r="Z11" s="40" cm="1">
        <f t="array" ref="Z11">INDEX($L$3:$X$148, ROW()-ROW(L$3)+1, _xlfn.XMATCH('Inputs and summary'!$B$3, Model!L$2:X$2, 0))</f>
        <v>35.30476794581574</v>
      </c>
    </row>
    <row r="12" spans="1:26" x14ac:dyDescent="0.25">
      <c r="A12" s="30" t="s">
        <v>21</v>
      </c>
      <c r="B12" s="45">
        <f>1/Flights_per_hour*'Inputs and summary'!B4</f>
        <v>0.25</v>
      </c>
      <c r="J12" s="35">
        <f t="shared" si="0"/>
        <v>10.76923076923077</v>
      </c>
      <c r="K12" s="36">
        <v>280</v>
      </c>
      <c r="L12" s="37">
        <v>24.452308859365587</v>
      </c>
      <c r="M12" s="37">
        <v>25.274224968146228</v>
      </c>
      <c r="N12" s="37">
        <v>26.105155974817546</v>
      </c>
      <c r="O12" s="37">
        <v>26.944864377275024</v>
      </c>
      <c r="P12" s="37">
        <v>27.793100906249094</v>
      </c>
      <c r="Q12" s="37">
        <v>28.649606991103894</v>
      </c>
      <c r="R12" s="37">
        <v>29.514117152825751</v>
      </c>
      <c r="S12" s="37">
        <v>30.386361287578108</v>
      </c>
      <c r="T12" s="37">
        <v>31.266066810706846</v>
      </c>
      <c r="U12" s="37">
        <v>32.152960637748436</v>
      </c>
      <c r="V12" s="37">
        <v>33.046770985530962</v>
      </c>
      <c r="W12" s="37">
        <v>33.947228982650167</v>
      </c>
      <c r="X12" s="38">
        <v>34.854070084259952</v>
      </c>
      <c r="Y12" s="39">
        <f>'Inputs and summary'!$B$2</f>
        <v>12.5</v>
      </c>
      <c r="Z12" s="40" cm="1">
        <f t="array" ref="Z12">INDEX($L$3:$X$148, ROW()-ROW(L$3)+1, _xlfn.XMATCH('Inputs and summary'!$B$3, Model!L$2:X$2, 0))</f>
        <v>33.046770985530962</v>
      </c>
    </row>
    <row r="13" spans="1:26" ht="15.75" thickBot="1" x14ac:dyDescent="0.3">
      <c r="A13" s="43" t="str">
        <f xml:space="preserve"> "Battery: Years of use to achieve " &amp; Charges_of_lifespan__batteries &amp;" charge cycles"</f>
        <v>Battery: Years of use to achieve 1000 charge cycles</v>
      </c>
      <c r="B13" s="46">
        <f>Charges_of_lifespan__batteries/(Charge_cycles_per_year/(N_of_batteries_included_with_drone))</f>
        <v>19.5</v>
      </c>
      <c r="C13" s="47" t="str">
        <f>IF(B13&gt;5, "Your batteries will be replaced in five years, before reaching " &amp; Charges_of_lifespan__batteries &amp; " charge cycles, due to degradation.",)</f>
        <v>Your batteries will be replaced in five years, before reaching 1000 charge cycles, due to degradation.</v>
      </c>
      <c r="J13" s="35">
        <f t="shared" si="0"/>
        <v>11.538461538461538</v>
      </c>
      <c r="K13" s="36">
        <v>300</v>
      </c>
      <c r="L13" s="37">
        <v>23.101178610606652</v>
      </c>
      <c r="M13" s="37">
        <v>23.866536426719314</v>
      </c>
      <c r="N13" s="37">
        <v>24.640003526236292</v>
      </c>
      <c r="O13" s="37">
        <v>25.421386910021575</v>
      </c>
      <c r="P13" s="37">
        <v>26.210483835421737</v>
      </c>
      <c r="Q13" s="37">
        <v>27.007083586885262</v>
      </c>
      <c r="R13" s="37">
        <v>27.810969208889606</v>
      </c>
      <c r="S13" s="37">
        <v>28.621919176899585</v>
      </c>
      <c r="T13" s="37">
        <v>29.439708985753267</v>
      </c>
      <c r="U13" s="37">
        <v>30.264112638708763</v>
      </c>
      <c r="V13" s="37">
        <v>31.094904024223649</v>
      </c>
      <c r="W13" s="37">
        <v>31.931858171259957</v>
      </c>
      <c r="X13" s="38">
        <v>32.774752377398556</v>
      </c>
      <c r="Y13" s="39">
        <f>'Inputs and summary'!$B$2</f>
        <v>12.5</v>
      </c>
      <c r="Z13" s="40" cm="1">
        <f t="array" ref="Z13">INDEX($L$3:$X$148, ROW()-ROW(L$3)+1, _xlfn.XMATCH('Inputs and summary'!$B$3, Model!L$2:X$2, 0))</f>
        <v>31.094904024223649</v>
      </c>
    </row>
    <row r="14" spans="1:26" ht="15.75" thickBot="1" x14ac:dyDescent="0.3">
      <c r="A14" s="47"/>
      <c r="F14" s="48"/>
      <c r="J14" s="35">
        <f t="shared" si="0"/>
        <v>12.307692307692308</v>
      </c>
      <c r="K14" s="36">
        <v>320</v>
      </c>
      <c r="L14" s="37">
        <v>21.919771506620798</v>
      </c>
      <c r="M14" s="37">
        <v>22.63591403316358</v>
      </c>
      <c r="N14" s="37">
        <v>23.359399554084924</v>
      </c>
      <c r="O14" s="37">
        <v>24.090068501556523</v>
      </c>
      <c r="P14" s="37">
        <v>24.82775323182759</v>
      </c>
      <c r="Q14" s="37">
        <v>25.572279323302311</v>
      </c>
      <c r="R14" s="37">
        <v>26.323466855018921</v>
      </c>
      <c r="S14" s="37">
        <v>27.081131649207354</v>
      </c>
      <c r="T14" s="37">
        <v>27.845086463746085</v>
      </c>
      <c r="U14" s="37">
        <v>28.615142122613978</v>
      </c>
      <c r="V14" s="37">
        <v>29.391108574741839</v>
      </c>
      <c r="W14" s="37">
        <v>30.17279587395014</v>
      </c>
      <c r="X14" s="38">
        <v>30.960015074841188</v>
      </c>
      <c r="Y14" s="39">
        <f>'Inputs and summary'!$B$2</f>
        <v>12.5</v>
      </c>
      <c r="Z14" s="40" cm="1">
        <f t="array" ref="Z14">INDEX($L$3:$X$148, ROW()-ROW(L$3)+1, _xlfn.XMATCH('Inputs and summary'!$B$3, Model!L$2:X$2, 0))</f>
        <v>29.391108574741839</v>
      </c>
    </row>
    <row r="15" spans="1:26" x14ac:dyDescent="0.25">
      <c r="A15" s="23" t="s">
        <v>32</v>
      </c>
      <c r="B15" s="49" t="s">
        <v>46</v>
      </c>
      <c r="C15" s="50" t="s">
        <v>47</v>
      </c>
      <c r="F15" s="48"/>
      <c r="J15" s="35">
        <f t="shared" si="0"/>
        <v>13.076923076923077</v>
      </c>
      <c r="K15" s="36">
        <v>340</v>
      </c>
      <c r="L15" s="37">
        <v>20.878003115141478</v>
      </c>
      <c r="M15" s="37">
        <v>21.550936026313376</v>
      </c>
      <c r="N15" s="37">
        <v>22.230557828395128</v>
      </c>
      <c r="O15" s="37">
        <v>22.916734535059462</v>
      </c>
      <c r="P15" s="37">
        <v>23.609325441256633</v>
      </c>
      <c r="Q15" s="37">
        <v>24.308184093487665</v>
      </c>
      <c r="R15" s="37">
        <v>25.013159249909855</v>
      </c>
      <c r="S15" s="37">
        <v>25.724095819125775</v>
      </c>
      <c r="T15" s="37">
        <v>26.440835767799186</v>
      </c>
      <c r="U15" s="37">
        <v>27.163218988630234</v>
      </c>
      <c r="V15" s="37">
        <v>27.891084121646372</v>
      </c>
      <c r="W15" s="37">
        <v>28.624269323194632</v>
      </c>
      <c r="X15" s="38">
        <v>29.362612978407384</v>
      </c>
      <c r="Y15" s="39">
        <f>'Inputs and summary'!$B$2</f>
        <v>12.5</v>
      </c>
      <c r="Z15" s="40" cm="1">
        <f t="array" ref="Z15">INDEX($L$3:$X$148, ROW()-ROW(L$3)+1, _xlfn.XMATCH('Inputs and summary'!$B$3, Model!L$2:X$2, 0))</f>
        <v>27.891084121646372</v>
      </c>
    </row>
    <row r="16" spans="1:26" x14ac:dyDescent="0.25">
      <c r="A16" s="51" t="s">
        <v>12</v>
      </c>
      <c r="B16" s="52">
        <f>(Diesel_use__gallon_hour*Recharge_of_a_battery___pumping__hours+'Inputs and summary'!B20/'Inputs and summary'!B19/(Hours_per_day_applying*Acres_applied_per_hour))*Diesel_price____gallon/Acres_applied_per_charge_cycle</f>
        <v>0.1452613412228797</v>
      </c>
      <c r="C16" s="53">
        <f t="shared" ref="C16:C26" si="1">B16*Applied_acres_per_year</f>
        <v>145.26134122287971</v>
      </c>
      <c r="F16" s="48"/>
      <c r="J16" s="35">
        <f t="shared" si="0"/>
        <v>13.846153846153847</v>
      </c>
      <c r="K16" s="36">
        <v>360</v>
      </c>
      <c r="L16" s="37">
        <v>19.952501260582569</v>
      </c>
      <c r="M16" s="37">
        <v>20.587197901982712</v>
      </c>
      <c r="N16" s="37">
        <v>21.228020548469114</v>
      </c>
      <c r="O16" s="37">
        <v>21.874855120200213</v>
      </c>
      <c r="P16" s="37">
        <v>22.527581918519012</v>
      </c>
      <c r="Q16" s="37">
        <v>23.186076364424025</v>
      </c>
      <c r="R16" s="37">
        <v>23.850209731813738</v>
      </c>
      <c r="S16" s="37">
        <v>24.519849867766656</v>
      </c>
      <c r="T16" s="37">
        <v>25.194861892922297</v>
      </c>
      <c r="U16" s="37">
        <v>25.875108875900423</v>
      </c>
      <c r="V16" s="37">
        <v>26.560452476596282</v>
      </c>
      <c r="W16" s="37">
        <v>27.250753554104499</v>
      </c>
      <c r="X16" s="38">
        <v>27.945872735921462</v>
      </c>
      <c r="Y16" s="39">
        <f>'Inputs and summary'!$B$2</f>
        <v>12.5</v>
      </c>
      <c r="Z16" s="40" cm="1">
        <f t="array" ref="Z16">INDEX($L$3:$X$148, ROW()-ROW(L$3)+1, _xlfn.XMATCH('Inputs and summary'!$B$3, Model!L$2:X$2, 0))</f>
        <v>26.560452476596282</v>
      </c>
    </row>
    <row r="17" spans="1:26" x14ac:dyDescent="0.25">
      <c r="A17" s="51" t="s">
        <v>13</v>
      </c>
      <c r="B17" s="52">
        <f>Labor_cost____hour*('Inputs and summary'!B24+Hours_per_day_applying+'Inputs and summary'!B25*'Inputs and summary'!B22)/(Acres_applied_per_hour*Hours_per_day_applying)</f>
        <v>1.0544871794871795</v>
      </c>
      <c r="C17" s="53">
        <f t="shared" si="1"/>
        <v>1054.4871794871794</v>
      </c>
      <c r="F17" s="48"/>
      <c r="J17" s="35">
        <f t="shared" si="0"/>
        <v>14.615384615384615</v>
      </c>
      <c r="K17" s="36">
        <v>380</v>
      </c>
      <c r="L17" s="37">
        <v>19.124833260943756</v>
      </c>
      <c r="M17" s="37">
        <v>19.725457673852528</v>
      </c>
      <c r="N17" s="37">
        <v>20.331720067392883</v>
      </c>
      <c r="O17" s="37">
        <v>20.943522091460878</v>
      </c>
      <c r="P17" s="37">
        <v>21.560760668717673</v>
      </c>
      <c r="Q17" s="37">
        <v>22.183328566175518</v>
      </c>
      <c r="R17" s="37">
        <v>22.811114964139449</v>
      </c>
      <c r="S17" s="37">
        <v>23.444006017048334</v>
      </c>
      <c r="T17" s="37">
        <v>24.081885401272793</v>
      </c>
      <c r="U17" s="37">
        <v>24.724634845489959</v>
      </c>
      <c r="V17" s="37">
        <v>25.372134639838116</v>
      </c>
      <c r="W17" s="37">
        <v>26.024264120652923</v>
      </c>
      <c r="X17" s="38">
        <v>26.680902128178403</v>
      </c>
      <c r="Y17" s="39">
        <f>'Inputs and summary'!$B$2</f>
        <v>12.5</v>
      </c>
      <c r="Z17" s="40" cm="1">
        <f t="array" ref="Z17">INDEX($L$3:$X$148, ROW()-ROW(L$3)+1, _xlfn.XMATCH('Inputs and summary'!$B$3, Model!L$2:X$2, 0))</f>
        <v>25.372134639838116</v>
      </c>
    </row>
    <row r="18" spans="1:26" x14ac:dyDescent="0.25">
      <c r="A18" s="51" t="s">
        <v>31</v>
      </c>
      <c r="B18" s="52">
        <f>Dish_soap_price____2.64L*Dish_soap_qtt._L_day/(Hours_per_day_applying*Acres_applied_per_hour)</f>
        <v>1.6217948717948721E-2</v>
      </c>
      <c r="C18" s="53">
        <f t="shared" si="1"/>
        <v>16.217948717948719</v>
      </c>
      <c r="F18" s="48"/>
      <c r="J18" s="35">
        <f t="shared" si="0"/>
        <v>15.384615384615385</v>
      </c>
      <c r="K18" s="36">
        <v>400</v>
      </c>
      <c r="L18" s="37">
        <v>18.380266719447498</v>
      </c>
      <c r="M18" s="37">
        <v>18.950339700924754</v>
      </c>
      <c r="N18" s="37">
        <v>19.525624617481476</v>
      </c>
      <c r="O18" s="37">
        <v>20.106035723841153</v>
      </c>
      <c r="P18" s="37">
        <v>20.691483272173294</v>
      </c>
      <c r="Q18" s="37">
        <v>21.28187396150307</v>
      </c>
      <c r="R18" s="37">
        <v>21.877111385808117</v>
      </c>
      <c r="S18" s="37">
        <v>22.477096476895415</v>
      </c>
      <c r="T18" s="37">
        <v>23.081727938488712</v>
      </c>
      <c r="U18" s="37">
        <v>23.690902668329425</v>
      </c>
      <c r="V18" s="37">
        <v>24.304516165480017</v>
      </c>
      <c r="W18" s="37">
        <v>24.922462920419392</v>
      </c>
      <c r="X18" s="38">
        <v>25.544636785916964</v>
      </c>
      <c r="Y18" s="39">
        <f>'Inputs and summary'!$B$2</f>
        <v>12.5</v>
      </c>
      <c r="Z18" s="40" cm="1">
        <f t="array" ref="Z18">INDEX($L$3:$X$148, ROW()-ROW(L$3)+1, _xlfn.XMATCH('Inputs and summary'!$B$3, Model!L$2:X$2, 0))</f>
        <v>24.304516165480017</v>
      </c>
    </row>
    <row r="19" spans="1:26" x14ac:dyDescent="0.25">
      <c r="A19" s="51" t="s">
        <v>36</v>
      </c>
      <c r="B19" s="52">
        <f>SUM(H33:H37)/Applied_acres_per_year</f>
        <v>2.0606249999999999</v>
      </c>
      <c r="C19" s="53">
        <f t="shared" si="1"/>
        <v>2060.625</v>
      </c>
      <c r="J19" s="35">
        <f t="shared" si="0"/>
        <v>16.153846153846153</v>
      </c>
      <c r="K19" s="36">
        <v>420</v>
      </c>
      <c r="L19" s="37">
        <v>17.706885501738928</v>
      </c>
      <c r="M19" s="37">
        <v>18.249410264179492</v>
      </c>
      <c r="N19" s="37">
        <v>18.796772652918772</v>
      </c>
      <c r="O19" s="37">
        <v>19.348897153994102</v>
      </c>
      <c r="P19" s="37">
        <v>19.905704842361036</v>
      </c>
      <c r="Q19" s="37">
        <v>20.467113740452561</v>
      </c>
      <c r="R19" s="37">
        <v>21.033039176091851</v>
      </c>
      <c r="S19" s="37">
        <v>21.603394136919217</v>
      </c>
      <c r="T19" s="37">
        <v>22.178089618720936</v>
      </c>
      <c r="U19" s="37">
        <v>22.757034965300875</v>
      </c>
      <c r="V19" s="37">
        <v>23.340138197796801</v>
      </c>
      <c r="W19" s="37">
        <v>23.927306331617078</v>
      </c>
      <c r="X19" s="38">
        <v>24.518445679445009</v>
      </c>
      <c r="Y19" s="39">
        <f>'Inputs and summary'!$B$2</f>
        <v>12.5</v>
      </c>
      <c r="Z19" s="40" cm="1">
        <f t="array" ref="Z19">INDEX($L$3:$X$148, ROW()-ROW(L$3)+1, _xlfn.XMATCH('Inputs and summary'!$B$3, Model!L$2:X$2, 0))</f>
        <v>23.340138197796801</v>
      </c>
    </row>
    <row r="20" spans="1:26" x14ac:dyDescent="0.25">
      <c r="A20" s="51" t="s">
        <v>33</v>
      </c>
      <c r="B20" s="52">
        <f>Interest_rate*SUM(B16:B18)</f>
        <v>9.7277317554240628E-2</v>
      </c>
      <c r="C20" s="53">
        <f t="shared" si="1"/>
        <v>97.277317554240625</v>
      </c>
      <c r="F20" s="48"/>
      <c r="J20" s="35">
        <f t="shared" si="0"/>
        <v>16.923076923076923</v>
      </c>
      <c r="K20" s="36">
        <v>440</v>
      </c>
      <c r="L20" s="37">
        <v>17.094947559955827</v>
      </c>
      <c r="M20" s="37">
        <v>17.61250620850452</v>
      </c>
      <c r="N20" s="37">
        <v>18.134571694737211</v>
      </c>
      <c r="O20" s="37">
        <v>18.661076907966475</v>
      </c>
      <c r="P20" s="37">
        <v>19.191951811564969</v>
      </c>
      <c r="Q20" s="37">
        <v>19.727123732980722</v>
      </c>
      <c r="R20" s="37">
        <v>20.266517653420372</v>
      </c>
      <c r="S20" s="37">
        <v>20.81005649510729</v>
      </c>
      <c r="T20" s="37">
        <v>21.357661404178071</v>
      </c>
      <c r="U20" s="37">
        <v>21.909252027456855</v>
      </c>
      <c r="V20" s="37">
        <v>22.464746781527413</v>
      </c>
      <c r="W20" s="37">
        <v>23.024063112713641</v>
      </c>
      <c r="X20" s="38">
        <v>23.587117746768314</v>
      </c>
      <c r="Y20" s="39">
        <f>'Inputs and summary'!$B$2</f>
        <v>12.5</v>
      </c>
      <c r="Z20" s="40" cm="1">
        <f t="array" ref="Z20">INDEX($L$3:$X$148, ROW()-ROW(L$3)+1, _xlfn.XMATCH('Inputs and summary'!$B$3, Model!L$2:X$2, 0))</f>
        <v>22.464746781527413</v>
      </c>
    </row>
    <row r="21" spans="1:26" x14ac:dyDescent="0.25">
      <c r="A21" s="54" t="s">
        <v>14</v>
      </c>
      <c r="B21" s="52">
        <f>SUM(B16:B20)</f>
        <v>3.3738687869822486</v>
      </c>
      <c r="C21" s="53">
        <f t="shared" si="1"/>
        <v>3373.8687869822484</v>
      </c>
      <c r="F21" s="48"/>
      <c r="J21" s="35">
        <f t="shared" si="0"/>
        <v>17.692307692307693</v>
      </c>
      <c r="K21" s="36">
        <v>460</v>
      </c>
      <c r="L21" s="37">
        <v>16.536410789537097</v>
      </c>
      <c r="M21" s="37">
        <v>17.031239370516651</v>
      </c>
      <c r="N21" s="37">
        <v>17.53028087240018</v>
      </c>
      <c r="O21" s="37">
        <v>18.033475161658746</v>
      </c>
      <c r="P21" s="37">
        <v>18.540759578888355</v>
      </c>
      <c r="Q21" s="37">
        <v>19.052069176407297</v>
      </c>
      <c r="R21" s="37">
        <v>19.567336955652198</v>
      </c>
      <c r="S21" s="37">
        <v>20.086494102808789</v>
      </c>
      <c r="T21" s="37">
        <v>20.609470221223589</v>
      </c>
      <c r="U21" s="37">
        <v>21.136193559267774</v>
      </c>
      <c r="V21" s="37">
        <v>21.666591232451879</v>
      </c>
      <c r="W21" s="37">
        <v>22.200589438725245</v>
      </c>
      <c r="X21" s="38">
        <v>22.738113666028667</v>
      </c>
      <c r="Y21" s="39">
        <f>'Inputs and summary'!$B$2</f>
        <v>12.5</v>
      </c>
      <c r="Z21" s="40" cm="1">
        <f t="array" ref="Z21">INDEX($L$3:$X$148, ROW()-ROW(L$3)+1, _xlfn.XMATCH('Inputs and summary'!$B$3, Model!L$2:X$2, 0))</f>
        <v>21.666591232451879</v>
      </c>
    </row>
    <row r="22" spans="1:26" x14ac:dyDescent="0.25">
      <c r="A22" s="51" t="s">
        <v>45</v>
      </c>
      <c r="B22" s="52">
        <f>SUM(G33:G37)/Applied_acres_per_year</f>
        <v>6.584396325552885</v>
      </c>
      <c r="C22" s="53">
        <f t="shared" si="1"/>
        <v>6584.3963255528852</v>
      </c>
      <c r="F22" s="48"/>
      <c r="J22" s="35">
        <f t="shared" si="0"/>
        <v>18.46153846153846</v>
      </c>
      <c r="K22" s="36">
        <v>480</v>
      </c>
      <c r="L22" s="37">
        <v>16.024577772782667</v>
      </c>
      <c r="M22" s="37">
        <v>16.498625350048176</v>
      </c>
      <c r="N22" s="37">
        <v>16.976623380152393</v>
      </c>
      <c r="O22" s="37">
        <v>17.458517580865678</v>
      </c>
      <c r="P22" s="37">
        <v>17.944251475823581</v>
      </c>
      <c r="Q22" s="37">
        <v>18.433766591529803</v>
      </c>
      <c r="R22" s="37">
        <v>18.927002654196091</v>
      </c>
      <c r="S22" s="37">
        <v>19.423897785234963</v>
      </c>
      <c r="T22" s="37">
        <v>19.924388694300255</v>
      </c>
      <c r="U22" s="37">
        <v>20.428410868861604</v>
      </c>
      <c r="V22" s="37">
        <v>20.935898759390057</v>
      </c>
      <c r="W22" s="37">
        <v>21.446785959330445</v>
      </c>
      <c r="X22" s="38">
        <v>21.961005379132807</v>
      </c>
      <c r="Y22" s="39">
        <f>'Inputs and summary'!$B$2</f>
        <v>12.5</v>
      </c>
      <c r="Z22" s="40" cm="1">
        <f t="array" ref="Z22">INDEX($L$3:$X$148, ROW()-ROW(L$3)+1, _xlfn.XMATCH('Inputs and summary'!$B$3, Model!L$2:X$2, 0))</f>
        <v>20.935898759390057</v>
      </c>
    </row>
    <row r="23" spans="1:26" x14ac:dyDescent="0.25">
      <c r="A23" s="51" t="s">
        <v>34</v>
      </c>
      <c r="B23" s="52">
        <f>SUM(F41/(Applied_acres_per_year/(N_of_batteries_included_with_drone)),G41/Acres_applied_per_charge_cycle)</f>
        <v>1.7209297093218343</v>
      </c>
      <c r="C23" s="53">
        <f t="shared" si="1"/>
        <v>1720.9297093218343</v>
      </c>
      <c r="F23" s="48"/>
      <c r="J23" s="35">
        <f t="shared" si="0"/>
        <v>19.23076923076923</v>
      </c>
      <c r="K23" s="36">
        <v>500</v>
      </c>
      <c r="L23" s="37">
        <v>15.553826029990017</v>
      </c>
      <c r="M23" s="37">
        <v>16.008801694046923</v>
      </c>
      <c r="N23" s="37">
        <v>16.46749233399126</v>
      </c>
      <c r="O23" s="37">
        <v>16.929848620230217</v>
      </c>
      <c r="P23" s="37">
        <v>17.395819305658446</v>
      </c>
      <c r="Q23" s="37">
        <v>17.865351390851114</v>
      </c>
      <c r="R23" s="37">
        <v>18.338390289088242</v>
      </c>
      <c r="S23" s="37">
        <v>18.814879990302543</v>
      </c>
      <c r="T23" s="37">
        <v>19.294763223100748</v>
      </c>
      <c r="U23" s="37">
        <v>19.77798161407604</v>
      </c>
      <c r="V23" s="37">
        <v>20.264475843695781</v>
      </c>
      <c r="W23" s="37">
        <v>20.754185798121394</v>
      </c>
      <c r="X23" s="38">
        <v>21.247050716388042</v>
      </c>
      <c r="Y23" s="39">
        <f>'Inputs and summary'!$B$2</f>
        <v>12.5</v>
      </c>
      <c r="Z23" s="40" cm="1">
        <f t="array" ref="Z23">INDEX($L$3:$X$148, ROW()-ROW(L$3)+1, _xlfn.XMATCH('Inputs and summary'!$B$3, Model!L$2:X$2, 0))</f>
        <v>20.264475843695781</v>
      </c>
    </row>
    <row r="24" spans="1:26" x14ac:dyDescent="0.25">
      <c r="A24" s="51" t="s">
        <v>35</v>
      </c>
      <c r="B24" s="52">
        <f>0.01*(AVERAGE(B33,D33)+AVERAGE(B34,D34)+AVERAGE(B35,D35)+AVERAGE(B36,D36)+AVERAGE(B37,D37))/Applied_acres_per_year</f>
        <v>0.59237499999999998</v>
      </c>
      <c r="C24" s="53">
        <f t="shared" si="1"/>
        <v>592.375</v>
      </c>
      <c r="J24" s="35">
        <f t="shared" si="0"/>
        <v>20</v>
      </c>
      <c r="K24" s="36">
        <v>520</v>
      </c>
      <c r="L24" s="37">
        <v>15.119400695335568</v>
      </c>
      <c r="M24" s="37">
        <v>15.556811341884508</v>
      </c>
      <c r="N24" s="37">
        <v>15.997724788078498</v>
      </c>
      <c r="O24" s="37">
        <v>16.442095932269723</v>
      </c>
      <c r="P24" s="37">
        <v>16.889877987236552</v>
      </c>
      <c r="Q24" s="37">
        <v>17.341022620174222</v>
      </c>
      <c r="R24" s="37">
        <v>17.795480092493246</v>
      </c>
      <c r="S24" s="37">
        <v>18.253199398721041</v>
      </c>
      <c r="T24" s="37">
        <v>18.714128403845145</v>
      </c>
      <c r="U24" s="37">
        <v>19.178213978487726</v>
      </c>
      <c r="V24" s="37">
        <v>19.645402131350423</v>
      </c>
      <c r="W24" s="37">
        <v>20.11563813842335</v>
      </c>
      <c r="X24" s="38">
        <v>20.588866668504501</v>
      </c>
      <c r="Y24" s="39">
        <f>'Inputs and summary'!$B$2</f>
        <v>12.5</v>
      </c>
      <c r="Z24" s="40" cm="1">
        <f t="array" ref="Z24">INDEX($L$3:$X$148, ROW()-ROW(L$3)+1, _xlfn.XMATCH('Inputs and summary'!$B$3, Model!L$2:X$2, 0))</f>
        <v>19.645402131350423</v>
      </c>
    </row>
    <row r="25" spans="1:26" x14ac:dyDescent="0.25">
      <c r="A25" s="54" t="s">
        <v>15</v>
      </c>
      <c r="B25" s="52">
        <f>SUM(B22:B24)</f>
        <v>8.8977010348747196</v>
      </c>
      <c r="C25" s="53">
        <f t="shared" si="1"/>
        <v>8897.701034874719</v>
      </c>
      <c r="F25" s="48"/>
      <c r="J25" s="35">
        <f t="shared" si="0"/>
        <v>20.76923076923077</v>
      </c>
      <c r="K25" s="36">
        <v>540</v>
      </c>
      <c r="L25" s="37">
        <v>14.717253390957444</v>
      </c>
      <c r="M25" s="37">
        <v>15.138434358182158</v>
      </c>
      <c r="N25" s="37">
        <v>15.562926173543696</v>
      </c>
      <c r="O25" s="37">
        <v>15.990687373346022</v>
      </c>
      <c r="P25" s="37">
        <v>16.42167500384674</v>
      </c>
      <c r="Q25" s="37">
        <v>16.855844741073447</v>
      </c>
      <c r="R25" s="37">
        <v>17.293151010419532</v>
      </c>
      <c r="S25" s="37">
        <v>17.733547105466172</v>
      </c>
      <c r="T25" s="37">
        <v>18.17698530550955</v>
      </c>
      <c r="U25" s="37">
        <v>18.623416991312155</v>
      </c>
      <c r="V25" s="37">
        <v>19.072792758633959</v>
      </c>
      <c r="W25" s="37">
        <v>19.525062529141469</v>
      </c>
      <c r="X25" s="38">
        <v>19.980175658332062</v>
      </c>
      <c r="Y25" s="39">
        <f>'Inputs and summary'!$B$2</f>
        <v>12.5</v>
      </c>
      <c r="Z25" s="40" cm="1">
        <f t="array" ref="Z25">INDEX($L$3:$X$148, ROW()-ROW(L$3)+1, _xlfn.XMATCH('Inputs and summary'!$B$3, Model!L$2:X$2, 0))</f>
        <v>19.072792758633959</v>
      </c>
    </row>
    <row r="26" spans="1:26" ht="15.75" thickBot="1" x14ac:dyDescent="0.3">
      <c r="A26" s="55" t="s">
        <v>16</v>
      </c>
      <c r="B26" s="56">
        <f>SUM(B21,B25)</f>
        <v>12.271569821856968</v>
      </c>
      <c r="C26" s="57">
        <f t="shared" si="1"/>
        <v>12271.569821856967</v>
      </c>
      <c r="F26" s="48"/>
      <c r="J26" s="35">
        <f t="shared" si="0"/>
        <v>21.53846153846154</v>
      </c>
      <c r="K26" s="36">
        <v>560</v>
      </c>
      <c r="L26" s="37">
        <v>14.34391572013242</v>
      </c>
      <c r="M26" s="37">
        <v>14.750055843213151</v>
      </c>
      <c r="N26" s="37">
        <v>15.159332507458362</v>
      </c>
      <c r="O26" s="37">
        <v>15.57170740250684</v>
      </c>
      <c r="P26" s="37">
        <v>15.98714089365297</v>
      </c>
      <c r="Q26" s="37">
        <v>16.405592125356524</v>
      </c>
      <c r="R26" s="37">
        <v>16.827019124505334</v>
      </c>
      <c r="S26" s="37">
        <v>17.251378902991373</v>
      </c>
      <c r="T26" s="37">
        <v>17.678627559185333</v>
      </c>
      <c r="U26" s="37">
        <v>18.108720377926282</v>
      </c>
      <c r="V26" s="37">
        <v>18.541611928671131</v>
      </c>
      <c r="W26" s="37">
        <v>18.977256161481566</v>
      </c>
      <c r="X26" s="38">
        <v>19.415606500556294</v>
      </c>
      <c r="Y26" s="39">
        <f>'Inputs and summary'!$B$2</f>
        <v>12.5</v>
      </c>
      <c r="Z26" s="40" cm="1">
        <f t="array" ref="Z26">INDEX($L$3:$X$148, ROW()-ROW(L$3)+1, _xlfn.XMATCH('Inputs and summary'!$B$3, Model!L$2:X$2, 0))</f>
        <v>18.541611928671131</v>
      </c>
    </row>
    <row r="27" spans="1:26" x14ac:dyDescent="0.25">
      <c r="J27" s="35">
        <f t="shared" si="0"/>
        <v>22.307692307692307</v>
      </c>
      <c r="K27" s="36">
        <v>580</v>
      </c>
      <c r="L27" s="37">
        <v>13.996399002308156</v>
      </c>
      <c r="M27" s="37">
        <v>14.38856126132498</v>
      </c>
      <c r="N27" s="37">
        <v>14.78370122175105</v>
      </c>
      <c r="O27" s="37">
        <v>15.181783325181541</v>
      </c>
      <c r="P27" s="37">
        <v>15.582770830010947</v>
      </c>
      <c r="Q27" s="37">
        <v>15.986625901641986</v>
      </c>
      <c r="R27" s="37">
        <v>16.393309702425388</v>
      </c>
      <c r="S27" s="37">
        <v>16.802782480977321</v>
      </c>
      <c r="T27" s="37">
        <v>17.2150036605405</v>
      </c>
      <c r="U27" s="37">
        <v>17.629931926080047</v>
      </c>
      <c r="V27" s="37">
        <v>18.047525309827115</v>
      </c>
      <c r="W27" s="37">
        <v>18.467741275009359</v>
      </c>
      <c r="X27" s="38">
        <v>18.890536797530743</v>
      </c>
      <c r="Y27" s="39">
        <f>'Inputs and summary'!$B$2</f>
        <v>12.5</v>
      </c>
      <c r="Z27" s="40" cm="1">
        <f t="array" ref="Z27">INDEX($L$3:$X$148, ROW()-ROW(L$3)+1, _xlfn.XMATCH('Inputs and summary'!$B$3, Model!L$2:X$2, 0))</f>
        <v>18.047525309827115</v>
      </c>
    </row>
    <row r="28" spans="1:26" x14ac:dyDescent="0.25">
      <c r="A28" s="30" t="s">
        <v>27</v>
      </c>
      <c r="J28" s="35">
        <f t="shared" si="0"/>
        <v>23.076923076923077</v>
      </c>
      <c r="K28" s="36">
        <v>600</v>
      </c>
      <c r="L28" s="37">
        <v>13.672114111918841</v>
      </c>
      <c r="M28" s="37">
        <v>14.051252770404886</v>
      </c>
      <c r="N28" s="37">
        <v>14.433223910035245</v>
      </c>
      <c r="O28" s="37">
        <v>14.817994389333204</v>
      </c>
      <c r="P28" s="37">
        <v>15.205530004440092</v>
      </c>
      <c r="Q28" s="37">
        <v>15.595795568381558</v>
      </c>
      <c r="R28" s="37">
        <v>15.988754990047997</v>
      </c>
      <c r="S28" s="37">
        <v>16.384371352602077</v>
      </c>
      <c r="T28" s="37">
        <v>16.782606991041497</v>
      </c>
      <c r="U28" s="37">
        <v>17.183423568665535</v>
      </c>
      <c r="V28" s="37">
        <v>17.586782152211136</v>
      </c>
      <c r="W28" s="37">
        <v>17.992643285445297</v>
      </c>
      <c r="X28" s="38">
        <v>18.400967061018989</v>
      </c>
      <c r="Y28" s="39">
        <f>'Inputs and summary'!$B$2</f>
        <v>12.5</v>
      </c>
      <c r="Z28" s="40" cm="1">
        <f t="array" ref="Z28">INDEX($L$3:$X$148, ROW()-ROW(L$3)+1, _xlfn.XMATCH('Inputs and summary'!$B$3, Model!L$2:X$2, 0))</f>
        <v>17.586782152211136</v>
      </c>
    </row>
    <row r="29" spans="1:26" x14ac:dyDescent="0.25">
      <c r="J29" s="35">
        <f t="shared" si="0"/>
        <v>23.846153846153847</v>
      </c>
      <c r="K29" s="36">
        <v>620</v>
      </c>
      <c r="L29" s="37">
        <v>13.368806870571873</v>
      </c>
      <c r="M29" s="37">
        <v>13.735781796085684</v>
      </c>
      <c r="N29" s="37">
        <v>14.105456025595158</v>
      </c>
      <c r="O29" s="37">
        <v>14.477798552863467</v>
      </c>
      <c r="P29" s="37">
        <v>14.852777413184672</v>
      </c>
      <c r="Q29" s="37">
        <v>15.230359753574383</v>
      </c>
      <c r="R29" s="37">
        <v>15.610511902662971</v>
      </c>
      <c r="S29" s="37">
        <v>15.993199440055555</v>
      </c>
      <c r="T29" s="37">
        <v>16.378387264935014</v>
      </c>
      <c r="U29" s="37">
        <v>16.766039663701189</v>
      </c>
      <c r="V29" s="37">
        <v>17.156120376453138</v>
      </c>
      <c r="W29" s="37">
        <v>17.548592662138503</v>
      </c>
      <c r="X29" s="38">
        <v>17.943419362208772</v>
      </c>
      <c r="Y29" s="39">
        <f>'Inputs and summary'!$B$2</f>
        <v>12.5</v>
      </c>
      <c r="Z29" s="40" cm="1">
        <f t="array" ref="Z29">INDEX($L$3:$X$148, ROW()-ROW(L$3)+1, _xlfn.XMATCH('Inputs and summary'!$B$3, Model!L$2:X$2, 0))</f>
        <v>17.156120376453138</v>
      </c>
    </row>
    <row r="30" spans="1:26" ht="15.75" thickBot="1" x14ac:dyDescent="0.3">
      <c r="A30" s="30"/>
      <c r="J30" s="35">
        <f t="shared" si="0"/>
        <v>24.615384615384617</v>
      </c>
      <c r="K30" s="36">
        <v>640</v>
      </c>
      <c r="L30" s="37">
        <v>13.084505582359441</v>
      </c>
      <c r="M30" s="37">
        <v>13.440094286772522</v>
      </c>
      <c r="N30" s="37">
        <v>13.798259809525456</v>
      </c>
      <c r="O30" s="37">
        <v>14.158973041158308</v>
      </c>
      <c r="P30" s="37">
        <v>14.522204003524308</v>
      </c>
      <c r="Q30" s="37">
        <v>14.887921912395582</v>
      </c>
      <c r="R30" s="37">
        <v>15.256095239764443</v>
      </c>
      <c r="S30" s="37">
        <v>15.626691775644495</v>
      </c>
      <c r="T30" s="37">
        <v>15.99967868918538</v>
      </c>
      <c r="U30" s="37">
        <v>16.375022588929312</v>
      </c>
      <c r="V30" s="37">
        <v>16.75268958204845</v>
      </c>
      <c r="W30" s="37">
        <v>17.132645332416644</v>
      </c>
      <c r="X30" s="38">
        <v>17.514855117380737</v>
      </c>
      <c r="Y30" s="39">
        <f>'Inputs and summary'!$B$2</f>
        <v>12.5</v>
      </c>
      <c r="Z30" s="40" cm="1">
        <f t="array" ref="Z30">INDEX($L$3:$X$148, ROW()-ROW(L$3)+1, _xlfn.XMATCH('Inputs and summary'!$B$3, Model!L$2:X$2, 0))</f>
        <v>16.75268958204845</v>
      </c>
    </row>
    <row r="31" spans="1:26" ht="15.75" thickBot="1" x14ac:dyDescent="0.3">
      <c r="A31" s="41"/>
      <c r="B31" s="58"/>
      <c r="C31" s="58"/>
      <c r="D31" s="58"/>
      <c r="E31" s="58"/>
      <c r="F31" s="58"/>
      <c r="G31" s="58"/>
      <c r="H31" s="24"/>
      <c r="J31" s="35">
        <f t="shared" si="0"/>
        <v>25.384615384615383</v>
      </c>
      <c r="K31" s="36">
        <v>660</v>
      </c>
      <c r="L31" s="37">
        <v>12.81747813060068</v>
      </c>
      <c r="M31" s="37">
        <v>13.162385951915908</v>
      </c>
      <c r="N31" s="37">
        <v>13.509757632998507</v>
      </c>
      <c r="O31" s="37">
        <v>13.85956575799551</v>
      </c>
      <c r="P31" s="37">
        <v>14.211782120282676</v>
      </c>
      <c r="Q31" s="37">
        <v>14.566377778685098</v>
      </c>
      <c r="R31" s="37">
        <v>14.923323113390257</v>
      </c>
      <c r="S31" s="37">
        <v>15.282587881389295</v>
      </c>
      <c r="T31" s="37">
        <v>15.644141271289966</v>
      </c>
      <c r="U31" s="37">
        <v>16.007951957356958</v>
      </c>
      <c r="V31" s="37">
        <v>16.373988152644138</v>
      </c>
      <c r="W31" s="37">
        <v>16.742217661095559</v>
      </c>
      <c r="X31" s="38">
        <v>17.112607928501461</v>
      </c>
      <c r="Y31" s="39">
        <f>'Inputs and summary'!$B$2</f>
        <v>12.5</v>
      </c>
      <c r="Z31" s="40" cm="1">
        <f t="array" ref="Z31">INDEX($L$3:$X$148, ROW()-ROW(L$3)+1, _xlfn.XMATCH('Inputs and summary'!$B$3, Model!L$2:X$2, 0))</f>
        <v>16.373988152644138</v>
      </c>
    </row>
    <row r="32" spans="1:26" ht="22.5" x14ac:dyDescent="0.25">
      <c r="A32" s="41"/>
      <c r="B32" s="49" t="s">
        <v>62</v>
      </c>
      <c r="C32" s="59" t="s">
        <v>2</v>
      </c>
      <c r="D32" s="49" t="s">
        <v>3</v>
      </c>
      <c r="E32" s="59" t="s">
        <v>4</v>
      </c>
      <c r="F32" s="59" t="s">
        <v>5</v>
      </c>
      <c r="G32" s="59" t="s">
        <v>6</v>
      </c>
      <c r="H32" s="60" t="s">
        <v>7</v>
      </c>
      <c r="J32" s="35">
        <f t="shared" si="0"/>
        <v>26.153846153846153</v>
      </c>
      <c r="K32" s="36">
        <v>680</v>
      </c>
      <c r="L32" s="37">
        <v>12.56619666309156</v>
      </c>
      <c r="M32" s="37">
        <v>12.901065422387749</v>
      </c>
      <c r="N32" s="37">
        <v>13.23829360234183</v>
      </c>
      <c r="O32" s="37">
        <v>13.577855306559634</v>
      </c>
      <c r="P32" s="37">
        <v>13.91972391578016</v>
      </c>
      <c r="Q32" s="37">
        <v>14.263872138684052</v>
      </c>
      <c r="R32" s="37">
        <v>14.610272062394644</v>
      </c>
      <c r="S32" s="37">
        <v>14.958895202532247</v>
      </c>
      <c r="T32" s="37">
        <v>15.309712552688676</v>
      </c>
      <c r="U32" s="37">
        <v>15.662694633199671</v>
      </c>
      <c r="V32" s="37">
        <v>16.017811539100013</v>
      </c>
      <c r="W32" s="37">
        <v>16.375032987156761</v>
      </c>
      <c r="X32" s="38">
        <v>16.734328361883758</v>
      </c>
      <c r="Y32" s="39">
        <f>'Inputs and summary'!$B$2</f>
        <v>12.5</v>
      </c>
      <c r="Z32" s="40" cm="1">
        <f t="array" ref="Z32">INDEX($L$3:$X$148, ROW()-ROW(L$3)+1, _xlfn.XMATCH('Inputs and summary'!$B$3, Model!L$2:X$2, 0))</f>
        <v>16.017811539100013</v>
      </c>
    </row>
    <row r="33" spans="1:26" x14ac:dyDescent="0.25">
      <c r="A33" s="54" t="s">
        <v>54</v>
      </c>
      <c r="B33" s="61">
        <f>'Inputs and summary'!E2*'Inputs and summary'!B4</f>
        <v>23000</v>
      </c>
      <c r="C33" s="62">
        <f>Acres_of_lifespan_drone/Applied_acres_per_year*'Inputs and summary'!B4</f>
        <v>8</v>
      </c>
      <c r="D33" s="61">
        <f>0.3*B33</f>
        <v>6900</v>
      </c>
      <c r="E33" s="63">
        <f>drone_use_perc</f>
        <v>1</v>
      </c>
      <c r="F33" s="61">
        <f>(B33-D33)*Interest_rate/(1-(1+Interest_rate)^-C33)+D33*Interest_rate</f>
        <v>3353.6376455283357</v>
      </c>
      <c r="G33" s="61">
        <f>E33*F33</f>
        <v>3353.6376455283357</v>
      </c>
      <c r="H33" s="64">
        <f>Applied_acres_per_year*Drone_maintanance_cost____year_acre</f>
        <v>1000</v>
      </c>
      <c r="J33" s="35">
        <f t="shared" si="0"/>
        <v>26.923076923076923</v>
      </c>
      <c r="K33" s="36">
        <v>700</v>
      </c>
      <c r="L33" s="37">
        <v>12.329308344849597</v>
      </c>
      <c r="M33" s="37">
        <v>12.654723744181457</v>
      </c>
      <c r="N33" s="37">
        <v>12.98240176888617</v>
      </c>
      <c r="O33" s="37">
        <v>13.312317891905344</v>
      </c>
      <c r="P33" s="37">
        <v>13.644446922735254</v>
      </c>
      <c r="Q33" s="37">
        <v>13.978763053617969</v>
      </c>
      <c r="R33" s="37">
        <v>14.315239905427674</v>
      </c>
      <c r="S33" s="37">
        <v>14.653850573132726</v>
      </c>
      <c r="T33" s="37">
        <v>14.994567670719379</v>
      </c>
      <c r="U33" s="37">
        <v>15.337363375472215</v>
      </c>
      <c r="V33" s="37">
        <v>15.682209471512515</v>
      </c>
      <c r="W33" s="37">
        <v>16.029077392504803</v>
      </c>
      <c r="X33" s="38">
        <v>16.37793826344841</v>
      </c>
      <c r="Y33" s="39">
        <f>'Inputs and summary'!$B$2</f>
        <v>12.5</v>
      </c>
      <c r="Z33" s="40" cm="1">
        <f t="array" ref="Z33">INDEX($L$3:$X$148, ROW()-ROW(L$3)+1, _xlfn.XMATCH('Inputs and summary'!$B$3, Model!L$2:X$2, 0))</f>
        <v>15.682209471512515</v>
      </c>
    </row>
    <row r="34" spans="1:26" x14ac:dyDescent="0.25">
      <c r="A34" s="54" t="s">
        <v>8</v>
      </c>
      <c r="B34" s="61">
        <f>Generator_price</f>
        <v>7500</v>
      </c>
      <c r="C34" s="62">
        <f>Generator_lifespan</f>
        <v>10</v>
      </c>
      <c r="D34" s="61">
        <f>0.35*B34</f>
        <v>2625</v>
      </c>
      <c r="E34" s="63">
        <f>generator_use_perc</f>
        <v>1</v>
      </c>
      <c r="F34" s="61">
        <f>(B34-D34)*Interest_rate/(1-(1+Interest_rate)^-C34)+D34*Interest_rate</f>
        <v>936.51875739824231</v>
      </c>
      <c r="G34" s="61">
        <f>E34*F34</f>
        <v>936.51875739824231</v>
      </c>
      <c r="H34" s="64">
        <f>0.05*(B34+D34)/2</f>
        <v>253.125</v>
      </c>
      <c r="J34" s="35">
        <f t="shared" si="0"/>
        <v>27.692307692307693</v>
      </c>
      <c r="K34" s="36">
        <v>720</v>
      </c>
      <c r="L34" s="37">
        <v>12.10561099604508</v>
      </c>
      <c r="M34" s="37">
        <v>12.422108970636604</v>
      </c>
      <c r="N34" s="37">
        <v>12.74077965514118</v>
      </c>
      <c r="O34" s="37">
        <v>13.061599761728392</v>
      </c>
      <c r="P34" s="37">
        <v>13.3845453913253</v>
      </c>
      <c r="Q34" s="37">
        <v>13.709592075843926</v>
      </c>
      <c r="R34" s="37">
        <v>14.036714820108358</v>
      </c>
      <c r="S34" s="37">
        <v>14.365888143378228</v>
      </c>
      <c r="T34" s="37">
        <v>14.697086120369514</v>
      </c>
      <c r="U34" s="37">
        <v>15.030282421682001</v>
      </c>
      <c r="V34" s="37">
        <v>15.365450353547647</v>
      </c>
      <c r="W34" s="37">
        <v>15.702562896822219</v>
      </c>
      <c r="X34" s="38">
        <v>16.041592745148012</v>
      </c>
      <c r="Y34" s="39">
        <f>'Inputs and summary'!$B$2</f>
        <v>12.5</v>
      </c>
      <c r="Z34" s="40" cm="1">
        <f t="array" ref="Z34">INDEX($L$3:$X$148, ROW()-ROW(L$3)+1, _xlfn.XMATCH('Inputs and summary'!$B$3, Model!L$2:X$2, 0))</f>
        <v>15.365450353547647</v>
      </c>
    </row>
    <row r="35" spans="1:26" x14ac:dyDescent="0.25">
      <c r="A35" s="54" t="s">
        <v>9</v>
      </c>
      <c r="B35" s="61">
        <f>Trailer_price</f>
        <v>9000</v>
      </c>
      <c r="C35" s="62">
        <f>Trailer_lifespan</f>
        <v>10</v>
      </c>
      <c r="D35" s="61">
        <f>0.35*B35</f>
        <v>3150</v>
      </c>
      <c r="E35" s="63">
        <f>trailer_use_perc</f>
        <v>0.5</v>
      </c>
      <c r="F35" s="61">
        <f>(B35-D35)*Interest_rate/(1-(1+Interest_rate)^-C35)+D35*Interest_rate</f>
        <v>1123.8225088778909</v>
      </c>
      <c r="G35" s="61">
        <f>E35*F35</f>
        <v>561.91125443894543</v>
      </c>
      <c r="H35" s="64">
        <f>0.05*(B35+D35)/2</f>
        <v>303.75</v>
      </c>
      <c r="J35" s="35">
        <f t="shared" si="0"/>
        <v>28.46153846153846</v>
      </c>
      <c r="K35" s="36">
        <v>740</v>
      </c>
      <c r="L35" s="37">
        <v>11.894032688965183</v>
      </c>
      <c r="M35" s="37">
        <v>12.202104886053695</v>
      </c>
      <c r="N35" s="37">
        <v>12.512266088289904</v>
      </c>
      <c r="O35" s="37">
        <v>12.824494133738231</v>
      </c>
      <c r="P35" s="37">
        <v>13.138766295255465</v>
      </c>
      <c r="Q35" s="37">
        <v>13.455059319295591</v>
      </c>
      <c r="R35" s="37">
        <v>13.773349464420166</v>
      </c>
      <c r="S35" s="37">
        <v>14.093612539424043</v>
      </c>
      <c r="T35" s="37">
        <v>14.415823940989704</v>
      </c>
      <c r="U35" s="37">
        <v>14.739958690790981</v>
      </c>
      <c r="V35" s="37">
        <v>15.065991471971092</v>
      </c>
      <c r="W35" s="37">
        <v>15.393896664927208</v>
      </c>
      <c r="X35" s="38">
        <v>15.723648382338304</v>
      </c>
      <c r="Y35" s="39">
        <f>'Inputs and summary'!$B$2</f>
        <v>12.5</v>
      </c>
      <c r="Z35" s="40" cm="1">
        <f t="array" ref="Z35">INDEX($L$3:$X$148, ROW()-ROW(L$3)+1, _xlfn.XMATCH('Inputs and summary'!$B$3, Model!L$2:X$2, 0))</f>
        <v>15.065991471971092</v>
      </c>
    </row>
    <row r="36" spans="1:26" x14ac:dyDescent="0.25">
      <c r="A36" s="54" t="s">
        <v>10</v>
      </c>
      <c r="B36" s="61">
        <f>Truck_price</f>
        <v>50000</v>
      </c>
      <c r="C36" s="62">
        <f>pump_and_transfer_lifespan</f>
        <v>10</v>
      </c>
      <c r="D36" s="61">
        <f>0.3*B36</f>
        <v>15000</v>
      </c>
      <c r="E36" s="63">
        <f>truck_use_perc</f>
        <v>0.25</v>
      </c>
      <c r="F36" s="61">
        <f>(B36-D36)*Interest_rate/(1-(1+Interest_rate)^-C36)+D36*Interest_rate</f>
        <v>6416.0321043976373</v>
      </c>
      <c r="G36" s="61">
        <f>E36*F36</f>
        <v>1604.0080260994093</v>
      </c>
      <c r="H36" s="64">
        <f>E36*0.05*(B36+D36)/2</f>
        <v>406.25</v>
      </c>
      <c r="I36" s="25">
        <f>H36*2</f>
        <v>812.5</v>
      </c>
      <c r="J36" s="35">
        <f t="shared" si="0"/>
        <v>29.23076923076923</v>
      </c>
      <c r="K36" s="36">
        <v>760</v>
      </c>
      <c r="L36" s="37">
        <v>11.693614573225808</v>
      </c>
      <c r="M36" s="37">
        <v>11.993713097682589</v>
      </c>
      <c r="N36" s="37">
        <v>12.295822545055776</v>
      </c>
      <c r="O36" s="37">
        <v>12.599921780110442</v>
      </c>
      <c r="P36" s="37">
        <v>12.905989143147902</v>
      </c>
      <c r="Q36" s="37">
        <v>13.214002485838487</v>
      </c>
      <c r="R36" s="37">
        <v>13.523939206766803</v>
      </c>
      <c r="S36" s="37">
        <v>13.835776286609978</v>
      </c>
      <c r="T36" s="37">
        <v>14.149490322872143</v>
      </c>
      <c r="U36" s="37">
        <v>14.465057564105361</v>
      </c>
      <c r="V36" s="37">
        <v>14.782453943550639</v>
      </c>
      <c r="W36" s="37">
        <v>15.101655112139241</v>
      </c>
      <c r="X36" s="38">
        <v>15.422636470798491</v>
      </c>
      <c r="Y36" s="39">
        <f>'Inputs and summary'!$B$2</f>
        <v>12.5</v>
      </c>
      <c r="Z36" s="40" cm="1">
        <f t="array" ref="Z36">INDEX($L$3:$X$148, ROW()-ROW(L$3)+1, _xlfn.XMATCH('Inputs and summary'!$B$3, Model!L$2:X$2, 0))</f>
        <v>14.782453943550639</v>
      </c>
    </row>
    <row r="37" spans="1:26" ht="15.75" thickBot="1" x14ac:dyDescent="0.3">
      <c r="A37" s="55" t="s">
        <v>29</v>
      </c>
      <c r="B37" s="65">
        <f>Pump_and_transfer_system_price</f>
        <v>1000</v>
      </c>
      <c r="C37" s="66">
        <f>Batteries_lifespan</f>
        <v>10</v>
      </c>
      <c r="D37" s="65">
        <f>0.3*B37</f>
        <v>300</v>
      </c>
      <c r="E37" s="67">
        <f>pump_use_perc</f>
        <v>1</v>
      </c>
      <c r="F37" s="65">
        <f>(B37-D37)*Interest_rate/(1-(1+Interest_rate)^-C37)+D37*Interest_rate</f>
        <v>128.32064208795276</v>
      </c>
      <c r="G37" s="65">
        <f>E37*F37</f>
        <v>128.32064208795276</v>
      </c>
      <c r="H37" s="68">
        <f>Pump_maintenance</f>
        <v>97.5</v>
      </c>
      <c r="J37" s="35">
        <f t="shared" si="0"/>
        <v>30</v>
      </c>
      <c r="K37" s="36">
        <v>780</v>
      </c>
      <c r="L37" s="37">
        <v>11.503496348643671</v>
      </c>
      <c r="M37" s="37">
        <v>11.796037889969533</v>
      </c>
      <c r="N37" s="37">
        <v>12.090517375751169</v>
      </c>
      <c r="O37" s="37">
        <v>12.386914610241741</v>
      </c>
      <c r="P37" s="37">
        <v>12.685208909418554</v>
      </c>
      <c r="Q37" s="37">
        <v>12.985379134221189</v>
      </c>
      <c r="R37" s="37">
        <v>13.287403723509835</v>
      </c>
      <c r="S37" s="37">
        <v>13.591260726673019</v>
      </c>
      <c r="T37" s="37">
        <v>13.89692783581625</v>
      </c>
      <c r="U37" s="37">
        <v>14.204382417469525</v>
      </c>
      <c r="V37" s="37">
        <v>14.513601543754522</v>
      </c>
      <c r="W37" s="37">
        <v>14.82456202295827</v>
      </c>
      <c r="X37" s="38">
        <v>15.13724042946359</v>
      </c>
      <c r="Y37" s="39">
        <f>'Inputs and summary'!$B$2</f>
        <v>12.5</v>
      </c>
      <c r="Z37" s="40" cm="1">
        <f t="array" ref="Z37">INDEX($L$3:$X$148, ROW()-ROW(L$3)+1, _xlfn.XMATCH('Inputs and summary'!$B$3, Model!L$2:X$2, 0))</f>
        <v>14.513601543754522</v>
      </c>
    </row>
    <row r="38" spans="1:26" x14ac:dyDescent="0.25">
      <c r="J38" s="35">
        <f t="shared" si="0"/>
        <v>30.76923076923077</v>
      </c>
      <c r="K38" s="36">
        <v>800</v>
      </c>
      <c r="L38" s="37">
        <v>11.322903921521219</v>
      </c>
      <c r="M38" s="37">
        <v>11.60827335646422</v>
      </c>
      <c r="N38" s="37">
        <v>11.895512402123641</v>
      </c>
      <c r="O38" s="37">
        <v>12.184601725233788</v>
      </c>
      <c r="P38" s="37">
        <v>12.475521536503503</v>
      </c>
      <c r="Q38" s="37">
        <v>12.768251621577665</v>
      </c>
      <c r="R38" s="37">
        <v>13.062771371726992</v>
      </c>
      <c r="S38" s="37">
        <v>13.359059814202558</v>
      </c>
      <c r="T38" s="37">
        <v>13.657095642193534</v>
      </c>
      <c r="U38" s="37">
        <v>13.956857244332308</v>
      </c>
      <c r="V38" s="37">
        <v>14.25832273369387</v>
      </c>
      <c r="W38" s="37">
        <v>14.561469976241689</v>
      </c>
      <c r="X38" s="38">
        <v>14.866276618675439</v>
      </c>
      <c r="Y38" s="39">
        <f>'Inputs and summary'!$B$2</f>
        <v>12.5</v>
      </c>
      <c r="Z38" s="40" cm="1">
        <f t="array" ref="Z38">INDEX($L$3:$X$148, ROW()-ROW(L$3)+1, _xlfn.XMATCH('Inputs and summary'!$B$3, Model!L$2:X$2, 0))</f>
        <v>14.25832273369387</v>
      </c>
    </row>
    <row r="39" spans="1:26" ht="15.75" thickBot="1" x14ac:dyDescent="0.3">
      <c r="B39" s="48"/>
      <c r="F39" s="48"/>
      <c r="J39" s="35">
        <f t="shared" si="0"/>
        <v>31.53846153846154</v>
      </c>
      <c r="K39" s="36">
        <v>820</v>
      </c>
      <c r="L39" s="37">
        <v>11.151138870851941</v>
      </c>
      <c r="M39" s="37">
        <v>11.429692419568566</v>
      </c>
      <c r="N39" s="37">
        <v>11.71005148251098</v>
      </c>
      <c r="O39" s="37">
        <v>11.992197520622801</v>
      </c>
      <c r="P39" s="37">
        <v>12.276111567657665</v>
      </c>
      <c r="Q39" s="37">
        <v>12.561774259133303</v>
      </c>
      <c r="R39" s="37">
        <v>12.849165861022328</v>
      </c>
      <c r="S39" s="37">
        <v>13.138266298122161</v>
      </c>
      <c r="T39" s="37">
        <v>13.429055182048243</v>
      </c>
      <c r="U39" s="37">
        <v>13.721511838800094</v>
      </c>
      <c r="V39" s="37">
        <v>14.015615335851987</v>
      </c>
      <c r="W39" s="37">
        <v>14.31134450872514</v>
      </c>
      <c r="X39" s="38">
        <v>14.608677987000821</v>
      </c>
      <c r="Y39" s="39">
        <f>'Inputs and summary'!$B$2</f>
        <v>12.5</v>
      </c>
      <c r="Z39" s="40" cm="1">
        <f t="array" ref="Z39">INDEX($L$3:$X$148, ROW()-ROW(L$3)+1, _xlfn.XMATCH('Inputs and summary'!$B$3, Model!L$2:X$2, 0))</f>
        <v>14.015615335851987</v>
      </c>
    </row>
    <row r="40" spans="1:26" ht="22.5" x14ac:dyDescent="0.25">
      <c r="A40" s="41"/>
      <c r="B40" s="49" t="s">
        <v>1</v>
      </c>
      <c r="C40" s="59" t="s">
        <v>37</v>
      </c>
      <c r="D40" s="49" t="s">
        <v>3</v>
      </c>
      <c r="E40" s="59" t="s">
        <v>5</v>
      </c>
      <c r="F40" s="59" t="s">
        <v>38</v>
      </c>
      <c r="G40" s="60" t="s">
        <v>11</v>
      </c>
      <c r="J40" s="35">
        <f t="shared" si="0"/>
        <v>32.307692307692307</v>
      </c>
      <c r="K40" s="36">
        <v>840</v>
      </c>
      <c r="L40" s="37">
        <v>10.987569422226235</v>
      </c>
      <c r="M40" s="37">
        <v>11.25963742273353</v>
      </c>
      <c r="N40" s="37">
        <v>11.533450715461475</v>
      </c>
      <c r="O40" s="37">
        <v>11.808991494802381</v>
      </c>
      <c r="P40" s="37">
        <v>12.086241553822216</v>
      </c>
      <c r="Q40" s="37">
        <v>12.365182311436467</v>
      </c>
      <c r="R40" s="37">
        <v>12.645794839331179</v>
      </c>
      <c r="S40" s="37">
        <v>12.928059888576668</v>
      </c>
      <c r="T40" s="37">
        <v>13.211957915882813</v>
      </c>
      <c r="U40" s="37">
        <v>13.497469109449993</v>
      </c>
      <c r="V40" s="37">
        <v>13.784573414371526</v>
      </c>
      <c r="W40" s="37">
        <v>14.073250557548395</v>
      </c>
      <c r="X40" s="38">
        <v>14.363480072079167</v>
      </c>
      <c r="Y40" s="39">
        <f>'Inputs and summary'!$B$2</f>
        <v>12.5</v>
      </c>
      <c r="Z40" s="40" cm="1">
        <f t="array" ref="Z40">INDEX($L$3:$X$148, ROW()-ROW(L$3)+1, _xlfn.XMATCH('Inputs and summary'!$B$3, Model!L$2:X$2, 0))</f>
        <v>13.784573414371526</v>
      </c>
    </row>
    <row r="41" spans="1:26" x14ac:dyDescent="0.25">
      <c r="A41" s="54" t="s">
        <v>39</v>
      </c>
      <c r="B41" s="69">
        <f>Extra_batteries_price</f>
        <v>2500</v>
      </c>
      <c r="C41" s="70">
        <f>battery_lifespan</f>
        <v>5</v>
      </c>
      <c r="D41" s="69">
        <f>Battery_salvage_value</f>
        <v>500</v>
      </c>
      <c r="E41" s="69">
        <f>(Extra_batteries_price-Battery_salvage_value)*Interest_rate/(1-(1+Interest_rate)^-battery_lifespan)+Battery_salvage_value*Interest_rate</f>
        <v>540.912909133673</v>
      </c>
      <c r="F41" s="69">
        <f>(Capital_recovery__total_year*battery_lifespan-Extra_batteries_price)/battery_lifespan</f>
        <v>40.912909133673018</v>
      </c>
      <c r="G41" s="71">
        <f>IF((battery_lifespan*charge_cycles_a_year/(N_of_batteries_included_with_drone))&gt;Charges_of_lifespan__batteries,(Extra_batteries_price-Battery_salvage_value)/Charges_of_lifespan__batteries,(E41-F41/C41)/(B8/(N_of_batteries_included_with_drone)))</f>
        <v>10.388241382485299</v>
      </c>
      <c r="J41" s="35">
        <f t="shared" si="0"/>
        <v>33.07692307692308</v>
      </c>
      <c r="K41" s="36">
        <v>860</v>
      </c>
      <c r="L41" s="37">
        <v>10.831622683546462</v>
      </c>
      <c r="M41" s="37">
        <v>11.097512038522552</v>
      </c>
      <c r="N41" s="37">
        <v>11.36509001432632</v>
      </c>
      <c r="O41" s="37">
        <v>11.634339484525407</v>
      </c>
      <c r="P41" s="37">
        <v>11.905242944630038</v>
      </c>
      <c r="Q41" s="37">
        <v>12.177782537686682</v>
      </c>
      <c r="R41" s="37">
        <v>12.451940079625359</v>
      </c>
      <c r="S41" s="37">
        <v>12.727697084312291</v>
      </c>
      <c r="T41" s="37">
        <v>13.005034788260913</v>
      </c>
      <c r="U41" s="37">
        <v>13.283934174958997</v>
      </c>
      <c r="V41" s="37">
        <v>13.564375998771343</v>
      </c>
      <c r="W41" s="37">
        <v>13.846340808381949</v>
      </c>
      <c r="X41" s="38">
        <v>14.129808969741628</v>
      </c>
      <c r="Y41" s="39">
        <f>'Inputs and summary'!$B$2</f>
        <v>12.5</v>
      </c>
      <c r="Z41" s="40" cm="1">
        <f t="array" ref="Z41">INDEX($L$3:$X$148, ROW()-ROW(L$3)+1, _xlfn.XMATCH('Inputs and summary'!$B$3, Model!L$2:X$2, 0))</f>
        <v>13.564375998771343</v>
      </c>
    </row>
    <row r="42" spans="1:26" ht="15.75" thickBot="1" x14ac:dyDescent="0.3">
      <c r="A42" s="55"/>
      <c r="B42" s="72"/>
      <c r="C42" s="73"/>
      <c r="D42" s="72"/>
      <c r="E42" s="72"/>
      <c r="F42" s="72"/>
      <c r="G42" s="74"/>
      <c r="J42" s="35">
        <f t="shared" si="0"/>
        <v>33.846153846153847</v>
      </c>
      <c r="K42" s="36">
        <v>880</v>
      </c>
      <c r="L42" s="37">
        <v>10.682777941446695</v>
      </c>
      <c r="M42" s="37">
        <v>10.942774282716535</v>
      </c>
      <c r="N42" s="37">
        <v>11.204405834099337</v>
      </c>
      <c r="O42" s="37">
        <v>11.467656099691165</v>
      </c>
      <c r="P42" s="37">
        <v>11.732508226526965</v>
      </c>
      <c r="Q42" s="37">
        <v>11.998945028760472</v>
      </c>
      <c r="R42" s="37">
        <v>12.266949011606073</v>
      </c>
      <c r="S42" s="37">
        <v>12.536502394997978</v>
      </c>
      <c r="T42" s="37">
        <v>12.807587136923129</v>
      </c>
      <c r="U42" s="37">
        <v>13.080184956388779</v>
      </c>
      <c r="V42" s="37">
        <v>13.354277355987183</v>
      </c>
      <c r="W42" s="37">
        <v>13.629845644024066</v>
      </c>
      <c r="X42" s="38">
        <v>13.906870956179324</v>
      </c>
      <c r="Y42" s="39">
        <f>'Inputs and summary'!$B$2</f>
        <v>12.5</v>
      </c>
      <c r="Z42" s="40" cm="1">
        <f t="array" ref="Z42">INDEX($L$3:$X$148, ROW()-ROW(L$3)+1, _xlfn.XMATCH('Inputs and summary'!$B$3, Model!L$2:X$2, 0))</f>
        <v>13.354277355987183</v>
      </c>
    </row>
    <row r="43" spans="1:26" x14ac:dyDescent="0.25">
      <c r="A43" s="25" t="s">
        <v>58</v>
      </c>
      <c r="J43" s="35">
        <f t="shared" si="0"/>
        <v>34.615384615384613</v>
      </c>
      <c r="K43" s="36">
        <v>900</v>
      </c>
      <c r="L43" s="37">
        <v>10.540560853126811</v>
      </c>
      <c r="M43" s="37">
        <v>10.794930462020092</v>
      </c>
      <c r="N43" s="37">
        <v>11.050884870768435</v>
      </c>
      <c r="O43" s="37">
        <v>11.308408170248825</v>
      </c>
      <c r="P43" s="37">
        <v>11.567484113276844</v>
      </c>
      <c r="Q43" s="37">
        <v>11.828096137518166</v>
      </c>
      <c r="R43" s="37">
        <v>12.090227388170184</v>
      </c>
      <c r="S43" s="37">
        <v>12.353860740372173</v>
      </c>
      <c r="T43" s="37">
        <v>12.618978821303376</v>
      </c>
      <c r="U43" s="37">
        <v>12.885564031932612</v>
      </c>
      <c r="V43" s="37">
        <v>13.153598568384497</v>
      </c>
      <c r="W43" s="37">
        <v>13.423064442891141</v>
      </c>
      <c r="X43" s="38">
        <v>13.693943504300067</v>
      </c>
      <c r="Y43" s="39">
        <f>'Inputs and summary'!$B$2</f>
        <v>12.5</v>
      </c>
      <c r="Z43" s="40" cm="1">
        <f t="array" ref="Z43">INDEX($L$3:$X$148, ROW()-ROW(L$3)+1, _xlfn.XMATCH('Inputs and summary'!$B$3, Model!L$2:X$2, 0))</f>
        <v>13.153598568384497</v>
      </c>
    </row>
    <row r="44" spans="1:26" x14ac:dyDescent="0.25">
      <c r="J44" s="35">
        <f t="shared" si="0"/>
        <v>35.384615384615387</v>
      </c>
      <c r="K44" s="36">
        <v>920</v>
      </c>
      <c r="L44" s="37">
        <v>10.404538397105764</v>
      </c>
      <c r="M44" s="37">
        <v>10.653529912983672</v>
      </c>
      <c r="N44" s="37">
        <v>10.904058584784474</v>
      </c>
      <c r="O44" s="37">
        <v>11.156109050701255</v>
      </c>
      <c r="P44" s="37">
        <v>11.409665628106108</v>
      </c>
      <c r="Q44" s="37">
        <v>11.664712335319239</v>
      </c>
      <c r="R44" s="37">
        <v>11.921232913156137</v>
      </c>
      <c r="S44" s="37">
        <v>12.179210846213833</v>
      </c>
      <c r="T44" s="37">
        <v>12.438629383858183</v>
      </c>
      <c r="U44" s="37">
        <v>12.699471560878138</v>
      </c>
      <c r="V44" s="37">
        <v>12.961720217774188</v>
      </c>
      <c r="W44" s="37">
        <v>13.225358020651946</v>
      </c>
      <c r="X44" s="38">
        <v>13.490367480693415</v>
      </c>
      <c r="Y44" s="39">
        <f>'Inputs and summary'!$B$2</f>
        <v>12.5</v>
      </c>
      <c r="Z44" s="40" cm="1">
        <f t="array" ref="Z44">INDEX($L$3:$X$148, ROW()-ROW(L$3)+1, _xlfn.XMATCH('Inputs and summary'!$B$3, Model!L$2:X$2, 0))</f>
        <v>12.961720217774188</v>
      </c>
    </row>
    <row r="45" spans="1:26" x14ac:dyDescent="0.25">
      <c r="J45" s="35">
        <f t="shared" si="0"/>
        <v>36.153846153846153</v>
      </c>
      <c r="K45" s="36">
        <v>940</v>
      </c>
      <c r="L45" s="37">
        <v>10.274314469671108</v>
      </c>
      <c r="M45" s="37">
        <v>10.518160414043745</v>
      </c>
      <c r="N45" s="37">
        <v>10.763498425577811</v>
      </c>
      <c r="O45" s="37">
        <v>11.010313654074867</v>
      </c>
      <c r="P45" s="37">
        <v>11.258590944201286</v>
      </c>
      <c r="Q45" s="37">
        <v>11.508314856224647</v>
      </c>
      <c r="R45" s="37">
        <v>11.759469686535816</v>
      </c>
      <c r="S45" s="37">
        <v>12.012039487920102</v>
      </c>
      <c r="T45" s="37">
        <v>12.266008089541568</v>
      </c>
      <c r="U45" s="37">
        <v>12.521359116608473</v>
      </c>
      <c r="V45" s="37">
        <v>12.778076009688927</v>
      </c>
      <c r="W45" s="37">
        <v>13.036142043649477</v>
      </c>
      <c r="X45" s="38">
        <v>13.295540346190736</v>
      </c>
      <c r="Y45" s="39">
        <f>'Inputs and summary'!$B$2</f>
        <v>12.5</v>
      </c>
      <c r="Z45" s="40" cm="1">
        <f t="array" ref="Z45">INDEX($L$3:$X$148, ROW()-ROW(L$3)+1, _xlfn.XMATCH('Inputs and summary'!$B$3, Model!L$2:X$2, 0))</f>
        <v>12.778076009688927</v>
      </c>
    </row>
    <row r="46" spans="1:26" x14ac:dyDescent="0.25">
      <c r="J46" s="35">
        <f t="shared" si="0"/>
        <v>36.92307692307692</v>
      </c>
      <c r="K46" s="36">
        <v>960</v>
      </c>
      <c r="L46" s="37">
        <v>10.149526032703427</v>
      </c>
      <c r="M46" s="37">
        <v>10.388444172307665</v>
      </c>
      <c r="N46" s="37">
        <v>10.628811654617019</v>
      </c>
      <c r="O46" s="37">
        <v>10.870614108641652</v>
      </c>
      <c r="P46" s="37">
        <v>11.113836872564805</v>
      </c>
      <c r="Q46" s="37">
        <v>11.3584650135423</v>
      </c>
      <c r="R46" s="37">
        <v>11.604483347295062</v>
      </c>
      <c r="S46" s="37">
        <v>11.851876457460142</v>
      </c>
      <c r="T46" s="37">
        <v>12.100628714666131</v>
      </c>
      <c r="U46" s="37">
        <v>12.35072429530274</v>
      </c>
      <c r="V46" s="37">
        <v>12.602147199955253</v>
      </c>
      <c r="W46" s="37">
        <v>12.854881271478089</v>
      </c>
      <c r="X46" s="38">
        <v>13.108910212682943</v>
      </c>
      <c r="Y46" s="39">
        <f>'Inputs and summary'!$B$2</f>
        <v>12.5</v>
      </c>
      <c r="Z46" s="40" cm="1">
        <f t="array" ref="Z46">INDEX($L$3:$X$148, ROW()-ROW(L$3)+1, _xlfn.XMATCH('Inputs and summary'!$B$3, Model!L$2:X$2, 0))</f>
        <v>12.602147199955253</v>
      </c>
    </row>
    <row r="47" spans="1:26" x14ac:dyDescent="0.25">
      <c r="J47" s="35">
        <f t="shared" si="0"/>
        <v>37.692307692307693</v>
      </c>
      <c r="K47" s="36">
        <v>980</v>
      </c>
      <c r="L47" s="37">
        <v>10.029839733978628</v>
      </c>
      <c r="M47" s="37">
        <v>10.264034302803923</v>
      </c>
      <c r="N47" s="37">
        <v>10.499637681282334</v>
      </c>
      <c r="O47" s="37">
        <v>10.736635948154493</v>
      </c>
      <c r="P47" s="37">
        <v>10.975014904418501</v>
      </c>
      <c r="Q47" s="37">
        <v>11.214760092276544</v>
      </c>
      <c r="R47" s="37">
        <v>11.455856813881633</v>
      </c>
      <c r="S47" s="37">
        <v>11.698290149851664</v>
      </c>
      <c r="T47" s="37">
        <v>11.942044977518352</v>
      </c>
      <c r="U47" s="37">
        <v>12.187105988882372</v>
      </c>
      <c r="V47" s="37">
        <v>12.433457708246818</v>
      </c>
      <c r="W47" s="37">
        <v>12.68108450950454</v>
      </c>
      <c r="X47" s="38">
        <v>12.929970633056044</v>
      </c>
      <c r="Y47" s="39">
        <f>'Inputs and summary'!$B$2</f>
        <v>12.5</v>
      </c>
      <c r="Z47" s="40" cm="1">
        <f t="array" ref="Z47">INDEX($L$3:$X$148, ROW()-ROW(L$3)+1, _xlfn.XMATCH('Inputs and summary'!$B$3, Model!L$2:X$2, 0))</f>
        <v>12.433457708246818</v>
      </c>
    </row>
    <row r="48" spans="1:26" x14ac:dyDescent="0.25">
      <c r="J48" s="35">
        <f t="shared" si="0"/>
        <v>38.46153846153846</v>
      </c>
      <c r="K48" s="36">
        <v>1000</v>
      </c>
      <c r="L48" s="37">
        <v>9.9149489336946246</v>
      </c>
      <c r="M48" s="37">
        <v>10.144611731110015</v>
      </c>
      <c r="N48" s="37">
        <v>10.375644839576818</v>
      </c>
      <c r="O48" s="37">
        <v>10.608034760677082</v>
      </c>
      <c r="P48" s="37">
        <v>10.841767730244499</v>
      </c>
      <c r="Q48" s="37">
        <v>11.076829736532126</v>
      </c>
      <c r="R48" s="37">
        <v>11.313206538187028</v>
      </c>
      <c r="S48" s="37">
        <v>11.550883682000499</v>
      </c>
      <c r="T48" s="37">
        <v>11.789846520403</v>
      </c>
      <c r="U48" s="37">
        <v>12.030080228676402</v>
      </c>
      <c r="V48" s="37">
        <v>12.271569821856968</v>
      </c>
      <c r="W48" s="37">
        <v>12.514300171305694</v>
      </c>
      <c r="X48" s="38">
        <v>12.758256020923906</v>
      </c>
      <c r="Y48" s="39">
        <f>'Inputs and summary'!$B$2</f>
        <v>12.5</v>
      </c>
      <c r="Z48" s="40" cm="1">
        <f t="array" ref="Z48">INDEX($L$3:$X$148, ROW()-ROW(L$3)+1, _xlfn.XMATCH('Inputs and summary'!$B$3, Model!L$2:X$2, 0))</f>
        <v>12.271569821856968</v>
      </c>
    </row>
    <row r="49" spans="10:26" x14ac:dyDescent="0.25">
      <c r="J49" s="35">
        <f t="shared" si="0"/>
        <v>39.230769230769234</v>
      </c>
      <c r="K49" s="36">
        <v>1020</v>
      </c>
      <c r="L49" s="37">
        <v>9.804571081377949</v>
      </c>
      <c r="M49" s="37">
        <v>10.029882461129045</v>
      </c>
      <c r="N49" s="37">
        <v>10.25652754501651</v>
      </c>
      <c r="O49" s="37">
        <v>10.484493232875984</v>
      </c>
      <c r="P49" s="37">
        <v>10.713766169815418</v>
      </c>
      <c r="Q49" s="37">
        <v>10.944332763669204</v>
      </c>
      <c r="R49" s="37">
        <v>11.176179202265729</v>
      </c>
      <c r="S49" s="37">
        <v>11.409291470478374</v>
      </c>
      <c r="T49" s="37">
        <v>11.64365536703035</v>
      </c>
      <c r="U49" s="37">
        <v>11.879256521027161</v>
      </c>
      <c r="V49" s="37">
        <v>12.116080408191248</v>
      </c>
      <c r="W49" s="37">
        <v>12.354112366776491</v>
      </c>
      <c r="X49" s="38">
        <v>12.593337613141316</v>
      </c>
      <c r="Y49" s="39">
        <f>'Inputs and summary'!$B$2</f>
        <v>12.5</v>
      </c>
      <c r="Z49" s="40" cm="1">
        <f t="array" ref="Z49">INDEX($L$3:$X$148, ROW()-ROW(L$3)+1, _xlfn.XMATCH('Inputs and summary'!$B$3, Model!L$2:X$2, 0))</f>
        <v>12.116080408191248</v>
      </c>
    </row>
    <row r="50" spans="10:26" x14ac:dyDescent="0.25">
      <c r="J50" s="35">
        <f t="shared" si="0"/>
        <v>40</v>
      </c>
      <c r="K50" s="36">
        <v>1040</v>
      </c>
      <c r="L50" s="37">
        <v>9.6984453959304187</v>
      </c>
      <c r="M50" s="37">
        <v>9.9195751587622016</v>
      </c>
      <c r="N50" s="37">
        <v>10.142003780395394</v>
      </c>
      <c r="O50" s="37">
        <v>10.365718536382879</v>
      </c>
      <c r="P50" s="37">
        <v>10.590706457699024</v>
      </c>
      <c r="Q50" s="37">
        <v>10.816954347538154</v>
      </c>
      <c r="R50" s="37">
        <v>11.044448797932615</v>
      </c>
      <c r="S50" s="37">
        <v>11.273176206161713</v>
      </c>
      <c r="T50" s="37">
        <v>11.503122790923021</v>
      </c>
      <c r="U50" s="37">
        <v>11.734274608240927</v>
      </c>
      <c r="V50" s="37">
        <v>11.966617567087971</v>
      </c>
      <c r="W50" s="37">
        <v>12.200137444697525</v>
      </c>
      <c r="X50" s="38">
        <v>12.434819901547446</v>
      </c>
      <c r="Y50" s="39">
        <f>'Inputs and summary'!$B$2</f>
        <v>12.5</v>
      </c>
      <c r="Z50" s="40" cm="1">
        <f t="array" ref="Z50">INDEX($L$3:$X$148, ROW()-ROW(L$3)+1, _xlfn.XMATCH('Inputs and summary'!$B$3, Model!L$2:X$2, 0))</f>
        <v>11.966617567087971</v>
      </c>
    </row>
    <row r="51" spans="10:26" x14ac:dyDescent="0.25">
      <c r="J51" s="35">
        <f t="shared" si="0"/>
        <v>40.769230769230766</v>
      </c>
      <c r="K51" s="36">
        <v>1060</v>
      </c>
      <c r="L51" s="37">
        <v>9.5963308087173331</v>
      </c>
      <c r="M51" s="37">
        <v>9.8134390096729138</v>
      </c>
      <c r="N51" s="37">
        <v>10.031812866883561</v>
      </c>
      <c r="O51" s="37">
        <v>10.251440010916937</v>
      </c>
      <c r="P51" s="37">
        <v>10.47230783712941</v>
      </c>
      <c r="Q51" s="37">
        <v>10.694403521860352</v>
      </c>
      <c r="R51" s="37">
        <v>10.917714038451905</v>
      </c>
      <c r="S51" s="37">
        <v>11.142226173066664</v>
      </c>
      <c r="T51" s="37">
        <v>11.367926540275672</v>
      </c>
      <c r="U51" s="37">
        <v>11.594801598392667</v>
      </c>
      <c r="V51" s="37">
        <v>11.82283766453093</v>
      </c>
      <c r="W51" s="37">
        <v>12.052020929362159</v>
      </c>
      <c r="X51" s="38">
        <v>12.282337471557675</v>
      </c>
      <c r="Y51" s="39">
        <f>'Inputs and summary'!$B$2</f>
        <v>12.5</v>
      </c>
      <c r="Z51" s="40" cm="1">
        <f t="array" ref="Z51">INDEX($L$3:$X$148, ROW()-ROW(L$3)+1, _xlfn.XMATCH('Inputs and summary'!$B$3, Model!L$2:X$2, 0))</f>
        <v>11.82283766453093</v>
      </c>
    </row>
    <row r="52" spans="10:26" x14ac:dyDescent="0.25">
      <c r="J52" s="35">
        <f t="shared" si="0"/>
        <v>41.53846153846154</v>
      </c>
      <c r="K52" s="36">
        <v>1080</v>
      </c>
      <c r="L52" s="37">
        <v>9.4980041355480012</v>
      </c>
      <c r="M52" s="37">
        <v>9.7112418155436142</v>
      </c>
      <c r="N52" s="37">
        <v>9.9257134833825589</v>
      </c>
      <c r="O52" s="37">
        <v>10.141407105588643</v>
      </c>
      <c r="P52" s="37">
        <v>10.358310422138366</v>
      </c>
      <c r="Q52" s="37">
        <v>10.576410962096952</v>
      </c>
      <c r="R52" s="37">
        <v>10.795696059085518</v>
      </c>
      <c r="S52" s="37">
        <v>11.01615286655267</v>
      </c>
      <c r="T52" s="37">
        <v>11.237768372824007</v>
      </c>
      <c r="U52" s="37">
        <v>11.460529415906215</v>
      </c>
      <c r="V52" s="37">
        <v>11.684422698022928</v>
      </c>
      <c r="W52" s="37">
        <v>11.909434799862504</v>
      </c>
      <c r="X52" s="38">
        <v>12.135552194518713</v>
      </c>
      <c r="Y52" s="39">
        <f>'Inputs and summary'!$B$2</f>
        <v>12.5</v>
      </c>
      <c r="Z52" s="40" cm="1">
        <f t="array" ref="Z52">INDEX($L$3:$X$148, ROW()-ROW(L$3)+1, _xlfn.XMATCH('Inputs and summary'!$B$3, Model!L$2:X$2, 0))</f>
        <v>11.684422698022928</v>
      </c>
    </row>
    <row r="53" spans="10:26" x14ac:dyDescent="0.25">
      <c r="J53" s="35">
        <f t="shared" si="0"/>
        <v>42.307692307692307</v>
      </c>
      <c r="K53" s="36">
        <v>1100</v>
      </c>
      <c r="L53" s="37">
        <v>9.4032584483738617</v>
      </c>
      <c r="M53" s="37">
        <v>9.6127682984137302</v>
      </c>
      <c r="N53" s="37">
        <v>9.8234819024673143</v>
      </c>
      <c r="O53" s="37">
        <v>10.035387545433187</v>
      </c>
      <c r="P53" s="37">
        <v>10.248473293692767</v>
      </c>
      <c r="Q53" s="37">
        <v>10.46272701022917</v>
      </c>
      <c r="R53" s="37">
        <v>10.678136369582564</v>
      </c>
      <c r="S53" s="37">
        <v>10.894688872616173</v>
      </c>
      <c r="T53" s="37">
        <v>11.112371861067253</v>
      </c>
      <c r="U53" s="37">
        <v>11.331172531860489</v>
      </c>
      <c r="V53" s="37">
        <v>11.551077951161728</v>
      </c>
      <c r="W53" s="37">
        <v>11.772075068152841</v>
      </c>
      <c r="X53" s="38">
        <v>11.994150728509268</v>
      </c>
      <c r="Y53" s="39">
        <f>'Inputs and summary'!$B$2</f>
        <v>12.5</v>
      </c>
      <c r="Z53" s="40" cm="1">
        <f t="array" ref="Z53">INDEX($L$3:$X$148, ROW()-ROW(L$3)+1, _xlfn.XMATCH('Inputs and summary'!$B$3, Model!L$2:X$2, 0))</f>
        <v>11.551077951161728</v>
      </c>
    </row>
    <row r="54" spans="10:26" x14ac:dyDescent="0.25">
      <c r="J54" s="35">
        <f t="shared" si="0"/>
        <v>43.07692307692308</v>
      </c>
      <c r="K54" s="36">
        <v>1120</v>
      </c>
      <c r="L54" s="37">
        <v>9.3119016217031714</v>
      </c>
      <c r="M54" s="37">
        <v>9.5178185870400505</v>
      </c>
      <c r="N54" s="37">
        <v>9.7249104157786235</v>
      </c>
      <c r="O54" s="37">
        <v>9.933165694941728</v>
      </c>
      <c r="P54" s="37">
        <v>10.142572800492683</v>
      </c>
      <c r="Q54" s="37">
        <v>10.353119911973817</v>
      </c>
      <c r="R54" s="37">
        <v>10.564795026986602</v>
      </c>
      <c r="S54" s="37">
        <v>10.77758597548833</v>
      </c>
      <c r="T54" s="37">
        <v>10.991480433880403</v>
      </c>
      <c r="U54" s="37">
        <v>11.206465938866396</v>
      </c>
      <c r="V54" s="37">
        <v>11.422529901058459</v>
      </c>
      <c r="W54" s="37">
        <v>11.639659618313432</v>
      </c>
      <c r="X54" s="38">
        <v>11.857842288780812</v>
      </c>
      <c r="Y54" s="39">
        <f>'Inputs and summary'!$B$2</f>
        <v>12.5</v>
      </c>
      <c r="Z54" s="40" cm="1">
        <f t="array" ref="Z54">INDEX($L$3:$X$148, ROW()-ROW(L$3)+1, _xlfn.XMATCH('Inputs and summary'!$B$3, Model!L$2:X$2, 0))</f>
        <v>11.422529901058459</v>
      </c>
    </row>
    <row r="55" spans="10:26" x14ac:dyDescent="0.25">
      <c r="J55" s="35">
        <f t="shared" si="0"/>
        <v>43.846153846153847</v>
      </c>
      <c r="K55" s="36">
        <v>1140</v>
      </c>
      <c r="L55" s="37">
        <v>9.2237550322452577</v>
      </c>
      <c r="M55" s="37">
        <v>9.4262068628846585</v>
      </c>
      <c r="N55" s="37">
        <v>9.6298059255473412</v>
      </c>
      <c r="O55" s="37">
        <v>9.8345410943317777</v>
      </c>
      <c r="P55" s="37">
        <v>10.040401039216318</v>
      </c>
      <c r="Q55" s="37">
        <v>10.247374240250585</v>
      </c>
      <c r="R55" s="37">
        <v>10.455449001593291</v>
      </c>
      <c r="S55" s="37">
        <v>10.664613465372172</v>
      </c>
      <c r="T55" s="37">
        <v>10.874855625341842</v>
      </c>
      <c r="U55" s="37">
        <v>11.086163340318254</v>
      </c>
      <c r="V55" s="37">
        <v>11.298524347369055</v>
      </c>
      <c r="W55" s="37">
        <v>11.511926274741654</v>
      </c>
      <c r="X55" s="38">
        <v>11.726356654511708</v>
      </c>
      <c r="Y55" s="39">
        <f>'Inputs and summary'!$B$2</f>
        <v>12.5</v>
      </c>
      <c r="Z55" s="40" cm="1">
        <f t="array" ref="Z55">INDEX($L$3:$X$148, ROW()-ROW(L$3)+1, _xlfn.XMATCH('Inputs and summary'!$B$3, Model!L$2:X$2, 0))</f>
        <v>11.298524347369055</v>
      </c>
    </row>
    <row r="56" spans="10:26" x14ac:dyDescent="0.25">
      <c r="J56" s="35">
        <f t="shared" si="0"/>
        <v>44.615384615384613</v>
      </c>
      <c r="K56" s="36">
        <v>1160</v>
      </c>
      <c r="L56" s="37">
        <v>9.138652393265069</v>
      </c>
      <c r="M56" s="37">
        <v>9.3377601464300657</v>
      </c>
      <c r="N56" s="37">
        <v>9.5379886821548734</v>
      </c>
      <c r="O56" s="37">
        <v>9.7393271476527801</v>
      </c>
      <c r="P56" s="37">
        <v>9.9417644924863282</v>
      </c>
      <c r="Q56" s="37">
        <v>10.145289482341488</v>
      </c>
      <c r="R56" s="37">
        <v>10.349890712652833</v>
      </c>
      <c r="S56" s="37">
        <v>10.555556622056148</v>
      </c>
      <c r="T56" s="37">
        <v>10.762275505644812</v>
      </c>
      <c r="U56" s="37">
        <v>10.970035528009353</v>
      </c>
      <c r="V56" s="37">
        <v>11.178824736039873</v>
      </c>
      <c r="W56" s="37">
        <v>11.388631071473757</v>
      </c>
      <c r="X56" s="38">
        <v>11.59944238317178</v>
      </c>
      <c r="Y56" s="39">
        <f>'Inputs and summary'!$B$2</f>
        <v>12.5</v>
      </c>
      <c r="Z56" s="40" cm="1">
        <f t="array" ref="Z56">INDEX($L$3:$X$148, ROW()-ROW(L$3)+1, _xlfn.XMATCH('Inputs and summary'!$B$3, Model!L$2:X$2, 0))</f>
        <v>11.178824736039873</v>
      </c>
    </row>
    <row r="57" spans="10:26" x14ac:dyDescent="0.25">
      <c r="J57" s="35">
        <f t="shared" si="0"/>
        <v>45.384615384615387</v>
      </c>
      <c r="K57" s="36">
        <v>1180</v>
      </c>
      <c r="L57" s="37">
        <v>9.0564387076433022</v>
      </c>
      <c r="M57" s="37">
        <v>9.2523172071428466</v>
      </c>
      <c r="N57" s="37">
        <v>9.4492911503653048</v>
      </c>
      <c r="O57" s="37">
        <v>9.6473499446647715</v>
      </c>
      <c r="P57" s="37">
        <v>9.8464828057868097</v>
      </c>
      <c r="Q57" s="37">
        <v>10.046678771252443</v>
      </c>
      <c r="R57" s="37">
        <v>10.247926713597591</v>
      </c>
      <c r="S57" s="37">
        <v>10.450215353444833</v>
      </c>
      <c r="T57" s="37">
        <v>10.653533272384628</v>
      </c>
      <c r="U57" s="37">
        <v>10.857868925645759</v>
      </c>
      <c r="V57" s="37">
        <v>11.0632106545353</v>
      </c>
      <c r="W57" s="37">
        <v>11.26954669863094</v>
      </c>
      <c r="X57" s="38">
        <v>11.476865207709199</v>
      </c>
      <c r="Y57" s="39">
        <f>'Inputs and summary'!$B$2</f>
        <v>12.5</v>
      </c>
      <c r="Z57" s="40" cm="1">
        <f t="array" ref="Z57">INDEX($L$3:$X$148, ROW()-ROW(L$3)+1, _xlfn.XMATCH('Inputs and summary'!$B$3, Model!L$2:X$2, 0))</f>
        <v>11.0632106545353</v>
      </c>
    </row>
    <row r="58" spans="10:26" x14ac:dyDescent="0.25">
      <c r="J58" s="35">
        <f t="shared" si="0"/>
        <v>46.153846153846153</v>
      </c>
      <c r="K58" s="36">
        <v>1200</v>
      </c>
      <c r="L58" s="37">
        <v>8.9769693257743004</v>
      </c>
      <c r="M58" s="37">
        <v>9.1697275826346925</v>
      </c>
      <c r="N58" s="37">
        <v>9.3635569891847759</v>
      </c>
      <c r="O58" s="37">
        <v>9.5584472008424797</v>
      </c>
      <c r="P58" s="37">
        <v>9.7543876870704516</v>
      </c>
      <c r="Q58" s="37">
        <v>9.951367744394453</v>
      </c>
      <c r="R58" s="37">
        <v>10.149376509281304</v>
      </c>
      <c r="S58" s="37">
        <v>10.348402970853961</v>
      </c>
      <c r="T58" s="37">
        <v>10.548435983421273</v>
      </c>
      <c r="U58" s="37">
        <v>10.74946427880276</v>
      </c>
      <c r="V58" s="37">
        <v>10.951476478429164</v>
      </c>
      <c r="W58" s="37">
        <v>11.154461105201989</v>
      </c>
      <c r="X58" s="38">
        <v>11.358406595096014</v>
      </c>
      <c r="Y58" s="39">
        <f>'Inputs and summary'!$B$2</f>
        <v>12.5</v>
      </c>
      <c r="Z58" s="40" cm="1">
        <f t="array" ref="Z58">INDEX($L$3:$X$148, ROW()-ROW(L$3)+1, _xlfn.XMATCH('Inputs and summary'!$B$3, Model!L$2:X$2, 0))</f>
        <v>10.951476478429164</v>
      </c>
    </row>
    <row r="59" spans="10:26" x14ac:dyDescent="0.25">
      <c r="J59" s="35">
        <f t="shared" si="0"/>
        <v>46.92307692307692</v>
      </c>
      <c r="K59" s="36">
        <v>1220</v>
      </c>
      <c r="L59" s="37">
        <v>8.9001090962550098</v>
      </c>
      <c r="M59" s="37">
        <v>9.0898506944683533</v>
      </c>
      <c r="N59" s="37">
        <v>9.2806401322808885</v>
      </c>
      <c r="O59" s="37">
        <v>9.4724673019145023</v>
      </c>
      <c r="P59" s="37">
        <v>9.6653219149342497</v>
      </c>
      <c r="Q59" s="37">
        <v>9.8591935149234189</v>
      </c>
      <c r="R59" s="37">
        <v>10.054071490022132</v>
      </c>
      <c r="S59" s="37">
        <v>10.249945085307557</v>
      </c>
      <c r="T59" s="37">
        <v>10.446803414993811</v>
      </c>
      <c r="U59" s="37">
        <v>10.644635474432345</v>
      </c>
      <c r="V59" s="37">
        <v>10.843430151893957</v>
      </c>
      <c r="W59" s="37">
        <v>11.043176240116114</v>
      </c>
      <c r="X59" s="38">
        <v>11.243862447599859</v>
      </c>
      <c r="Y59" s="39">
        <f>'Inputs and summary'!$B$2</f>
        <v>12.5</v>
      </c>
      <c r="Z59" s="40" cm="1">
        <f t="array" ref="Z59">INDEX($L$3:$X$148, ROW()-ROW(L$3)+1, _xlfn.XMATCH('Inputs and summary'!$B$3, Model!L$2:X$2, 0))</f>
        <v>10.843430151893957</v>
      </c>
    </row>
    <row r="60" spans="10:26" x14ac:dyDescent="0.25">
      <c r="J60" s="35">
        <f t="shared" si="0"/>
        <v>47.692307692307693</v>
      </c>
      <c r="K60" s="36">
        <v>1240</v>
      </c>
      <c r="L60" s="37">
        <v>8.825731598874702</v>
      </c>
      <c r="M60" s="37">
        <v>9.0125550496783084</v>
      </c>
      <c r="N60" s="37">
        <v>9.2004039575845749</v>
      </c>
      <c r="O60" s="37">
        <v>9.3892684411052603</v>
      </c>
      <c r="P60" s="37">
        <v>9.5791384430694553</v>
      </c>
      <c r="Q60" s="37">
        <v>9.7700037429756428</v>
      </c>
      <c r="R60" s="37">
        <v>9.9618539692110915</v>
      </c>
      <c r="S60" s="37">
        <v>10.154678611117133</v>
      </c>
      <c r="T60" s="37">
        <v>10.348467030878831</v>
      </c>
      <c r="U60" s="37">
        <v>10.543208475220329</v>
      </c>
      <c r="V60" s="37">
        <v>10.738892086887379</v>
      </c>
      <c r="W60" s="37">
        <v>10.935506915901108</v>
      </c>
      <c r="X60" s="38">
        <v>11.133041930567627</v>
      </c>
      <c r="Y60" s="39">
        <f>'Inputs and summary'!$B$2</f>
        <v>12.5</v>
      </c>
      <c r="Z60" s="40" cm="1">
        <f t="array" ref="Z60">INDEX($L$3:$X$148, ROW()-ROW(L$3)+1, _xlfn.XMATCH('Inputs and summary'!$B$3, Model!L$2:X$2, 0))</f>
        <v>10.738892086887379</v>
      </c>
    </row>
    <row r="61" spans="10:26" x14ac:dyDescent="0.25">
      <c r="J61" s="35">
        <f t="shared" si="0"/>
        <v>48.46153846153846</v>
      </c>
      <c r="K61" s="36">
        <v>1260</v>
      </c>
      <c r="L61" s="37">
        <v>8.7537184507490799</v>
      </c>
      <c r="M61" s="37">
        <v>8.9377175184662683</v>
      </c>
      <c r="N61" s="37">
        <v>9.1227205361446089</v>
      </c>
      <c r="O61" s="37">
        <v>9.3087178387535978</v>
      </c>
      <c r="P61" s="37">
        <v>9.4956995902573098</v>
      </c>
      <c r="Q61" s="37">
        <v>9.6836557956620588</v>
      </c>
      <c r="R61" s="37">
        <v>9.8725763129349389</v>
      </c>
      <c r="S61" s="37">
        <v>10.062450864772337</v>
      </c>
      <c r="T61" s="37">
        <v>10.25326905019732</v>
      </c>
      <c r="U61" s="37">
        <v>10.44502035596757</v>
      </c>
      <c r="V61" s="37">
        <v>10.637694167775805</v>
      </c>
      <c r="W61" s="37">
        <v>10.831279781227034</v>
      </c>
      <c r="X61" s="38">
        <v>11.025766412577548</v>
      </c>
      <c r="Y61" s="39">
        <f>'Inputs and summary'!$B$2</f>
        <v>12.5</v>
      </c>
      <c r="Z61" s="40" cm="1">
        <f t="array" ref="Z61">INDEX($L$3:$X$148, ROW()-ROW(L$3)+1, _xlfn.XMATCH('Inputs and summary'!$B$3, Model!L$2:X$2, 0))</f>
        <v>10.637694167775805</v>
      </c>
    </row>
    <row r="62" spans="10:26" x14ac:dyDescent="0.25">
      <c r="J62" s="35">
        <f t="shared" si="0"/>
        <v>49.230769230769234</v>
      </c>
      <c r="K62" s="36">
        <v>1280</v>
      </c>
      <c r="L62" s="37">
        <v>8.6839586775883113</v>
      </c>
      <c r="M62" s="37">
        <v>8.8652226797260756</v>
      </c>
      <c r="N62" s="37">
        <v>9.0474699515486066</v>
      </c>
      <c r="O62" s="37">
        <v>9.230691035275731</v>
      </c>
      <c r="P62" s="37">
        <v>9.4148763065268</v>
      </c>
      <c r="Q62" s="37">
        <v>9.6000159860809298</v>
      </c>
      <c r="R62" s="37">
        <v>9.7861001515115458</v>
      </c>
      <c r="S62" s="37">
        <v>9.9731187486747253</v>
      </c>
      <c r="T62" s="37">
        <v>10.161061603030699</v>
      </c>
      <c r="U62" s="37">
        <v>10.349918430780539</v>
      </c>
      <c r="V62" s="37">
        <v>10.539678849800326</v>
      </c>
      <c r="W62" s="37">
        <v>10.73033239035745</v>
      </c>
      <c r="X62" s="38">
        <v>10.92186850559429</v>
      </c>
      <c r="Y62" s="39">
        <f>'Inputs and summary'!$B$2</f>
        <v>12.5</v>
      </c>
      <c r="Z62" s="40" cm="1">
        <f t="array" ref="Z62">INDEX($L$3:$X$148, ROW()-ROW(L$3)+1, _xlfn.XMATCH('Inputs and summary'!$B$3, Model!L$2:X$2, 0))</f>
        <v>10.539678849800326</v>
      </c>
    </row>
    <row r="63" spans="10:26" x14ac:dyDescent="0.25">
      <c r="J63" s="35">
        <f t="shared" si="0"/>
        <v>50</v>
      </c>
      <c r="K63" s="36">
        <v>1300</v>
      </c>
      <c r="L63" s="37">
        <v>8.6163481430757116</v>
      </c>
      <c r="M63" s="37">
        <v>8.7949622270813581</v>
      </c>
      <c r="N63" s="37">
        <v>8.9745396822956991</v>
      </c>
      <c r="O63" s="37">
        <v>9.1550712495547764</v>
      </c>
      <c r="P63" s="37">
        <v>9.3365475072489659</v>
      </c>
      <c r="Q63" s="37">
        <v>9.518958882811356</v>
      </c>
      <c r="R63" s="37">
        <v>9.7022956640837208</v>
      </c>
      <c r="S63" s="37">
        <v>9.8865480105399399</v>
      </c>
      <c r="T63" s="37">
        <v>10.071705964346641</v>
      </c>
      <c r="U63" s="37">
        <v>10.257759461243431</v>
      </c>
      <c r="V63" s="37">
        <v>10.44469834122534</v>
      </c>
      <c r="W63" s="37">
        <v>10.632512359012464</v>
      </c>
      <c r="X63" s="38">
        <v>10.821191194292263</v>
      </c>
      <c r="Y63" s="39">
        <f>'Inputs and summary'!$B$2</f>
        <v>12.5</v>
      </c>
      <c r="Z63" s="40" cm="1">
        <f t="array" ref="Z63">INDEX($L$3:$X$148, ROW()-ROW(L$3)+1, _xlfn.XMATCH('Inputs and summary'!$B$3, Model!L$2:X$2, 0))</f>
        <v>10.44469834122534</v>
      </c>
    </row>
    <row r="64" spans="10:26" x14ac:dyDescent="0.25">
      <c r="J64" s="35">
        <f t="shared" si="0"/>
        <v>50.769230769230766</v>
      </c>
      <c r="K64" s="36">
        <v>1320</v>
      </c>
      <c r="L64" s="37">
        <v>8.550789030186122</v>
      </c>
      <c r="M64" s="37">
        <v>8.7268344290075746</v>
      </c>
      <c r="N64" s="37">
        <v>8.903824040430754</v>
      </c>
      <c r="O64" s="37">
        <v>9.0817487958008485</v>
      </c>
      <c r="P64" s="37">
        <v>9.2605994679419776</v>
      </c>
      <c r="Q64" s="37">
        <v>9.4403666823880581</v>
      </c>
      <c r="R64" s="37">
        <v>9.6210409284943701</v>
      </c>
      <c r="S64" s="37">
        <v>9.8026125704100533</v>
      </c>
      <c r="T64" s="37">
        <v>9.9850718578916933</v>
      </c>
      <c r="U64" s="37">
        <v>10.168408936940679</v>
      </c>
      <c r="V64" s="37">
        <v>10.352613860247288</v>
      </c>
      <c r="W64" s="37">
        <v>10.53767659742673</v>
      </c>
      <c r="X64" s="38">
        <v>10.723587045032948</v>
      </c>
      <c r="Y64" s="39">
        <f>'Inputs and summary'!$B$2</f>
        <v>12.5</v>
      </c>
      <c r="Z64" s="40" cm="1">
        <f t="array" ref="Z64">INDEX($L$3:$X$148, ROW()-ROW(L$3)+1, _xlfn.XMATCH('Inputs and summary'!$B$3, Model!L$2:X$2, 0))</f>
        <v>10.352613860247288</v>
      </c>
    </row>
    <row r="65" spans="10:26" x14ac:dyDescent="0.25">
      <c r="J65" s="35">
        <f t="shared" si="0"/>
        <v>51.53846153846154</v>
      </c>
      <c r="K65" s="36">
        <v>1340</v>
      </c>
      <c r="L65" s="37">
        <v>8.4871893690108386</v>
      </c>
      <c r="M65" s="37">
        <v>8.660743637378852</v>
      </c>
      <c r="N65" s="37">
        <v>8.8352236605505414</v>
      </c>
      <c r="O65" s="37">
        <v>9.0106205527584358</v>
      </c>
      <c r="P65" s="37">
        <v>9.186925273426418</v>
      </c>
      <c r="Q65" s="37">
        <v>9.3641286381562701</v>
      </c>
      <c r="R65" s="37">
        <v>9.5422213295979024</v>
      </c>
      <c r="S65" s="37">
        <v>9.7211939081837926</v>
      </c>
      <c r="T65" s="37">
        <v>9.9010368227082335</v>
      </c>
      <c r="U65" s="37">
        <v>10.081740420734301</v>
      </c>
      <c r="V65" s="37">
        <v>10.263294958811867</v>
      </c>
      <c r="W65" s="37">
        <v>10.445690612492125</v>
      </c>
      <c r="X65" s="38">
        <v>10.628917486124646</v>
      </c>
      <c r="Y65" s="39">
        <f>'Inputs and summary'!$B$2</f>
        <v>12.5</v>
      </c>
      <c r="Z65" s="40" cm="1">
        <f t="array" ref="Z65">INDEX($L$3:$X$148, ROW()-ROW(L$3)+1, _xlfn.XMATCH('Inputs and summary'!$B$3, Model!L$2:X$2, 0))</f>
        <v>10.263294958811867</v>
      </c>
    </row>
    <row r="66" spans="10:26" x14ac:dyDescent="0.25">
      <c r="J66" s="35">
        <f t="shared" si="0"/>
        <v>52.307692307692307</v>
      </c>
      <c r="K66" s="36">
        <v>1360</v>
      </c>
      <c r="L66" s="37">
        <v>8.4254626062957989</v>
      </c>
      <c r="M66" s="37">
        <v>8.5965998394468954</v>
      </c>
      <c r="N66" s="37">
        <v>8.7686450339863384</v>
      </c>
      <c r="O66" s="37">
        <v>8.9415894798596991</v>
      </c>
      <c r="P66" s="37">
        <v>9.1154243157204728</v>
      </c>
      <c r="Q66" s="37">
        <v>9.2901405396844901</v>
      </c>
      <c r="R66" s="37">
        <v>9.4657290199707944</v>
      </c>
      <c r="S66" s="37">
        <v>9.6421805054099767</v>
      </c>
      <c r="T66" s="37">
        <v>9.8194856358007421</v>
      </c>
      <c r="U66" s="37">
        <v>9.9976349520980587</v>
      </c>
      <c r="V66" s="37">
        <v>10.176618906416401</v>
      </c>
      <c r="W66" s="37">
        <v>10.356427871833841</v>
      </c>
      <c r="X66" s="38">
        <v>10.537052151983275</v>
      </c>
      <c r="Y66" s="39">
        <f>'Inputs and summary'!$B$2</f>
        <v>12.5</v>
      </c>
      <c r="Z66" s="40" cm="1">
        <f t="array" ref="Z66">INDEX($L$3:$X$148, ROW()-ROW(L$3)+1, _xlfn.XMATCH('Inputs and summary'!$B$3, Model!L$2:X$2, 0))</f>
        <v>10.176618906416401</v>
      </c>
    </row>
    <row r="67" spans="10:26" x14ac:dyDescent="0.25">
      <c r="J67" s="35">
        <f t="shared" si="0"/>
        <v>53.07692307692308</v>
      </c>
      <c r="K67" s="36">
        <v>1380</v>
      </c>
      <c r="L67" s="37">
        <v>8.3655272124561986</v>
      </c>
      <c r="M67" s="37">
        <v>8.5343182488390035</v>
      </c>
      <c r="N67" s="37">
        <v>8.7040000835710476</v>
      </c>
      <c r="O67" s="37">
        <v>8.8745641755500113</v>
      </c>
      <c r="P67" s="37">
        <v>9.0460018357169769</v>
      </c>
      <c r="Q67" s="37">
        <v>9.2183042375899653</v>
      </c>
      <c r="R67" s="37">
        <v>9.3914624276866334</v>
      </c>
      <c r="S67" s="37">
        <v>9.5654673358174129</v>
      </c>
      <c r="T67" s="37">
        <v>9.7403097852302825</v>
      </c>
      <c r="U67" s="37">
        <v>9.9159805025907115</v>
      </c>
      <c r="V67" s="37">
        <v>10.092470127780592</v>
      </c>
      <c r="W67" s="37">
        <v>10.269769223502191</v>
      </c>
      <c r="X67" s="38">
        <v>10.447868284673538</v>
      </c>
      <c r="Y67" s="39">
        <f>'Inputs and summary'!$B$2</f>
        <v>12.5</v>
      </c>
      <c r="Z67" s="40" cm="1">
        <f t="array" ref="Z67">INDEX($L$3:$X$148, ROW()-ROW(L$3)+1, _xlfn.XMATCH('Inputs and summary'!$B$3, Model!L$2:X$2, 0))</f>
        <v>10.092470127780592</v>
      </c>
    </row>
    <row r="68" spans="10:26" x14ac:dyDescent="0.25">
      <c r="J68" s="35">
        <f t="shared" ref="J68:J131" si="2">K68/$B$7</f>
        <v>53.846153846153847</v>
      </c>
      <c r="K68" s="36">
        <v>1400</v>
      </c>
      <c r="L68" s="37">
        <v>8.3073063223155099</v>
      </c>
      <c r="M68" s="37">
        <v>8.4738189316673225</v>
      </c>
      <c r="N68" s="37">
        <v>8.6412057749247353</v>
      </c>
      <c r="O68" s="37">
        <v>8.8094584735589372</v>
      </c>
      <c r="P68" s="37">
        <v>8.9785685042523564</v>
      </c>
      <c r="Q68" s="37">
        <v>9.1485272092216938</v>
      </c>
      <c r="R68" s="37">
        <v>9.3193258064327651</v>
      </c>
      <c r="S68" s="37">
        <v>9.4909553996886444</v>
      </c>
      <c r="T68" s="37">
        <v>9.6634069885726248</v>
      </c>
      <c r="U68" s="37">
        <v>9.8366714782298157</v>
      </c>
      <c r="V68" s="37">
        <v>10.010739688971462</v>
      </c>
      <c r="W68" s="37">
        <v>10.185602365688219</v>
      </c>
      <c r="X68" s="38">
        <v>10.361250187059017</v>
      </c>
      <c r="Y68" s="39">
        <f>'Inputs and summary'!$B$2</f>
        <v>12.5</v>
      </c>
      <c r="Z68" s="40" cm="1">
        <f t="array" ref="Z68">INDEX($L$3:$X$148, ROW()-ROW(L$3)+1, _xlfn.XMATCH('Inputs and summary'!$B$3, Model!L$2:X$2, 0))</f>
        <v>10.010739688971462</v>
      </c>
    </row>
    <row r="69" spans="10:26" x14ac:dyDescent="0.25">
      <c r="J69" s="35">
        <f t="shared" si="2"/>
        <v>54.615384615384613</v>
      </c>
      <c r="K69" s="36">
        <v>1420</v>
      </c>
      <c r="L69" s="37">
        <v>8.2507274062400917</v>
      </c>
      <c r="M69" s="37">
        <v>8.4150264642824641</v>
      </c>
      <c r="N69" s="37">
        <v>8.5801837606513658</v>
      </c>
      <c r="O69" s="37">
        <v>8.7461910733670933</v>
      </c>
      <c r="P69" s="37">
        <v>8.913040038673504</v>
      </c>
      <c r="Q69" s="37">
        <v>9.0807221611603026</v>
      </c>
      <c r="R69" s="37">
        <v>9.249228823779525</v>
      </c>
      <c r="S69" s="37">
        <v>9.4185512977381425</v>
      </c>
      <c r="T69" s="37">
        <v>9.5886807522484894</v>
      </c>
      <c r="U69" s="37">
        <v>9.7596082641206685</v>
      </c>
      <c r="V69" s="37">
        <v>9.9313248271812231</v>
      </c>
      <c r="W69" s="37">
        <v>10.103821361504508</v>
      </c>
      <c r="X69" s="38">
        <v>10.277088722443697</v>
      </c>
      <c r="Y69" s="39">
        <f>'Inputs and summary'!$B$2</f>
        <v>12.5</v>
      </c>
      <c r="Z69" s="40" cm="1">
        <f t="array" ref="Z69">INDEX($L$3:$X$148, ROW()-ROW(L$3)+1, _xlfn.XMATCH('Inputs and summary'!$B$3, Model!L$2:X$2, 0))</f>
        <v>9.9313248271812231</v>
      </c>
    </row>
    <row r="70" spans="10:26" x14ac:dyDescent="0.25">
      <c r="J70" s="35">
        <f t="shared" si="2"/>
        <v>55.384615384615387</v>
      </c>
      <c r="K70" s="36">
        <v>1440</v>
      </c>
      <c r="L70" s="37">
        <v>8.1957219687108154</v>
      </c>
      <c r="M70" s="37">
        <v>8.357869619590339</v>
      </c>
      <c r="N70" s="37">
        <v>8.5208600542411688</v>
      </c>
      <c r="O70" s="37">
        <v>8.6846852015368068</v>
      </c>
      <c r="P70" s="37">
        <v>8.8493368514423025</v>
      </c>
      <c r="Q70" s="37">
        <v>9.0148066649447056</v>
      </c>
      <c r="R70" s="37">
        <v>9.1810861838801401</v>
      </c>
      <c r="S70" s="37">
        <v>9.3481668406395872</v>
      </c>
      <c r="T70" s="37">
        <v>9.5160399677354484</v>
      </c>
      <c r="U70" s="37">
        <v>9.6846968072132142</v>
      </c>
      <c r="V70" s="37">
        <v>9.8541285198928268</v>
      </c>
      <c r="W70" s="37">
        <v>10.024326194426342</v>
      </c>
      <c r="X70" s="38">
        <v>10.19528085615903</v>
      </c>
      <c r="Y70" s="39">
        <f>'Inputs and summary'!$B$2</f>
        <v>12.5</v>
      </c>
      <c r="Z70" s="40" cm="1">
        <f t="array" ref="Z70">INDEX($L$3:$X$148, ROW()-ROW(L$3)+1, _xlfn.XMATCH('Inputs and summary'!$B$3, Model!L$2:X$2, 0))</f>
        <v>9.8541285198928268</v>
      </c>
    </row>
    <row r="71" spans="10:26" x14ac:dyDescent="0.25">
      <c r="J71" s="35">
        <f t="shared" si="2"/>
        <v>56.153846153846153</v>
      </c>
      <c r="K71" s="36">
        <v>1460</v>
      </c>
      <c r="L71" s="37">
        <v>8.1422252716978676</v>
      </c>
      <c r="M71" s="37">
        <v>8.3022810791893207</v>
      </c>
      <c r="N71" s="37">
        <v>8.4631647308249267</v>
      </c>
      <c r="O71" s="37">
        <v>8.624868300940669</v>
      </c>
      <c r="P71" s="37">
        <v>8.7873837276977937</v>
      </c>
      <c r="Q71" s="37">
        <v>8.9507028228298378</v>
      </c>
      <c r="R71" s="37">
        <v>9.1148172812885324</v>
      </c>
      <c r="S71" s="37">
        <v>9.2797186907709452</v>
      </c>
      <c r="T71" s="37">
        <v>9.4453985411101726</v>
      </c>
      <c r="U71" s="37">
        <v>9.611848233514209</v>
      </c>
      <c r="V71" s="37">
        <v>9.7790590896377125</v>
      </c>
      <c r="W71" s="37">
        <v>9.9470223604735928</v>
      </c>
      <c r="X71" s="38">
        <v>10.115729235051623</v>
      </c>
      <c r="Y71" s="39">
        <f>'Inputs and summary'!$B$2</f>
        <v>12.5</v>
      </c>
      <c r="Z71" s="40" cm="1">
        <f t="array" ref="Z71">INDEX($L$3:$X$148, ROW()-ROW(L$3)+1, _xlfn.XMATCH('Inputs and summary'!$B$3, Model!L$2:X$2, 0))</f>
        <v>9.7790590896377125</v>
      </c>
    </row>
    <row r="72" spans="10:26" x14ac:dyDescent="0.25">
      <c r="J72" s="35">
        <f t="shared" si="2"/>
        <v>56.92307692307692</v>
      </c>
      <c r="K72" s="36">
        <v>1480</v>
      </c>
      <c r="L72" s="37">
        <v>8.0901760804898064</v>
      </c>
      <c r="M72" s="37">
        <v>8.2481971688816529</v>
      </c>
      <c r="N72" s="37">
        <v>8.4070316522355704</v>
      </c>
      <c r="O72" s="37">
        <v>8.5666717452430898</v>
      </c>
      <c r="P72" s="37">
        <v>8.7271095290297076</v>
      </c>
      <c r="Q72" s="37">
        <v>8.8883369607263205</v>
      </c>
      <c r="R72" s="37">
        <v>9.0503458829416275</v>
      </c>
      <c r="S72" s="37">
        <v>9.2131280331182577</v>
      </c>
      <c r="T72" s="37">
        <v>9.3766750527550702</v>
      </c>
      <c r="U72" s="37">
        <v>9.5409784964805748</v>
      </c>
      <c r="V72" s="37">
        <v>9.7060298409623478</v>
      </c>
      <c r="W72" s="37">
        <v>9.8718204936395804</v>
      </c>
      <c r="X72" s="38">
        <v>10.03834180126618</v>
      </c>
      <c r="Y72" s="39">
        <f>'Inputs and summary'!$B$2</f>
        <v>12.5</v>
      </c>
      <c r="Z72" s="40" cm="1">
        <f t="array" ref="Z72">INDEX($L$3:$X$148, ROW()-ROW(L$3)+1, _xlfn.XMATCH('Inputs and summary'!$B$3, Model!L$2:X$2, 0))</f>
        <v>9.7060298409623478</v>
      </c>
    </row>
    <row r="73" spans="10:26" x14ac:dyDescent="0.25">
      <c r="J73" s="35">
        <f t="shared" si="2"/>
        <v>57.692307692307693</v>
      </c>
      <c r="K73" s="36">
        <v>1500</v>
      </c>
      <c r="L73" s="37">
        <v>8.0395164298788266</v>
      </c>
      <c r="M73" s="37">
        <v>8.1955576153744563</v>
      </c>
      <c r="N73" s="37">
        <v>8.3523982141043671</v>
      </c>
      <c r="O73" s="37">
        <v>8.5100305762729747</v>
      </c>
      <c r="P73" s="37">
        <v>8.6684469210108386</v>
      </c>
      <c r="Q73" s="37">
        <v>8.8276393457777225</v>
      </c>
      <c r="R73" s="37">
        <v>8.9875998356687745</v>
      </c>
      <c r="S73" s="37">
        <v>9.1483202726066608</v>
      </c>
      <c r="T73" s="37">
        <v>9.3097924444025164</v>
      </c>
      <c r="U73" s="37">
        <v>9.4720080536707574</v>
      </c>
      <c r="V73" s="37">
        <v>9.6349587265828873</v>
      </c>
      <c r="W73" s="37">
        <v>9.7986360214476385</v>
      </c>
      <c r="X73" s="38">
        <v>9.963031437104986</v>
      </c>
      <c r="Y73" s="39">
        <f>'Inputs and summary'!$B$2</f>
        <v>12.5</v>
      </c>
      <c r="Z73" s="40" cm="1">
        <f t="array" ref="Z73">INDEX($L$3:$X$148, ROW()-ROW(L$3)+1, _xlfn.XMATCH('Inputs and summary'!$B$3, Model!L$2:X$2, 0))</f>
        <v>9.6349587265828873</v>
      </c>
    </row>
    <row r="74" spans="10:26" x14ac:dyDescent="0.25">
      <c r="J74" s="35">
        <f t="shared" si="2"/>
        <v>58.46153846153846</v>
      </c>
      <c r="K74" s="36">
        <v>1520</v>
      </c>
      <c r="L74" s="37">
        <v>7.9901914088253125</v>
      </c>
      <c r="M74" s="37">
        <v>8.1443053222158426</v>
      </c>
      <c r="N74" s="37">
        <v>8.2992051129585818</v>
      </c>
      <c r="O74" s="37">
        <v>8.4548832621745866</v>
      </c>
      <c r="P74" s="37">
        <v>8.6113321222943959</v>
      </c>
      <c r="Q74" s="37">
        <v>8.7685439262995839</v>
      </c>
      <c r="R74" s="37">
        <v>8.9265107968694011</v>
      </c>
      <c r="S74" s="37">
        <v>9.0852247554156005</v>
      </c>
      <c r="T74" s="37">
        <v>9.2446777309885366</v>
      </c>
      <c r="U74" s="37">
        <v>9.4048615690397863</v>
      </c>
      <c r="V74" s="37">
        <v>9.5657680400266756</v>
      </c>
      <c r="W74" s="37">
        <v>9.7273888478461643</v>
      </c>
      <c r="X74" s="38">
        <v>9.8897156380858302</v>
      </c>
      <c r="Y74" s="39">
        <f>'Inputs and summary'!$B$2</f>
        <v>12.5</v>
      </c>
      <c r="Z74" s="40" cm="1">
        <f t="array" ref="Z74">INDEX($L$3:$X$148, ROW()-ROW(L$3)+1, _xlfn.XMATCH('Inputs and summary'!$B$3, Model!L$2:X$2, 0))</f>
        <v>9.5657680400266756</v>
      </c>
    </row>
    <row r="75" spans="10:26" x14ac:dyDescent="0.25">
      <c r="J75" s="35">
        <f t="shared" si="2"/>
        <v>59.230769230769234</v>
      </c>
      <c r="K75" s="36">
        <v>1540</v>
      </c>
      <c r="L75" s="37">
        <v>7.9421489619199139</v>
      </c>
      <c r="M75" s="37">
        <v>8.094386163215102</v>
      </c>
      <c r="N75" s="37">
        <v>8.2473961314992366</v>
      </c>
      <c r="O75" s="37">
        <v>8.4011714744437374</v>
      </c>
      <c r="P75" s="37">
        <v>8.5557046733111459</v>
      </c>
      <c r="Q75" s="37">
        <v>8.7109880920415392</v>
      </c>
      <c r="R75" s="37">
        <v>8.8670139862459294</v>
      </c>
      <c r="S75" s="37">
        <v>9.0237745120900072</v>
      </c>
      <c r="T75" s="37">
        <v>9.1812617350515016</v>
      </c>
      <c r="U75" s="37">
        <v>9.3394676385366182</v>
      </c>
      <c r="V75" s="37">
        <v>9.4983841323411955</v>
      </c>
      <c r="W75" s="37">
        <v>9.6580030609440897</v>
      </c>
      <c r="X75" s="38">
        <v>9.8183162116208127</v>
      </c>
      <c r="Y75" s="39">
        <f>'Inputs and summary'!$B$2</f>
        <v>12.5</v>
      </c>
      <c r="Z75" s="40" cm="1">
        <f t="array" ref="Z75">INDEX($L$3:$X$148, ROW()-ROW(L$3)+1, _xlfn.XMATCH('Inputs and summary'!$B$3, Model!L$2:X$2, 0))</f>
        <v>9.4983841323411955</v>
      </c>
    </row>
    <row r="76" spans="10:26" x14ac:dyDescent="0.25">
      <c r="J76" s="35">
        <f t="shared" si="2"/>
        <v>60</v>
      </c>
      <c r="K76" s="36">
        <v>1560</v>
      </c>
      <c r="L76" s="37">
        <v>7.895339706134056</v>
      </c>
      <c r="M76" s="37">
        <v>8.045748791775674</v>
      </c>
      <c r="N76" s="37">
        <v>8.1969179404244841</v>
      </c>
      <c r="O76" s="37">
        <v>8.3488398821509282</v>
      </c>
      <c r="P76" s="37">
        <v>8.5015072228030029</v>
      </c>
      <c r="Q76" s="37">
        <v>8.6549124529435435</v>
      </c>
      <c r="R76" s="37">
        <v>8.8090479566962863</v>
      </c>
      <c r="S76" s="37">
        <v>8.963906020484341</v>
      </c>
      <c r="T76" s="37">
        <v>9.1194788416445594</v>
      </c>
      <c r="U76" s="37">
        <v>9.2757585369034459</v>
      </c>
      <c r="V76" s="37">
        <v>9.4327371507004258</v>
      </c>
      <c r="W76" s="37">
        <v>9.5904066633461902</v>
      </c>
      <c r="X76" s="38">
        <v>9.7487589990042824</v>
      </c>
      <c r="Y76" s="39">
        <f>'Inputs and summary'!$B$2</f>
        <v>12.5</v>
      </c>
      <c r="Z76" s="40" cm="1">
        <f t="array" ref="Z76">INDEX($L$3:$X$148, ROW()-ROW(L$3)+1, _xlfn.XMATCH('Inputs and summary'!$B$3, Model!L$2:X$2, 0))</f>
        <v>9.4327371507004258</v>
      </c>
    </row>
    <row r="77" spans="10:26" x14ac:dyDescent="0.25">
      <c r="J77" s="35">
        <f t="shared" si="2"/>
        <v>60.769230769230766</v>
      </c>
      <c r="K77" s="36">
        <v>1580</v>
      </c>
      <c r="L77" s="37">
        <v>7.8497167615028385</v>
      </c>
      <c r="M77" s="37">
        <v>7.9983444647290245</v>
      </c>
      <c r="N77" s="37">
        <v>8.1477199153301711</v>
      </c>
      <c r="O77" s="37">
        <v>8.2978359618254629</v>
      </c>
      <c r="P77" s="37">
        <v>8.4486853306088712</v>
      </c>
      <c r="Q77" s="37">
        <v>8.6002606347429236</v>
      </c>
      <c r="R77" s="37">
        <v>8.7525543826629892</v>
      </c>
      <c r="S77" s="37">
        <v>8.9055589867759668</v>
      </c>
      <c r="T77" s="37">
        <v>9.0592667719370112</v>
      </c>
      <c r="U77" s="37">
        <v>9.2136699837902327</v>
      </c>
      <c r="V77" s="37">
        <v>9.3687607969592683</v>
      </c>
      <c r="W77" s="37">
        <v>9.5245313230756707</v>
      </c>
      <c r="X77" s="38">
        <v>9.6809736186333986</v>
      </c>
      <c r="Y77" s="39">
        <f>'Inputs and summary'!$B$2</f>
        <v>12.5</v>
      </c>
      <c r="Z77" s="40" cm="1">
        <f t="array" ref="Z77">INDEX($L$3:$X$148, ROW()-ROW(L$3)+1, _xlfn.XMATCH('Inputs and summary'!$B$3, Model!L$2:X$2, 0))</f>
        <v>9.3687607969592683</v>
      </c>
    </row>
    <row r="78" spans="10:26" x14ac:dyDescent="0.25">
      <c r="J78" s="35">
        <f t="shared" si="2"/>
        <v>61.53846153846154</v>
      </c>
      <c r="K78" s="36">
        <v>1600</v>
      </c>
      <c r="L78" s="37">
        <v>7.8052355945199121</v>
      </c>
      <c r="M78" s="37">
        <v>7.9521268793988575</v>
      </c>
      <c r="N78" s="37">
        <v>8.0997539673660377</v>
      </c>
      <c r="O78" s="37">
        <v>8.2481098216274091</v>
      </c>
      <c r="P78" s="37">
        <v>8.397187285277246</v>
      </c>
      <c r="Q78" s="37">
        <v>8.546979089953707</v>
      </c>
      <c r="R78" s="37">
        <v>8.6974778644065722</v>
      </c>
      <c r="S78" s="37">
        <v>8.8486761429612475</v>
      </c>
      <c r="T78" s="37">
        <v>9.00056637386297</v>
      </c>
      <c r="U78" s="37">
        <v>9.1531409274872253</v>
      </c>
      <c r="V78" s="37">
        <v>9.30639210440253</v>
      </c>
      <c r="W78" s="37">
        <v>9.4603121432736259</v>
      </c>
      <c r="X78" s="38">
        <v>9.6148932285935782</v>
      </c>
      <c r="Y78" s="39">
        <f>'Inputs and summary'!$B$2</f>
        <v>12.5</v>
      </c>
      <c r="Z78" s="40" cm="1">
        <f t="array" ref="Z78">INDEX($L$3:$X$148, ROW()-ROW(L$3)+1, _xlfn.XMATCH('Inputs and summary'!$B$3, Model!L$2:X$2, 0))</f>
        <v>9.30639210440253</v>
      </c>
    </row>
    <row r="79" spans="10:26" x14ac:dyDescent="0.25">
      <c r="J79" s="35">
        <f t="shared" si="2"/>
        <v>62.307692307692307</v>
      </c>
      <c r="K79" s="36">
        <v>1620</v>
      </c>
      <c r="L79" s="37">
        <v>7.7618538731446964</v>
      </c>
      <c r="M79" s="37">
        <v>7.9070520227508041</v>
      </c>
      <c r="N79" s="37">
        <v>8.0529743864568673</v>
      </c>
      <c r="O79" s="37">
        <v>8.199614038570159</v>
      </c>
      <c r="P79" s="37">
        <v>8.3469639352212255</v>
      </c>
      <c r="Q79" s="37">
        <v>8.4950169228861938</v>
      </c>
      <c r="R79" s="37">
        <v>8.6437657468228686</v>
      </c>
      <c r="S79" s="37">
        <v>8.7932030594049504</v>
      </c>
      <c r="T79" s="37">
        <v>8.9433214283384324</v>
      </c>
      <c r="U79" s="37">
        <v>9.0941133447464555</v>
      </c>
      <c r="V79" s="37">
        <v>9.2455712311088565</v>
      </c>
      <c r="W79" s="37">
        <v>9.3976874490447209</v>
      </c>
      <c r="X79" s="38">
        <v>9.5504543069264436</v>
      </c>
      <c r="Y79" s="39">
        <f>'Inputs and summary'!$B$2</f>
        <v>12.5</v>
      </c>
      <c r="Z79" s="40" cm="1">
        <f t="array" ref="Z79">INDEX($L$3:$X$148, ROW()-ROW(L$3)+1, _xlfn.XMATCH('Inputs and summary'!$B$3, Model!L$2:X$2, 0))</f>
        <v>9.2455712311088565</v>
      </c>
    </row>
    <row r="80" spans="10:26" x14ac:dyDescent="0.25">
      <c r="J80" s="35">
        <f t="shared" si="2"/>
        <v>63.07692307692308</v>
      </c>
      <c r="K80" s="36">
        <v>1640</v>
      </c>
      <c r="L80" s="37">
        <v>7.7195313324296322</v>
      </c>
      <c r="M80" s="37">
        <v>7.8630780315945321</v>
      </c>
      <c r="N80" s="37">
        <v>8.0073376960141722</v>
      </c>
      <c r="O80" s="37">
        <v>8.1523035076773596</v>
      </c>
      <c r="P80" s="37">
        <v>8.2979685322572188</v>
      </c>
      <c r="Q80" s="37">
        <v>8.444325727504939</v>
      </c>
      <c r="R80" s="37">
        <v>8.5913679515588885</v>
      </c>
      <c r="S80" s="37">
        <v>8.7390879711535661</v>
      </c>
      <c r="T80" s="37">
        <v>8.8874784697127325</v>
      </c>
      <c r="U80" s="37">
        <v>9.0365320553130708</v>
      </c>
      <c r="V80" s="37">
        <v>9.1862412685048831</v>
      </c>
      <c r="W80" s="37">
        <v>9.3365985899781805</v>
      </c>
      <c r="X80" s="38">
        <v>9.4875964480629147</v>
      </c>
      <c r="Y80" s="39">
        <f>'Inputs and summary'!$B$2</f>
        <v>12.5</v>
      </c>
      <c r="Z80" s="40" cm="1">
        <f t="array" ref="Z80">INDEX($L$3:$X$148, ROW()-ROW(L$3)+1, _xlfn.XMATCH('Inputs and summary'!$B$3, Model!L$2:X$2, 0))</f>
        <v>9.1862412685048831</v>
      </c>
    </row>
    <row r="81" spans="10:26" x14ac:dyDescent="0.25">
      <c r="J81" s="35">
        <f t="shared" si="2"/>
        <v>63.846153846153847</v>
      </c>
      <c r="K81" s="36">
        <v>1660</v>
      </c>
      <c r="L81" s="37">
        <v>7.678229649870838</v>
      </c>
      <c r="M81" s="37">
        <v>7.8201650629049437</v>
      </c>
      <c r="N81" s="37">
        <v>7.962802518167833</v>
      </c>
      <c r="O81" s="37">
        <v>8.1061353020656739</v>
      </c>
      <c r="P81" s="37">
        <v>8.2501565864804451</v>
      </c>
      <c r="Q81" s="37">
        <v>8.3948594370395266</v>
      </c>
      <c r="R81" s="37">
        <v>8.5402368213022122</v>
      </c>
      <c r="S81" s="37">
        <v>8.6862816168477242</v>
      </c>
      <c r="T81" s="37">
        <v>8.8329866192492847</v>
      </c>
      <c r="U81" s="37">
        <v>8.980344549920785</v>
      </c>
      <c r="V81" s="37">
        <v>9.1283480638226884</v>
      </c>
      <c r="W81" s="37">
        <v>9.2769897570156932</v>
      </c>
      <c r="X81" s="38">
        <v>9.4262621740510006</v>
      </c>
      <c r="Y81" s="39">
        <f>'Inputs and summary'!$B$2</f>
        <v>12.5</v>
      </c>
      <c r="Z81" s="40" cm="1">
        <f t="array" ref="Z81">INDEX($L$3:$X$148, ROW()-ROW(L$3)+1, _xlfn.XMATCH('Inputs and summary'!$B$3, Model!L$2:X$2, 0))</f>
        <v>9.1283480638226884</v>
      </c>
    </row>
    <row r="82" spans="10:26" x14ac:dyDescent="0.25">
      <c r="J82" s="35">
        <f t="shared" si="2"/>
        <v>64.615384615384613</v>
      </c>
      <c r="K82" s="36">
        <v>1680</v>
      </c>
      <c r="L82" s="37">
        <v>7.6379123296711882</v>
      </c>
      <c r="M82" s="37">
        <v>7.7782751734181019</v>
      </c>
      <c r="N82" s="37">
        <v>7.919329448639532</v>
      </c>
      <c r="O82" s="37">
        <v>8.0610685430411753</v>
      </c>
      <c r="P82" s="37">
        <v>8.2034857315304439</v>
      </c>
      <c r="Q82" s="37">
        <v>8.3465741843661512</v>
      </c>
      <c r="R82" s="37">
        <v>8.4903269752265054</v>
      </c>
      <c r="S82" s="37">
        <v>8.6347370891802875</v>
      </c>
      <c r="T82" s="37">
        <v>8.7797974305458677</v>
      </c>
      <c r="U82" s="37">
        <v>8.9255008306248129</v>
      </c>
      <c r="V82" s="37">
        <v>9.0718400552968514</v>
      </c>
      <c r="W82" s="37">
        <v>9.2188078124648989</v>
      </c>
      <c r="X82" s="38">
        <v>9.3663967593390662</v>
      </c>
      <c r="Y82" s="39">
        <f>'Inputs and summary'!$B$2</f>
        <v>12.5</v>
      </c>
      <c r="Z82" s="40" cm="1">
        <f t="array" ref="Z82">INDEX($L$3:$X$148, ROW()-ROW(L$3)+1, _xlfn.XMATCH('Inputs and summary'!$B$3, Model!L$2:X$2, 0))</f>
        <v>9.0718400552968514</v>
      </c>
    </row>
    <row r="83" spans="10:26" x14ac:dyDescent="0.25">
      <c r="J83" s="35">
        <f t="shared" si="2"/>
        <v>65.384615384615387</v>
      </c>
      <c r="K83" s="36">
        <v>1700</v>
      </c>
      <c r="L83" s="37">
        <v>7.5985445951810657</v>
      </c>
      <c r="M83" s="37">
        <v>7.737372207737133</v>
      </c>
      <c r="N83" s="37">
        <v>7.8768809404627813</v>
      </c>
      <c r="O83" s="37">
        <v>8.0170642793830851</v>
      </c>
      <c r="P83" s="37">
        <v>8.157915599388911</v>
      </c>
      <c r="Q83" s="37">
        <v>8.2994281722706447</v>
      </c>
      <c r="R83" s="37">
        <v>8.4415951746715816</v>
      </c>
      <c r="S83" s="37">
        <v>8.5844096959461247</v>
      </c>
      <c r="T83" s="37">
        <v>8.727864745907528</v>
      </c>
      <c r="U83" s="37">
        <v>8.8719532624521698</v>
      </c>
      <c r="V83" s="37">
        <v>9.016668119047246</v>
      </c>
      <c r="W83" s="37">
        <v>9.1620021320707092</v>
      </c>
      <c r="X83" s="38">
        <v>9.3079480679925357</v>
      </c>
      <c r="Y83" s="39">
        <f>'Inputs and summary'!$B$2</f>
        <v>12.5</v>
      </c>
      <c r="Z83" s="40" cm="1">
        <f t="array" ref="Z83">INDEX($L$3:$X$148, ROW()-ROW(L$3)+1, _xlfn.XMATCH('Inputs and summary'!$B$3, Model!L$2:X$2, 0))</f>
        <v>9.016668119047246</v>
      </c>
    </row>
    <row r="84" spans="10:26" x14ac:dyDescent="0.25">
      <c r="J84" s="35">
        <f t="shared" si="2"/>
        <v>66.15384615384616</v>
      </c>
      <c r="K84" s="36">
        <v>1720</v>
      </c>
      <c r="L84" s="37">
        <v>7.560093288850501</v>
      </c>
      <c r="M84" s="37">
        <v>7.697421694254551</v>
      </c>
      <c r="N84" s="37">
        <v>7.8354211958282765</v>
      </c>
      <c r="O84" s="37">
        <v>7.9740853750657017</v>
      </c>
      <c r="P84" s="37">
        <v>8.1134077039323298</v>
      </c>
      <c r="Q84" s="37">
        <v>8.2533815527866405</v>
      </c>
      <c r="R84" s="37">
        <v>8.3940001982226242</v>
      </c>
      <c r="S84" s="37">
        <v>8.5352568308186054</v>
      </c>
      <c r="T84" s="37">
        <v>8.6771445627773414</v>
      </c>
      <c r="U84" s="37">
        <v>8.8196564354444611</v>
      </c>
      <c r="V84" s="37">
        <v>8.9627854266923528</v>
      </c>
      <c r="W84" s="37">
        <v>9.1065244581584111</v>
      </c>
      <c r="X84" s="38">
        <v>9.2508664023268725</v>
      </c>
      <c r="Y84" s="39">
        <f>'Inputs and summary'!$B$2</f>
        <v>12.5</v>
      </c>
      <c r="Z84" s="40" cm="1">
        <f t="array" ref="Z84">INDEX($L$3:$X$148, ROW()-ROW(L$3)+1, _xlfn.XMATCH('Inputs and summary'!$B$3, Model!L$2:X$2, 0))</f>
        <v>8.9627854266923528</v>
      </c>
    </row>
    <row r="85" spans="10:26" x14ac:dyDescent="0.25">
      <c r="J85" s="35">
        <f t="shared" si="2"/>
        <v>66.92307692307692</v>
      </c>
      <c r="K85" s="36">
        <v>1740</v>
      </c>
      <c r="L85" s="37">
        <v>7.5225267790878583</v>
      </c>
      <c r="M85" s="37">
        <v>7.6583907482613256</v>
      </c>
      <c r="N85" s="37">
        <v>7.7949160653998497</v>
      </c>
      <c r="O85" s="37">
        <v>7.9320964047382621</v>
      </c>
      <c r="P85" s="37">
        <v>8.0699253325333622</v>
      </c>
      <c r="Q85" s="37">
        <v>8.2083963148767509</v>
      </c>
      <c r="R85" s="37">
        <v>8.3475027254300187</v>
      </c>
      <c r="S85" s="37">
        <v>8.4872378530676453</v>
      </c>
      <c r="T85" s="37">
        <v>8.6275949094128634</v>
      </c>
      <c r="U85" s="37">
        <v>8.7685670362536108</v>
      </c>
      <c r="V85" s="37">
        <v>8.9101473128258881</v>
      </c>
      <c r="W85" s="37">
        <v>9.0523287629535218</v>
      </c>
      <c r="X85" s="38">
        <v>9.1951043620337014</v>
      </c>
      <c r="Y85" s="39">
        <f>'Inputs and summary'!$B$2</f>
        <v>12.5</v>
      </c>
      <c r="Z85" s="40" cm="1">
        <f t="array" ref="Z85">INDEX($L$3:$X$148, ROW()-ROW(L$3)+1, _xlfn.XMATCH('Inputs and summary'!$B$3, Model!L$2:X$2, 0))</f>
        <v>8.9101473128258881</v>
      </c>
    </row>
    <row r="86" spans="10:26" x14ac:dyDescent="0.25">
      <c r="J86" s="35">
        <f t="shared" si="2"/>
        <v>67.692307692307693</v>
      </c>
      <c r="K86" s="36">
        <v>1760</v>
      </c>
      <c r="L86" s="37">
        <v>7.4858148734750145</v>
      </c>
      <c r="M86" s="37">
        <v>7.6202479816702962</v>
      </c>
      <c r="N86" s="37">
        <v>7.7553329545058158</v>
      </c>
      <c r="O86" s="37">
        <v>7.8910635563444718</v>
      </c>
      <c r="P86" s="37">
        <v>8.0274334450693843</v>
      </c>
      <c r="Q86" s="37">
        <v>8.1644361797914637</v>
      </c>
      <c r="R86" s="37">
        <v>8.3020652284805561</v>
      </c>
      <c r="S86" s="37">
        <v>8.4403139755057452</v>
      </c>
      <c r="T86" s="37">
        <v>8.5791757290701707</v>
      </c>
      <c r="U86" s="37">
        <v>8.7186437285277059</v>
      </c>
      <c r="V86" s="37">
        <v>8.8587111515688584</v>
      </c>
      <c r="W86" s="37">
        <v>8.9993711212651188</v>
      </c>
      <c r="X86" s="38">
        <v>9.1406167129611866</v>
      </c>
      <c r="Y86" s="39">
        <f>'Inputs and summary'!$B$2</f>
        <v>12.5</v>
      </c>
      <c r="Z86" s="40" cm="1">
        <f t="array" ref="Z86">INDEX($L$3:$X$148, ROW()-ROW(L$3)+1, _xlfn.XMATCH('Inputs and summary'!$B$3, Model!L$2:X$2, 0))</f>
        <v>8.8587111515688584</v>
      </c>
    </row>
    <row r="87" spans="10:26" x14ac:dyDescent="0.25">
      <c r="J87" s="35">
        <f t="shared" si="2"/>
        <v>68.461538461538467</v>
      </c>
      <c r="K87" s="36">
        <v>1780</v>
      </c>
      <c r="L87" s="37">
        <v>7.4499287378387606</v>
      </c>
      <c r="M87" s="37">
        <v>7.5829634188330983</v>
      </c>
      <c r="N87" s="37">
        <v>7.7166407356641837</v>
      </c>
      <c r="O87" s="37">
        <v>7.850954540319206</v>
      </c>
      <c r="P87" s="37">
        <v>7.9858985797543642</v>
      </c>
      <c r="Q87" s="37">
        <v>8.1214665035003915</v>
      </c>
      <c r="R87" s="37">
        <v>8.2576518711928202</v>
      </c>
      <c r="S87" s="37">
        <v>8.3944481600128089</v>
      </c>
      <c r="T87" s="37">
        <v>8.5318487720239879</v>
      </c>
      <c r="U87" s="37">
        <v>8.6698470413928419</v>
      </c>
      <c r="V87" s="37">
        <v>8.8084362414801678</v>
      </c>
      <c r="W87" s="37">
        <v>8.94760959179286</v>
      </c>
      <c r="X87" s="38">
        <v>9.0873602647856604</v>
      </c>
      <c r="Y87" s="39">
        <f>'Inputs and summary'!$B$2</f>
        <v>12.5</v>
      </c>
      <c r="Z87" s="40" cm="1">
        <f t="array" ref="Z87">INDEX($L$3:$X$148, ROW()-ROW(L$3)+1, _xlfn.XMATCH('Inputs and summary'!$B$3, Model!L$2:X$2, 0))</f>
        <v>8.8084362414801678</v>
      </c>
    </row>
    <row r="88" spans="10:26" x14ac:dyDescent="0.25">
      <c r="J88" s="35">
        <f t="shared" si="2"/>
        <v>69.230769230769226</v>
      </c>
      <c r="K88" s="36">
        <v>1800</v>
      </c>
      <c r="L88" s="37">
        <v>7.4148408207224241</v>
      </c>
      <c r="M88" s="37">
        <v>7.5465084179760797</v>
      </c>
      <c r="N88" s="37">
        <v>7.6788096669483039</v>
      </c>
      <c r="O88" s="37">
        <v>7.8117385048497807</v>
      </c>
      <c r="P88" s="37">
        <v>7.9452887652621307</v>
      </c>
      <c r="Q88" s="37">
        <v>8.0794541856443942</v>
      </c>
      <c r="R88" s="37">
        <v>8.2142284147654809</v>
      </c>
      <c r="S88" s="37">
        <v>8.3496050200484291</v>
      </c>
      <c r="T88" s="37">
        <v>8.4855774948122544</v>
      </c>
      <c r="U88" s="37">
        <v>8.622139265398884</v>
      </c>
      <c r="V88" s="37">
        <v>8.7592836981729469</v>
      </c>
      <c r="W88" s="37">
        <v>8.897004106383811</v>
      </c>
      <c r="X88" s="38">
        <v>9.0352937568795042</v>
      </c>
      <c r="Y88" s="39">
        <f>'Inputs and summary'!$B$2</f>
        <v>12.5</v>
      </c>
      <c r="Z88" s="40" cm="1">
        <f t="array" ref="Z88">INDEX($L$3:$X$148, ROW()-ROW(L$3)+1, _xlfn.XMATCH('Inputs and summary'!$B$3, Model!L$2:X$2, 0))</f>
        <v>8.7592836981729469</v>
      </c>
    </row>
    <row r="89" spans="10:26" x14ac:dyDescent="0.25">
      <c r="J89" s="35">
        <f t="shared" si="2"/>
        <v>70</v>
      </c>
      <c r="K89" s="36">
        <v>1820</v>
      </c>
      <c r="L89" s="37">
        <v>7.3805247828419596</v>
      </c>
      <c r="M89" s="37">
        <v>7.5108555978224558</v>
      </c>
      <c r="N89" s="37">
        <v>7.6418113157430536</v>
      </c>
      <c r="O89" s="37">
        <v>7.7733859567345638</v>
      </c>
      <c r="P89" s="37">
        <v>7.905573438656174</v>
      </c>
      <c r="Q89" s="37">
        <v>8.0383675845058011</v>
      </c>
      <c r="R89" s="37">
        <v>8.1717621297575729</v>
      </c>
      <c r="S89" s="37">
        <v>8.3057507296123951</v>
      </c>
      <c r="T89" s="37">
        <v>8.4403269661475093</v>
      </c>
      <c r="U89" s="37">
        <v>8.5754843553527564</v>
      </c>
      <c r="V89" s="37">
        <v>8.7112163540413849</v>
      </c>
      <c r="W89" s="37">
        <v>8.8475163666249053</v>
      </c>
      <c r="X89" s="38">
        <v>8.9843777517417891</v>
      </c>
      <c r="Y89" s="39">
        <f>'Inputs and summary'!$B$2</f>
        <v>12.5</v>
      </c>
      <c r="Z89" s="40" cm="1">
        <f t="array" ref="Z89">INDEX($L$3:$X$148, ROW()-ROW(L$3)+1, _xlfn.XMATCH('Inputs and summary'!$B$3, Model!L$2:X$2, 0))</f>
        <v>8.7112163540413849</v>
      </c>
    </row>
    <row r="90" spans="10:26" x14ac:dyDescent="0.25">
      <c r="J90" s="35">
        <f t="shared" si="2"/>
        <v>70.769230769230774</v>
      </c>
      <c r="K90" s="36">
        <v>1840</v>
      </c>
      <c r="L90" s="37">
        <v>7.3469554311469274</v>
      </c>
      <c r="M90" s="37">
        <v>7.4759787690056285</v>
      </c>
      <c r="N90" s="37">
        <v>7.6056184874807871</v>
      </c>
      <c r="O90" s="37">
        <v>7.7358686874121894</v>
      </c>
      <c r="P90" s="37">
        <v>7.8667233686831644</v>
      </c>
      <c r="Q90" s="37">
        <v>7.9981764375376416</v>
      </c>
      <c r="R90" s="37">
        <v>8.1302217138253354</v>
      </c>
      <c r="S90" s="37">
        <v>8.2628529381613358</v>
      </c>
      <c r="T90" s="37">
        <v>8.396063778986024</v>
      </c>
      <c r="U90" s="37">
        <v>8.5298478395132697</v>
      </c>
      <c r="V90" s="37">
        <v>8.6641986645547782</v>
      </c>
      <c r="W90" s="37">
        <v>8.7991097472102808</v>
      </c>
      <c r="X90" s="38">
        <v>8.934574535413466</v>
      </c>
      <c r="Y90" s="39">
        <f>'Inputs and summary'!$B$2</f>
        <v>12.5</v>
      </c>
      <c r="Z90" s="40" cm="1">
        <f t="array" ref="Z90">INDEX($L$3:$X$148, ROW()-ROW(L$3)+1, _xlfn.XMATCH('Inputs and summary'!$B$3, Model!L$2:X$2, 0))</f>
        <v>8.6641986645547782</v>
      </c>
    </row>
    <row r="91" spans="10:26" x14ac:dyDescent="0.25">
      <c r="J91" s="35">
        <f t="shared" si="2"/>
        <v>71.538461538461533</v>
      </c>
      <c r="K91" s="36">
        <v>1860</v>
      </c>
      <c r="L91" s="37">
        <v>7.3141086571394007</v>
      </c>
      <c r="M91" s="37">
        <v>7.4418528699126583</v>
      </c>
      <c r="N91" s="37">
        <v>7.5702051589817323</v>
      </c>
      <c r="O91" s="37">
        <v>7.6991597037715644</v>
      </c>
      <c r="P91" s="37">
        <v>7.8287105840256812</v>
      </c>
      <c r="Q91" s="37">
        <v>7.9588517870325326</v>
      </c>
      <c r="R91" s="37">
        <v>8.0895772147810483</v>
      </c>
      <c r="S91" s="37">
        <v>8.2208806910317715</v>
      </c>
      <c r="T91" s="37">
        <v>8.3527559682896886</v>
      </c>
      <c r="U91" s="37">
        <v>8.485196734666804</v>
      </c>
      <c r="V91" s="37">
        <v>8.6181966206224896</v>
      </c>
      <c r="W91" s="37">
        <v>8.7517492055713895</v>
      </c>
      <c r="X91" s="38">
        <v>8.8858480243488707</v>
      </c>
      <c r="Y91" s="39">
        <f>'Inputs and summary'!$B$2</f>
        <v>12.5</v>
      </c>
      <c r="Z91" s="40" cm="1">
        <f t="array" ref="Z91">INDEX($L$3:$X$148, ROW()-ROW(L$3)+1, _xlfn.XMATCH('Inputs and summary'!$B$3, Model!L$2:X$2, 0))</f>
        <v>8.6181966206224896</v>
      </c>
    </row>
    <row r="92" spans="10:26" x14ac:dyDescent="0.25">
      <c r="J92" s="35">
        <f t="shared" si="2"/>
        <v>72.307692307692307</v>
      </c>
      <c r="K92" s="36">
        <v>1880</v>
      </c>
      <c r="L92" s="37">
        <v>7.2819613791335147</v>
      </c>
      <c r="M92" s="37">
        <v>7.4084539066275656</v>
      </c>
      <c r="N92" s="37">
        <v>7.5355464160553689</v>
      </c>
      <c r="O92" s="37">
        <v>7.6632331633860229</v>
      </c>
      <c r="P92" s="37">
        <v>7.791508306144042</v>
      </c>
      <c r="Q92" s="37">
        <v>7.9203659105475248</v>
      </c>
      <c r="R92" s="37">
        <v>8.0497999585765463</v>
      </c>
      <c r="S92" s="37">
        <v>8.1798043549582875</v>
      </c>
      <c r="T92" s="37">
        <v>8.3103729340551933</v>
      </c>
      <c r="U92" s="37">
        <v>8.4414994666443004</v>
      </c>
      <c r="V92" s="37">
        <v>8.5731776665758836</v>
      </c>
      <c r="W92" s="37">
        <v>8.705401197301363</v>
      </c>
      <c r="X92" s="38">
        <v>8.8381636782604858</v>
      </c>
      <c r="Y92" s="39">
        <f>'Inputs and summary'!$B$2</f>
        <v>12.5</v>
      </c>
      <c r="Z92" s="40" cm="1">
        <f t="array" ref="Z92">INDEX($L$3:$X$148, ROW()-ROW(L$3)+1, _xlfn.XMATCH('Inputs and summary'!$B$3, Model!L$2:X$2, 0))</f>
        <v>8.5731776665758836</v>
      </c>
    </row>
    <row r="93" spans="10:26" x14ac:dyDescent="0.25">
      <c r="J93" s="35">
        <f t="shared" si="2"/>
        <v>73.07692307692308</v>
      </c>
      <c r="K93" s="36">
        <v>1900</v>
      </c>
      <c r="L93" s="37">
        <v>7.250491488164954</v>
      </c>
      <c r="M93" s="37">
        <v>7.3757588966720355</v>
      </c>
      <c r="N93" s="37">
        <v>7.5016183950484638</v>
      </c>
      <c r="O93" s="37">
        <v>7.6280643138450346</v>
      </c>
      <c r="P93" s="37">
        <v>7.7550908863684418</v>
      </c>
      <c r="Q93" s="37">
        <v>7.8826922557336481</v>
      </c>
      <c r="R93" s="37">
        <v>8.0108624818475054</v>
      </c>
      <c r="S93" s="37">
        <v>8.1395955483102327</v>
      </c>
      <c r="T93" s="37">
        <v>8.2688853692211808</v>
      </c>
      <c r="U93" s="37">
        <v>8.3987257958771657</v>
      </c>
      <c r="V93" s="37">
        <v>8.5291106233516683</v>
      </c>
      <c r="W93" s="37">
        <v>8.6600335969448725</v>
      </c>
      <c r="X93" s="38">
        <v>8.7914884184947368</v>
      </c>
      <c r="Y93" s="39">
        <f>'Inputs and summary'!$B$2</f>
        <v>12.5</v>
      </c>
      <c r="Z93" s="40" cm="1">
        <f t="array" ref="Z93">INDEX($L$3:$X$148, ROW()-ROW(L$3)+1, _xlfn.XMATCH('Inputs and summary'!$B$3, Model!L$2:X$2, 0))</f>
        <v>8.5291106233516683</v>
      </c>
    </row>
    <row r="94" spans="10:26" x14ac:dyDescent="0.25">
      <c r="J94" s="35">
        <f t="shared" si="2"/>
        <v>73.84615384615384</v>
      </c>
      <c r="K94" s="36">
        <v>1920</v>
      </c>
      <c r="L94" s="37">
        <v>7.21967779728406</v>
      </c>
      <c r="M94" s="37">
        <v>7.3437458162663258</v>
      </c>
      <c r="N94" s="37">
        <v>7.4683982280515151</v>
      </c>
      <c r="O94" s="37">
        <v>7.5936294358842442</v>
      </c>
      <c r="P94" s="37">
        <v>7.7194337469308376</v>
      </c>
      <c r="Q94" s="37">
        <v>7.8458053792482394</v>
      </c>
      <c r="R94" s="37">
        <v>7.9727384686851126</v>
      </c>
      <c r="S94" s="37">
        <v>8.1002270757018948</v>
      </c>
      <c r="T94" s="37">
        <v>8.2282651920963872</v>
      </c>
      <c r="U94" s="37">
        <v>8.3568467476232549</v>
      </c>
      <c r="V94" s="37">
        <v>8.4859656164958714</v>
      </c>
      <c r="W94" s="37">
        <v>8.6156156237605828</v>
      </c>
      <c r="X94" s="38">
        <v>8.7457905515336964</v>
      </c>
      <c r="Y94" s="39">
        <f>'Inputs and summary'!$B$2</f>
        <v>12.5</v>
      </c>
      <c r="Z94" s="40" cm="1">
        <f t="array" ref="Z94">INDEX($L$3:$X$148, ROW()-ROW(L$3)+1, _xlfn.XMATCH('Inputs and summary'!$B$3, Model!L$2:X$2, 0))</f>
        <v>8.4859656164958714</v>
      </c>
    </row>
    <row r="95" spans="10:26" x14ac:dyDescent="0.25">
      <c r="J95" s="35">
        <f t="shared" si="2"/>
        <v>74.615384615384613</v>
      </c>
      <c r="K95" s="36">
        <v>1940</v>
      </c>
      <c r="L95" s="37">
        <v>7.1894999939881536</v>
      </c>
      <c r="M95" s="37">
        <v>7.3123935508560507</v>
      </c>
      <c r="N95" s="37">
        <v>7.4358639914992732</v>
      </c>
      <c r="O95" s="37">
        <v>7.5599057900391973</v>
      </c>
      <c r="P95" s="37">
        <v>7.6845133256516895</v>
      </c>
      <c r="Q95" s="37">
        <v>7.8096808894547305</v>
      </c>
      <c r="R95" s="37">
        <v>7.9354026913291857</v>
      </c>
      <c r="S95" s="37">
        <v>8.0616728666595741</v>
      </c>
      <c r="T95" s="37">
        <v>8.1884854829815765</v>
      </c>
      <c r="U95" s="37">
        <v>8.3158345465247798</v>
      </c>
      <c r="V95" s="37">
        <v>8.4437140086391924</v>
      </c>
      <c r="W95" s="37">
        <v>8.5721177720957193</v>
      </c>
      <c r="X95" s="38">
        <v>8.7010396972509927</v>
      </c>
      <c r="Y95" s="39">
        <f>'Inputs and summary'!$B$2</f>
        <v>12.5</v>
      </c>
      <c r="Z95" s="40" cm="1">
        <f t="array" ref="Z95">INDEX($L$3:$X$148, ROW()-ROW(L$3)+1, _xlfn.XMATCH('Inputs and summary'!$B$3, Model!L$2:X$2, 0))</f>
        <v>8.4437140086391924</v>
      </c>
    </row>
    <row r="96" spans="10:26" x14ac:dyDescent="0.25">
      <c r="J96" s="35">
        <f t="shared" si="2"/>
        <v>75.384615384615387</v>
      </c>
      <c r="K96" s="36">
        <v>1960</v>
      </c>
      <c r="L96" s="37">
        <v>7.1599385955686632</v>
      </c>
      <c r="M96" s="37">
        <v>7.2816818486713188</v>
      </c>
      <c r="N96" s="37">
        <v>7.4039946579225298</v>
      </c>
      <c r="O96" s="37">
        <v>7.5268715665707102</v>
      </c>
      <c r="P96" s="37">
        <v>7.6503070240199964</v>
      </c>
      <c r="Q96" s="37">
        <v>7.7742953926387361</v>
      </c>
      <c r="R96" s="37">
        <v>7.8988309545019586</v>
      </c>
      <c r="S96" s="37">
        <v>8.0239079180549275</v>
      </c>
      <c r="T96" s="37">
        <v>8.1495204246845852</v>
      </c>
      <c r="U96" s="37">
        <v>8.2756625551875214</v>
      </c>
      <c r="V96" s="37">
        <v>8.4023283361230909</v>
      </c>
      <c r="W96" s="37">
        <v>8.5295117460420027</v>
      </c>
      <c r="X96" s="38">
        <v>8.6572067215808559</v>
      </c>
      <c r="Y96" s="39">
        <f>'Inputs and summary'!$B$2</f>
        <v>12.5</v>
      </c>
      <c r="Z96" s="40" cm="1">
        <f t="array" ref="Z96">INDEX($L$3:$X$148, ROW()-ROW(L$3)+1, _xlfn.XMATCH('Inputs and summary'!$B$3, Model!L$2:X$2, 0))</f>
        <v>8.4023283361230909</v>
      </c>
    </row>
    <row r="97" spans="10:26" x14ac:dyDescent="0.25">
      <c r="J97" s="35">
        <f t="shared" si="2"/>
        <v>76.15384615384616</v>
      </c>
      <c r="K97" s="36">
        <v>1980</v>
      </c>
      <c r="L97" s="37">
        <v>7.1309749071667561</v>
      </c>
      <c r="M97" s="37">
        <v>7.2515912771035556</v>
      </c>
      <c r="N97" s="37">
        <v>7.3727700506280778</v>
      </c>
      <c r="O97" s="37">
        <v>7.4945058384300953</v>
      </c>
      <c r="P97" s="37">
        <v>7.6167931584262263</v>
      </c>
      <c r="Q97" s="37">
        <v>7.7396264424912689</v>
      </c>
      <c r="R97" s="37">
        <v>7.8630000431244094</v>
      </c>
      <c r="S97" s="37">
        <v>7.9869082400375131</v>
      </c>
      <c r="T97" s="37">
        <v>8.1113452466524247</v>
      </c>
      <c r="U97" s="37">
        <v>8.2363052164960511</v>
      </c>
      <c r="V97" s="37">
        <v>8.3617822494819585</v>
      </c>
      <c r="W97" s="37">
        <v>8.4877703980688999</v>
      </c>
      <c r="X97" s="38">
        <v>8.6142636732868034</v>
      </c>
      <c r="Y97" s="39">
        <f>'Inputs and summary'!$B$2</f>
        <v>12.5</v>
      </c>
      <c r="Z97" s="40" cm="1">
        <f t="array" ref="Z97">INDEX($L$3:$X$148, ROW()-ROW(L$3)+1, _xlfn.XMATCH('Inputs and summary'!$B$3, Model!L$2:X$2, 0))</f>
        <v>8.3617822494819585</v>
      </c>
    </row>
    <row r="98" spans="10:26" x14ac:dyDescent="0.25">
      <c r="J98" s="35">
        <f t="shared" si="2"/>
        <v>76.92307692307692</v>
      </c>
      <c r="K98" s="36">
        <v>2000</v>
      </c>
      <c r="L98" s="37">
        <v>7.1025909823477775</v>
      </c>
      <c r="M98" s="37">
        <v>7.2221031817025789</v>
      </c>
      <c r="N98" s="37">
        <v>7.3421708011015934</v>
      </c>
      <c r="O98" s="37">
        <v>7.4627885170512087</v>
      </c>
      <c r="P98" s="37">
        <v>7.5839509143269961</v>
      </c>
      <c r="Q98" s="37">
        <v>7.7056524926298362</v>
      </c>
      <c r="R98" s="37">
        <v>7.82788767317777</v>
      </c>
      <c r="S98" s="37">
        <v>7.9506508052208957</v>
      </c>
      <c r="T98" s="37">
        <v>8.0739361724663805</v>
      </c>
      <c r="U98" s="37">
        <v>8.1977379994024933</v>
      </c>
      <c r="V98" s="37">
        <v>8.322050457510457</v>
      </c>
      <c r="W98" s="37">
        <v>8.446867671354628</v>
      </c>
      <c r="X98" s="38">
        <v>8.5721837245417092</v>
      </c>
      <c r="Y98" s="39">
        <f>'Inputs and summary'!$B$2</f>
        <v>12.5</v>
      </c>
      <c r="Z98" s="40" cm="1">
        <f t="array" ref="Z98">INDEX($L$3:$X$148, ROW()-ROW(L$3)+1, _xlfn.XMATCH('Inputs and summary'!$B$3, Model!L$2:X$2, 0))</f>
        <v>8.322050457510457</v>
      </c>
    </row>
    <row r="99" spans="10:26" x14ac:dyDescent="0.25">
      <c r="J99" s="35">
        <f t="shared" si="2"/>
        <v>77.692307692307693</v>
      </c>
      <c r="K99" s="36">
        <v>2020</v>
      </c>
      <c r="L99" s="37">
        <v>7.0747695860196727</v>
      </c>
      <c r="M99" s="37">
        <v>7.1931996476121256</v>
      </c>
      <c r="N99" s="37">
        <v>7.312178308944441</v>
      </c>
      <c r="O99" s="37">
        <v>7.4317003107729347</v>
      </c>
      <c r="P99" s="37">
        <v>7.5517603031379101</v>
      </c>
      <c r="Q99" s="37">
        <v>7.6723528519464317</v>
      </c>
      <c r="R99" s="37">
        <v>7.7934724454916502</v>
      </c>
      <c r="S99" s="37">
        <v>7.915113500896112</v>
      </c>
      <c r="T99" s="37">
        <v>8.0372703704662847</v>
      </c>
      <c r="U99" s="37">
        <v>8.1599373479472437</v>
      </c>
      <c r="V99" s="37">
        <v>8.2831086746665044</v>
      </c>
      <c r="W99" s="37">
        <v>8.4067785455575628</v>
      </c>
      <c r="X99" s="38">
        <v>8.5309411150539098</v>
      </c>
      <c r="Y99" s="39">
        <f>'Inputs and summary'!$B$2</f>
        <v>12.5</v>
      </c>
      <c r="Z99" s="40" cm="1">
        <f t="array" ref="Z99">INDEX($L$3:$X$148, ROW()-ROW(L$3)+1, _xlfn.XMATCH('Inputs and summary'!$B$3, Model!L$2:X$2, 0))</f>
        <v>8.2831086746665044</v>
      </c>
    </row>
    <row r="100" spans="10:26" x14ac:dyDescent="0.25">
      <c r="J100" s="35">
        <f t="shared" si="2"/>
        <v>78.461538461538467</v>
      </c>
      <c r="K100" s="36">
        <v>2040</v>
      </c>
      <c r="L100" s="37">
        <v>7.0474941595345921</v>
      </c>
      <c r="M100" s="37">
        <v>7.1648634632763093</v>
      </c>
      <c r="N100" s="37">
        <v>7.2827747041703113</v>
      </c>
      <c r="O100" s="37">
        <v>7.4012226857114509</v>
      </c>
      <c r="P100" s="37">
        <v>7.5202021216670296</v>
      </c>
      <c r="Q100" s="37">
        <v>7.6397076425879851</v>
      </c>
      <c r="R100" s="37">
        <v>7.7597338022574567</v>
      </c>
      <c r="S100" s="37">
        <v>7.880275084064257</v>
      </c>
      <c r="T100" s="37">
        <v>8.0013259072885852</v>
      </c>
      <c r="U100" s="37">
        <v>8.1228806332890819</v>
      </c>
      <c r="V100" s="37">
        <v>8.2449335715802476</v>
      </c>
      <c r="W100" s="37">
        <v>8.3674789857909744</v>
      </c>
      <c r="X100" s="38">
        <v>8.4905110994949329</v>
      </c>
      <c r="Y100" s="39">
        <f>'Inputs and summary'!$B$2</f>
        <v>12.5</v>
      </c>
      <c r="Z100" s="40" cm="1">
        <f t="array" ref="Z100">INDEX($L$3:$X$148, ROW()-ROW(L$3)+1, _xlfn.XMATCH('Inputs and summary'!$B$3, Model!L$2:X$2, 0))</f>
        <v>8.2449335715802476</v>
      </c>
    </row>
    <row r="101" spans="10:26" x14ac:dyDescent="0.25">
      <c r="J101" s="35">
        <f t="shared" si="2"/>
        <v>79.230769230769226</v>
      </c>
      <c r="K101" s="36">
        <v>2060</v>
      </c>
      <c r="L101" s="37">
        <v>7.0207487878249299</v>
      </c>
      <c r="M101" s="37">
        <v>7.1370780862624965</v>
      </c>
      <c r="N101" s="37">
        <v>7.2539428117010818</v>
      </c>
      <c r="O101" s="37">
        <v>7.3713378289154203</v>
      </c>
      <c r="P101" s="37">
        <v>7.4892579139159103</v>
      </c>
      <c r="Q101" s="37">
        <v>7.6076977603899465</v>
      </c>
      <c r="R101" s="37">
        <v>7.7266519860814027</v>
      </c>
      <c r="S101" s="37">
        <v>7.8461151390959269</v>
      </c>
      <c r="T101" s="37">
        <v>7.9660817041194942</v>
      </c>
      <c r="U101" s="37">
        <v>8.0865461085394266</v>
      </c>
      <c r="V101" s="37">
        <v>8.2075027284570083</v>
      </c>
      <c r="W101" s="37">
        <v>8.3289458945824979</v>
      </c>
      <c r="X101" s="38">
        <v>8.4508698980034538</v>
      </c>
      <c r="Y101" s="39">
        <f>'Inputs and summary'!$B$2</f>
        <v>12.5</v>
      </c>
      <c r="Z101" s="40" cm="1">
        <f t="array" ref="Z101">INDEX($L$3:$X$148, ROW()-ROW(L$3)+1, _xlfn.XMATCH('Inputs and summary'!$B$3, Model!L$2:X$2, 0))</f>
        <v>8.2075027284570083</v>
      </c>
    </row>
    <row r="102" spans="10:26" x14ac:dyDescent="0.25">
      <c r="J102" s="35">
        <f t="shared" si="2"/>
        <v>80</v>
      </c>
      <c r="K102" s="36">
        <v>2080</v>
      </c>
      <c r="L102" s="37">
        <v>6.9945181684369953</v>
      </c>
      <c r="M102" s="37">
        <v>7.1098276110580123</v>
      </c>
      <c r="N102" s="37">
        <v>7.2256661179136605</v>
      </c>
      <c r="O102" s="37">
        <v>7.3420286136502</v>
      </c>
      <c r="P102" s="37">
        <v>7.4589099350885846</v>
      </c>
      <c r="Q102" s="37">
        <v>7.5763048375975695</v>
      </c>
      <c r="R102" s="37">
        <v>7.6942080014057632</v>
      </c>
      <c r="S102" s="37">
        <v>7.8126140378403264</v>
      </c>
      <c r="T102" s="37">
        <v>7.9315174954799534</v>
      </c>
      <c r="U102" s="37">
        <v>8.0509128662113909</v>
      </c>
      <c r="V102" s="37">
        <v>8.1707945911787778</v>
      </c>
      <c r="W102" s="37">
        <v>8.291157066616627</v>
      </c>
      <c r="X102" s="38">
        <v>8.4119946495575295</v>
      </c>
      <c r="Y102" s="39">
        <f>'Inputs and summary'!$B$2</f>
        <v>12.5</v>
      </c>
      <c r="Z102" s="40" cm="1">
        <f t="array" ref="Z102">INDEX($L$3:$X$148, ROW()-ROW(L$3)+1, _xlfn.XMATCH('Inputs and summary'!$B$3, Model!L$2:X$2, 0))</f>
        <v>8.1707945911787778</v>
      </c>
    </row>
    <row r="103" spans="10:26" x14ac:dyDescent="0.25">
      <c r="J103" s="35">
        <f t="shared" si="2"/>
        <v>80.769230769230774</v>
      </c>
      <c r="K103" s="36">
        <v>2100</v>
      </c>
      <c r="L103" s="37">
        <v>6.9687875823355379</v>
      </c>
      <c r="M103" s="37">
        <v>7.0830967387089689</v>
      </c>
      <c r="N103" s="37">
        <v>7.1979287391009699</v>
      </c>
      <c r="O103" s="37">
        <v>7.3132785666690063</v>
      </c>
      <c r="P103" s="37">
        <v>7.4291411176610325</v>
      </c>
      <c r="Q103" s="37">
        <v>7.5455112077220257</v>
      </c>
      <c r="R103" s="37">
        <v>7.6623835781401031</v>
      </c>
      <c r="S103" s="37">
        <v>7.7797529020202267</v>
      </c>
      <c r="T103" s="37">
        <v>7.8976137903730939</v>
      </c>
      <c r="U103" s="37">
        <v>8.0159607981086616</v>
      </c>
      <c r="V103" s="37">
        <v>8.134788429923649</v>
      </c>
      <c r="W103" s="37">
        <v>8.2540911460739554</v>
      </c>
      <c r="X103" s="38">
        <v>8.3738633680230983</v>
      </c>
      <c r="Y103" s="39">
        <f>'Inputs and summary'!$B$2</f>
        <v>12.5</v>
      </c>
      <c r="Z103" s="40" cm="1">
        <f t="array" ref="Z103">INDEX($L$3:$X$148, ROW()-ROW(L$3)+1, _xlfn.XMATCH('Inputs and summary'!$B$3, Model!L$2:X$2, 0))</f>
        <v>8.134788429923649</v>
      </c>
    </row>
    <row r="104" spans="10:26" x14ac:dyDescent="0.25">
      <c r="J104" s="35">
        <f t="shared" si="2"/>
        <v>81.538461538461533</v>
      </c>
      <c r="K104" s="36">
        <v>2120</v>
      </c>
      <c r="L104" s="37">
        <v>6.943542866362205</v>
      </c>
      <c r="M104" s="37">
        <v>7.0568707481793815</v>
      </c>
      <c r="N104" s="37">
        <v>7.1707153917204245</v>
      </c>
      <c r="O104" s="37">
        <v>7.2850718373394976</v>
      </c>
      <c r="P104" s="37">
        <v>7.3999350393748173</v>
      </c>
      <c r="Q104" s="37">
        <v>7.5152998723900719</v>
      </c>
      <c r="R104" s="37">
        <v>7.6311611373561785</v>
      </c>
      <c r="S104" s="37">
        <v>7.7475135677614135</v>
      </c>
      <c r="T104" s="37">
        <v>7.8643518356377085</v>
      </c>
      <c r="U104" s="37">
        <v>7.9816705574926026</v>
      </c>
      <c r="V104" s="37">
        <v>8.0994643001363205</v>
      </c>
      <c r="W104" s="37">
        <v>8.2177275863949859</v>
      </c>
      <c r="X104" s="38">
        <v>8.3364549007011561</v>
      </c>
      <c r="Y104" s="39">
        <f>'Inputs and summary'!$B$2</f>
        <v>12.5</v>
      </c>
      <c r="Z104" s="40" cm="1">
        <f t="array" ref="Z104">INDEX($L$3:$X$148, ROW()-ROW(L$3)+1, _xlfn.XMATCH('Inputs and summary'!$B$3, Model!L$2:X$2, 0))</f>
        <v>8.0994643001363205</v>
      </c>
    </row>
    <row r="105" spans="10:26" x14ac:dyDescent="0.25">
      <c r="J105" s="35">
        <f t="shared" si="2"/>
        <v>82.307692307692307</v>
      </c>
      <c r="K105" s="36">
        <v>2140</v>
      </c>
      <c r="L105" s="37">
        <v>6.9187703872395305</v>
      </c>
      <c r="M105" s="37">
        <v>7.031135469318011</v>
      </c>
      <c r="N105" s="37">
        <v>7.1440113643128704</v>
      </c>
      <c r="O105" s="37">
        <v>7.2573931685043052</v>
      </c>
      <c r="P105" s="37">
        <v>7.3712758930287352</v>
      </c>
      <c r="Q105" s="37">
        <v>7.4856544700566019</v>
      </c>
      <c r="R105" s="37">
        <v>7.6005237589111818</v>
      </c>
      <c r="S105" s="37">
        <v>7.7158785521166093</v>
      </c>
      <c r="T105" s="37">
        <v>7.8317135813629548</v>
      </c>
      <c r="U105" s="37">
        <v>7.9480235233780085</v>
      </c>
      <c r="V105" s="37">
        <v>8.0648030056952678</v>
      </c>
      <c r="W105" s="37">
        <v>8.1820466123092821</v>
      </c>
      <c r="X105" s="38">
        <v>8.2997488892095888</v>
      </c>
      <c r="Y105" s="39">
        <f>'Inputs and summary'!$B$2</f>
        <v>12.5</v>
      </c>
      <c r="Z105" s="40" cm="1">
        <f t="array" ref="Z105">INDEX($L$3:$X$148, ROW()-ROW(L$3)+1, _xlfn.XMATCH('Inputs and summary'!$B$3, Model!L$2:X$2, 0))</f>
        <v>8.0648030056952678</v>
      </c>
    </row>
    <row r="106" spans="10:26" x14ac:dyDescent="0.25">
      <c r="J106" s="35">
        <f t="shared" si="2"/>
        <v>83.07692307692308</v>
      </c>
      <c r="K106" s="36">
        <v>2160</v>
      </c>
      <c r="L106" s="37">
        <v>6.8944570170203479</v>
      </c>
      <c r="M106" s="37">
        <v>7.0058772573285122</v>
      </c>
      <c r="N106" s="37">
        <v>7.1178024909835429</v>
      </c>
      <c r="O106" s="37">
        <v>7.2302278689628725</v>
      </c>
      <c r="P106" s="37">
        <v>7.3431484579517967</v>
      </c>
      <c r="Q106" s="37">
        <v>7.4565592464590384</v>
      </c>
      <c r="R106" s="37">
        <v>7.5704551508740447</v>
      </c>
      <c r="S106" s="37">
        <v>7.6848310214542517</v>
      </c>
      <c r="T106" s="37">
        <v>7.7996816482303268</v>
      </c>
      <c r="U106" s="37">
        <v>7.9150017668190884</v>
      </c>
      <c r="V106" s="37">
        <v>8.0307860641337214</v>
      </c>
      <c r="W106" s="37">
        <v>8.1470291839825428</v>
      </c>
      <c r="X106" s="38">
        <v>8.2637257325475559</v>
      </c>
      <c r="Y106" s="39">
        <f>'Inputs and summary'!$B$2</f>
        <v>12.5</v>
      </c>
      <c r="Z106" s="40" cm="1">
        <f t="array" ref="Z106">INDEX($L$3:$X$148, ROW()-ROW(L$3)+1, _xlfn.XMATCH('Inputs and summary'!$B$3, Model!L$2:X$2, 0))</f>
        <v>8.0307860641337214</v>
      </c>
    </row>
    <row r="107" spans="10:26" x14ac:dyDescent="0.25">
      <c r="J107" s="35">
        <f t="shared" si="2"/>
        <v>83.84615384615384</v>
      </c>
      <c r="K107" s="36">
        <v>2180</v>
      </c>
      <c r="L107" s="37">
        <v>6.8705901098895872</v>
      </c>
      <c r="M107" s="37">
        <v>6.9810829686463514</v>
      </c>
      <c r="N107" s="37">
        <v>7.0920751263446444</v>
      </c>
      <c r="O107" s="37">
        <v>7.2035617874704059</v>
      </c>
      <c r="P107" s="37">
        <v>7.3155380730493196</v>
      </c>
      <c r="Q107" s="37">
        <v>7.4279990267015226</v>
      </c>
      <c r="R107" s="37">
        <v>7.540939620638726</v>
      </c>
      <c r="S107" s="37">
        <v>7.6543547615920495</v>
      </c>
      <c r="T107" s="37">
        <v>7.7682392966587237</v>
      </c>
      <c r="U107" s="37">
        <v>7.8825880190574455</v>
      </c>
      <c r="V107" s="37">
        <v>7.9973956737820817</v>
      </c>
      <c r="W107" s="37">
        <v>8.1126569631450582</v>
      </c>
      <c r="X107" s="38">
        <v>8.2283665522017788</v>
      </c>
      <c r="Y107" s="39">
        <f>'Inputs and summary'!$B$2</f>
        <v>12.5</v>
      </c>
      <c r="Z107" s="40" cm="1">
        <f t="array" ref="Z107">INDEX($L$3:$X$148, ROW()-ROW(L$3)+1, _xlfn.XMATCH('Inputs and summary'!$B$3, Model!L$2:X$2, 0))</f>
        <v>7.9973956737820817</v>
      </c>
    </row>
    <row r="108" spans="10:26" x14ac:dyDescent="0.25">
      <c r="J108" s="35">
        <f t="shared" si="2"/>
        <v>84.615384615384613</v>
      </c>
      <c r="K108" s="36">
        <v>2200</v>
      </c>
      <c r="L108" s="37">
        <v>6.8471574802324184</v>
      </c>
      <c r="M108" s="37">
        <v>6.9567399381328086</v>
      </c>
      <c r="N108" s="37">
        <v>7.0668161218263723</v>
      </c>
      <c r="O108" s="37">
        <v>7.1773812881571608</v>
      </c>
      <c r="P108" s="37">
        <v>7.2884306113218553</v>
      </c>
      <c r="Q108" s="37">
        <v>7.3999591888649325</v>
      </c>
      <c r="R108" s="37">
        <v>7.5119620476168922</v>
      </c>
      <c r="S108" s="37">
        <v>7.6244341495639709</v>
      </c>
      <c r="T108" s="37">
        <v>7.7373703976375534</v>
      </c>
      <c r="U108" s="37">
        <v>7.8507656414131928</v>
      </c>
      <c r="V108" s="37">
        <v>7.9646146827090245</v>
      </c>
      <c r="W108" s="37">
        <v>8.0789122810749721</v>
      </c>
      <c r="X108" s="38">
        <v>8.1936531591641817</v>
      </c>
      <c r="Y108" s="39">
        <f>'Inputs and summary'!$B$2</f>
        <v>12.5</v>
      </c>
      <c r="Z108" s="40" cm="1">
        <f t="array" ref="Z108">INDEX($L$3:$X$148, ROW()-ROW(L$3)+1, _xlfn.XMATCH('Inputs and summary'!$B$3, Model!L$2:X$2, 0))</f>
        <v>7.9646146827090245</v>
      </c>
    </row>
    <row r="109" spans="10:26" x14ac:dyDescent="0.25">
      <c r="J109" s="35">
        <f t="shared" si="2"/>
        <v>85.384615384615387</v>
      </c>
      <c r="K109" s="36">
        <v>2220</v>
      </c>
      <c r="L109" s="37">
        <v>6.8241473818888103</v>
      </c>
      <c r="M109" s="37">
        <v>6.9328359575029683</v>
      </c>
      <c r="N109" s="37">
        <v>7.0420128032700182</v>
      </c>
      <c r="O109" s="37">
        <v>7.1516732272784491</v>
      </c>
      <c r="P109" s="37">
        <v>7.2618124557639447</v>
      </c>
      <c r="Q109" s="37">
        <v>7.3724256390463321</v>
      </c>
      <c r="R109" s="37">
        <v>7.4835078574101361</v>
      </c>
      <c r="S109" s="37">
        <v>7.5950541269174163</v>
      </c>
      <c r="T109" s="37">
        <v>7.7070594051411057</v>
      </c>
      <c r="U109" s="37">
        <v>7.8195185968088943</v>
      </c>
      <c r="V109" s="37">
        <v>7.9324265593475189</v>
      </c>
      <c r="W109" s="37">
        <v>8.0457781083189399</v>
      </c>
      <c r="X109" s="38">
        <v>8.1595680227399132</v>
      </c>
      <c r="Y109" s="39">
        <f>'Inputs and summary'!$B$2</f>
        <v>12.5</v>
      </c>
      <c r="Z109" s="40" cm="1">
        <f t="array" ref="Z109">INDEX($L$3:$X$148, ROW()-ROW(L$3)+1, _xlfn.XMATCH('Inputs and summary'!$B$3, Model!L$2:X$2, 0))</f>
        <v>7.9324265593475189</v>
      </c>
    </row>
    <row r="110" spans="10:26" x14ac:dyDescent="0.25">
      <c r="J110" s="35">
        <f t="shared" si="2"/>
        <v>86.15384615384616</v>
      </c>
      <c r="K110" s="36">
        <v>2240</v>
      </c>
      <c r="L110" s="37">
        <v>6.8015484885202646</v>
      </c>
      <c r="M110" s="37">
        <v>6.9093592549104619</v>
      </c>
      <c r="N110" s="37">
        <v>7.0176529497229057</v>
      </c>
      <c r="O110" s="37">
        <v>7.1264249312119841</v>
      </c>
      <c r="P110" s="37">
        <v>7.2356704765562512</v>
      </c>
      <c r="Q110" s="37">
        <v>7.3453847877383325</v>
      </c>
      <c r="R110" s="37">
        <v>7.4555629973690714</v>
      </c>
      <c r="S110" s="37">
        <v>7.5662001744446563</v>
      </c>
      <c r="T110" s="37">
        <v>7.6772913300250654</v>
      </c>
      <c r="U110" s="37">
        <v>7.7888314228239723</v>
      </c>
      <c r="V110" s="37">
        <v>7.9008153647000405</v>
      </c>
      <c r="W110" s="37">
        <v>8.0132380260411775</v>
      </c>
      <c r="X110" s="38">
        <v>8.126094241033325</v>
      </c>
      <c r="Y110" s="39">
        <f>'Inputs and summary'!$B$2</f>
        <v>12.5</v>
      </c>
      <c r="Z110" s="40" cm="1">
        <f t="array" ref="Z110">INDEX($L$3:$X$148, ROW()-ROW(L$3)+1, _xlfn.XMATCH('Inputs and summary'!$B$3, Model!L$2:X$2, 0))</f>
        <v>7.9008153647000405</v>
      </c>
    </row>
    <row r="111" spans="10:26" x14ac:dyDescent="0.25">
      <c r="J111" s="35">
        <f t="shared" si="2"/>
        <v>86.92307692307692</v>
      </c>
      <c r="K111" s="36">
        <v>2260</v>
      </c>
      <c r="L111" s="37">
        <v>6.7793498750197987</v>
      </c>
      <c r="M111" s="37">
        <v>6.8862984756172816</v>
      </c>
      <c r="N111" s="37">
        <v>6.9937247733606265</v>
      </c>
      <c r="O111" s="37">
        <v>7.1016241756252825</v>
      </c>
      <c r="P111" s="37">
        <v>7.2099920094708558</v>
      </c>
      <c r="Q111" s="37">
        <v>7.3188235274651694</v>
      </c>
      <c r="R111" s="37">
        <v>7.4281139134531688</v>
      </c>
      <c r="S111" s="37">
        <v>7.5378582882594749</v>
      </c>
      <c r="T111" s="37">
        <v>7.6480517153131018</v>
      </c>
      <c r="U111" s="37">
        <v>7.7586892061844717</v>
      </c>
      <c r="V111" s="37">
        <v>7.8697657260248262</v>
      </c>
      <c r="W111" s="37">
        <v>7.9812761988996286</v>
      </c>
      <c r="X111" s="38">
        <v>8.0932155130076016</v>
      </c>
      <c r="Y111" s="39">
        <f>'Inputs and summary'!$B$2</f>
        <v>12.5</v>
      </c>
      <c r="Z111" s="40" cm="1">
        <f t="array" ref="Z111">INDEX($L$3:$X$148, ROW()-ROW(L$3)+1, _xlfn.XMATCH('Inputs and summary'!$B$3, Model!L$2:X$2, 0))</f>
        <v>7.8697657260248262</v>
      </c>
    </row>
    <row r="112" spans="10:26" x14ac:dyDescent="0.25">
      <c r="J112" s="35">
        <f t="shared" si="2"/>
        <v>87.692307692307693</v>
      </c>
      <c r="K112" s="36">
        <v>2280</v>
      </c>
      <c r="L112" s="37">
        <v>6.7575409999011047</v>
      </c>
      <c r="M112" s="37">
        <v>6.8636426636819285</v>
      </c>
      <c r="N112" s="37">
        <v>6.9702169004672587</v>
      </c>
      <c r="O112" s="37">
        <v>7.077259165741058</v>
      </c>
      <c r="P112" s="37">
        <v>7.1847648354150806</v>
      </c>
      <c r="Q112" s="37">
        <v>7.2927292115982212</v>
      </c>
      <c r="R112" s="37">
        <v>7.4011475283113048</v>
      </c>
      <c r="S112" s="37">
        <v>7.510014957136212</v>
      </c>
      <c r="T112" s="37">
        <v>7.6193266127879227</v>
      </c>
      <c r="U112" s="37">
        <v>7.7290775585997542</v>
      </c>
      <c r="V112" s="37">
        <v>7.8392628119119321</v>
      </c>
      <c r="W112" s="37">
        <v>7.9498773493551624</v>
      </c>
      <c r="X112" s="38">
        <v>8.0609161120209709</v>
      </c>
      <c r="Y112" s="39">
        <f>'Inputs and summary'!$B$2</f>
        <v>12.5</v>
      </c>
      <c r="Z112" s="40" cm="1">
        <f t="array" ref="Z112">INDEX($L$3:$X$148, ROW()-ROW(L$3)+1, _xlfn.XMATCH('Inputs and summary'!$B$3, Model!L$2:X$2, 0))</f>
        <v>7.8392628119119321</v>
      </c>
    </row>
    <row r="113" spans="10:26" x14ac:dyDescent="0.25">
      <c r="J113" s="35">
        <f t="shared" si="2"/>
        <v>88.461538461538467</v>
      </c>
      <c r="K113" s="36">
        <v>2300</v>
      </c>
      <c r="L113" s="37">
        <v>6.7361116886071422</v>
      </c>
      <c r="M113" s="37">
        <v>6.8413812446038866</v>
      </c>
      <c r="N113" s="37">
        <v>6.9471183534091292</v>
      </c>
      <c r="O113" s="37">
        <v>7.0533185176337874</v>
      </c>
      <c r="P113" s="37">
        <v>7.1599771610444218</v>
      </c>
      <c r="Q113" s="37">
        <v>7.267089634278971</v>
      </c>
      <c r="R113" s="37">
        <v>7.3746512205085404</v>
      </c>
      <c r="S113" s="37">
        <v>7.482657141034144</v>
      </c>
      <c r="T113" s="37">
        <v>7.5911025608071743</v>
      </c>
      <c r="U113" s="37">
        <v>7.6999825938638899</v>
      </c>
      <c r="V113" s="37">
        <v>7.8092923086641575</v>
      </c>
      <c r="W113" s="37">
        <v>7.9190267333262216</v>
      </c>
      <c r="X113" s="38">
        <v>8.0291808607492925</v>
      </c>
      <c r="Y113" s="39">
        <f>'Inputs and summary'!$B$2</f>
        <v>12.5</v>
      </c>
      <c r="Z113" s="40" cm="1">
        <f t="array" ref="Z113">INDEX($L$3:$X$148, ROW()-ROW(L$3)+1, _xlfn.XMATCH('Inputs and summary'!$B$3, Model!L$2:X$2, 0))</f>
        <v>7.8092923086641575</v>
      </c>
    </row>
    <row r="114" spans="10:26" x14ac:dyDescent="0.25">
      <c r="J114" s="35">
        <f t="shared" si="2"/>
        <v>89.230769230769226</v>
      </c>
      <c r="K114" s="36">
        <v>2320</v>
      </c>
      <c r="L114" s="37">
        <v>6.7150521176827862</v>
      </c>
      <c r="M114" s="37">
        <v>6.8195040088666321</v>
      </c>
      <c r="N114" s="37">
        <v>6.9244185335420365</v>
      </c>
      <c r="O114" s="37">
        <v>7.0297912404950518</v>
      </c>
      <c r="P114" s="37">
        <v>7.1356176003799598</v>
      </c>
      <c r="Q114" s="37">
        <v>7.2418930113825279</v>
      </c>
      <c r="R114" s="37">
        <v>7.3486128048297967</v>
      </c>
      <c r="S114" s="37">
        <v>7.4557722507355191</v>
      </c>
      <c r="T114" s="37">
        <v>7.5633665632700735</v>
      </c>
      <c r="U114" s="37">
        <v>7.671390906145195</v>
      </c>
      <c r="V114" s="37">
        <v>7.7798403979039072</v>
      </c>
      <c r="W114" s="37">
        <v>7.8887101171074381</v>
      </c>
      <c r="X114" s="38">
        <v>7.9979951074110067</v>
      </c>
      <c r="Y114" s="39">
        <f>'Inputs and summary'!$B$2</f>
        <v>12.5</v>
      </c>
      <c r="Z114" s="40" cm="1">
        <f t="array" ref="Z114">INDEX($L$3:$X$148, ROW()-ROW(L$3)+1, _xlfn.XMATCH('Inputs and summary'!$B$3, Model!L$2:X$2, 0))</f>
        <v>7.7798403979039072</v>
      </c>
    </row>
    <row r="115" spans="10:26" x14ac:dyDescent="0.25">
      <c r="J115" s="35">
        <f t="shared" si="2"/>
        <v>90</v>
      </c>
      <c r="K115" s="36">
        <v>2340</v>
      </c>
      <c r="L115" s="37">
        <v>6.6943527997596437</v>
      </c>
      <c r="M115" s="37">
        <v>6.7980010963253887</v>
      </c>
      <c r="N115" s="37">
        <v>6.9021072049960974</v>
      </c>
      <c r="O115" s="37">
        <v>7.0066667198096546</v>
      </c>
      <c r="P115" s="37">
        <v>7.1116751573700707</v>
      </c>
      <c r="Q115" s="37">
        <v>7.2171279624592604</v>
      </c>
      <c r="R115" s="37">
        <v>7.323020513595865</v>
      </c>
      <c r="S115" s="37">
        <v>7.4293481285304246</v>
      </c>
      <c r="T115" s="37">
        <v>7.5361060696656814</v>
      </c>
      <c r="U115" s="37">
        <v>7.6432895493925788</v>
      </c>
      <c r="V115" s="37">
        <v>7.7508937353323075</v>
      </c>
      <c r="W115" s="37">
        <v>7.8589137554763173</v>
      </c>
      <c r="X115" s="38">
        <v>7.967344703216229</v>
      </c>
      <c r="Y115" s="39">
        <f>'Inputs and summary'!$B$2</f>
        <v>12.5</v>
      </c>
      <c r="Z115" s="40" cm="1">
        <f t="array" ref="Z115">INDEX($L$3:$X$148, ROW()-ROW(L$3)+1, _xlfn.XMATCH('Inputs and summary'!$B$3, Model!L$2:X$2, 0))</f>
        <v>7.7508937353323075</v>
      </c>
    </row>
    <row r="116" spans="10:26" x14ac:dyDescent="0.25">
      <c r="J116" s="35">
        <f t="shared" si="2"/>
        <v>90.769230769230774</v>
      </c>
      <c r="K116" s="36">
        <v>2360</v>
      </c>
      <c r="L116" s="37">
        <v>6.6740045693049339</v>
      </c>
      <c r="M116" s="37">
        <v>6.776862981389459</v>
      </c>
      <c r="N116" s="37">
        <v>6.8801744792859987</v>
      </c>
      <c r="O116" s="37">
        <v>6.9839347013883923</v>
      </c>
      <c r="P116" s="37">
        <v>7.0881392093402926</v>
      </c>
      <c r="Q116" s="37">
        <v>7.1927834935964414</v>
      </c>
      <c r="R116" s="37">
        <v>7.297862978931577</v>
      </c>
      <c r="S116" s="37">
        <v>7.403373029886259</v>
      </c>
      <c r="T116" s="37">
        <v>7.5093089561385735</v>
      </c>
      <c r="U116" s="37">
        <v>7.6156660177923055</v>
      </c>
      <c r="V116" s="37">
        <v>7.7224394305720603</v>
      </c>
      <c r="W116" s="37">
        <v>7.8296243709172639</v>
      </c>
      <c r="X116" s="38">
        <v>7.9372159809670926</v>
      </c>
      <c r="Y116" s="39">
        <f>'Inputs and summary'!$B$2</f>
        <v>12.5</v>
      </c>
      <c r="Z116" s="40" cm="1">
        <f t="array" ref="Z116">INDEX($L$3:$X$148, ROW()-ROW(L$3)+1, _xlfn.XMATCH('Inputs and summary'!$B$3, Model!L$2:X$2, 0))</f>
        <v>7.7224394305720603</v>
      </c>
    </row>
    <row r="117" spans="10:26" x14ac:dyDescent="0.25">
      <c r="J117" s="35">
        <f t="shared" si="2"/>
        <v>91.538461538461533</v>
      </c>
      <c r="K117" s="36">
        <v>2380</v>
      </c>
      <c r="L117" s="37">
        <v>6.6539985690894259</v>
      </c>
      <c r="M117" s="37">
        <v>6.7560804589523453</v>
      </c>
      <c r="N117" s="37">
        <v>6.8586108006981412</v>
      </c>
      <c r="O117" s="37">
        <v>6.9615852762070407</v>
      </c>
      <c r="P117" s="37">
        <v>7.064999491279055</v>
      </c>
      <c r="Q117" s="37">
        <v>7.1688489811457075</v>
      </c>
      <c r="R117" s="37">
        <v>7.2731292159299805</v>
      </c>
      <c r="S117" s="37">
        <v>7.3778356060437371</v>
      </c>
      <c r="T117" s="37">
        <v>7.482963507511788</v>
      </c>
      <c r="U117" s="37">
        <v>7.5885082272131275</v>
      </c>
      <c r="V117" s="37">
        <v>7.6944650280300397</v>
      </c>
      <c r="W117" s="37">
        <v>7.8008291338969693</v>
      </c>
      <c r="X117" s="38">
        <v>7.9075957347413199</v>
      </c>
      <c r="Y117" s="39">
        <f>'Inputs and summary'!$B$2</f>
        <v>12.5</v>
      </c>
      <c r="Z117" s="40" cm="1">
        <f t="array" ref="Z117">INDEX($L$3:$X$148, ROW()-ROW(L$3)+1, _xlfn.XMATCH('Inputs and summary'!$B$3, Model!L$2:X$2, 0))</f>
        <v>7.6944650280300397</v>
      </c>
    </row>
    <row r="118" spans="10:26" x14ac:dyDescent="0.25">
      <c r="J118" s="35">
        <f t="shared" si="2"/>
        <v>92.307692307692307</v>
      </c>
      <c r="K118" s="36">
        <v>2400</v>
      </c>
      <c r="L118" s="37">
        <v>6.6343262373324308</v>
      </c>
      <c r="M118" s="37">
        <v>6.7356446310260409</v>
      </c>
      <c r="N118" s="37">
        <v>6.837406932409233</v>
      </c>
      <c r="O118" s="37">
        <v>6.9396088660044111</v>
      </c>
      <c r="P118" s="37">
        <v>7.0422460809104042</v>
      </c>
      <c r="Q118" s="37">
        <v>7.1453141562656617</v>
      </c>
      <c r="R118" s="37">
        <v>7.2488086066601261</v>
      </c>
      <c r="S118" s="37">
        <v>7.3527248874852269</v>
      </c>
      <c r="T118" s="37">
        <v>7.45705840021113</v>
      </c>
      <c r="U118" s="37">
        <v>7.5618044975820133</v>
      </c>
      <c r="V118" s="37">
        <v>7.6669584887199669</v>
      </c>
      <c r="W118" s="37">
        <v>7.7725156441296228</v>
      </c>
      <c r="X118" s="38">
        <v>7.878471200595639</v>
      </c>
      <c r="Y118" s="39">
        <f>'Inputs and summary'!$B$2</f>
        <v>12.5</v>
      </c>
      <c r="Z118" s="40" cm="1">
        <f t="array" ref="Z118">INDEX($L$3:$X$148, ROW()-ROW(L$3)+1, _xlfn.XMATCH('Inputs and summary'!$B$3, Model!L$2:X$2, 0))</f>
        <v>7.6669584887199669</v>
      </c>
    </row>
    <row r="119" spans="10:26" x14ac:dyDescent="0.25">
      <c r="J119" s="35">
        <f t="shared" si="2"/>
        <v>93.07692307692308</v>
      </c>
      <c r="K119" s="36">
        <v>2420</v>
      </c>
      <c r="L119" s="37">
        <v>6.6149792954846998</v>
      </c>
      <c r="M119" s="37">
        <v>6.7155468940386216</v>
      </c>
      <c r="N119" s="37">
        <v>6.8165539432940205</v>
      </c>
      <c r="O119" s="37">
        <v>6.9179962095955609</v>
      </c>
      <c r="P119" s="37">
        <v>7.0198693845081355</v>
      </c>
      <c r="Q119" s="37">
        <v>7.1221690902324335</v>
      </c>
      <c r="R119" s="37">
        <v>7.2248908849696383</v>
      </c>
      <c r="S119" s="37">
        <v>7.3280302682248628</v>
      </c>
      <c r="T119" s="37">
        <v>7.4315826860385226</v>
      </c>
      <c r="U119" s="37">
        <v>7.5355435361364389</v>
      </c>
      <c r="V119" s="37">
        <v>7.6399081729894229</v>
      </c>
      <c r="W119" s="37">
        <v>7.7446719127744732</v>
      </c>
      <c r="X119" s="38">
        <v>7.8498300382297757</v>
      </c>
      <c r="Y119" s="39">
        <f>'Inputs and summary'!$B$2</f>
        <v>12.5</v>
      </c>
      <c r="Z119" s="40" cm="1">
        <f t="array" ref="Z119">INDEX($L$3:$X$148, ROW()-ROW(L$3)+1, _xlfn.XMATCH('Inputs and summary'!$B$3, Model!L$2:X$2, 0))</f>
        <v>7.6399081729894229</v>
      </c>
    </row>
    <row r="120" spans="10:26" x14ac:dyDescent="0.25">
      <c r="J120" s="35">
        <f t="shared" si="2"/>
        <v>93.84615384615384</v>
      </c>
      <c r="K120" s="36">
        <v>2440</v>
      </c>
      <c r="L120" s="37">
        <v>6.5959497366125444</v>
      </c>
      <c r="M120" s="37">
        <v>6.695778926757181</v>
      </c>
      <c r="N120" s="37">
        <v>6.7960431953825369</v>
      </c>
      <c r="O120" s="37">
        <v>6.896738349859044</v>
      </c>
      <c r="P120" s="37">
        <v>6.9978601234087332</v>
      </c>
      <c r="Q120" s="37">
        <v>7.0994041804740382</v>
      </c>
      <c r="R120" s="37">
        <v>7.2013661220362364</v>
      </c>
      <c r="S120" s="37">
        <v>7.3037414908731648</v>
      </c>
      <c r="T120" s="37">
        <v>7.4065257767455499</v>
      </c>
      <c r="U120" s="37">
        <v>7.5097144215028173</v>
      </c>
      <c r="V120" s="37">
        <v>7.6133028240991534</v>
      </c>
      <c r="W120" s="37">
        <v>7.7172863455120773</v>
      </c>
      <c r="X120" s="38">
        <v>7.8216603135557339</v>
      </c>
      <c r="Y120" s="39">
        <f>'Inputs and summary'!$B$2</f>
        <v>12.5</v>
      </c>
      <c r="Z120" s="40" cm="1">
        <f t="array" ref="Z120">INDEX($L$3:$X$148, ROW()-ROW(L$3)+1, _xlfn.XMATCH('Inputs and summary'!$B$3, Model!L$2:X$2, 0))</f>
        <v>7.6133028240991534</v>
      </c>
    </row>
    <row r="121" spans="10:26" x14ac:dyDescent="0.25">
      <c r="J121" s="35">
        <f t="shared" si="2"/>
        <v>94.615384615384613</v>
      </c>
      <c r="K121" s="36">
        <v>2460</v>
      </c>
      <c r="L121" s="37">
        <v>6.5772298143489989</v>
      </c>
      <c r="M121" s="37">
        <v>6.6763326788003425</v>
      </c>
      <c r="N121" s="37">
        <v>6.7758663319298655</v>
      </c>
      <c r="O121" s="37">
        <v>6.8758266213597796</v>
      </c>
      <c r="P121" s="37">
        <v>6.9762093211832443</v>
      </c>
      <c r="Q121" s="37">
        <v>7.0770101372872487</v>
      </c>
      <c r="R121" s="37">
        <v>7.1782247126256333</v>
      </c>
      <c r="S121" s="37">
        <v>7.2798486324319462</v>
      </c>
      <c r="T121" s="37">
        <v>7.3818774293615412</v>
      </c>
      <c r="U121" s="37">
        <v>7.4843065885539106</v>
      </c>
      <c r="V121" s="37">
        <v>7.5871315526060137</v>
      </c>
      <c r="W121" s="37">
        <v>7.6903477264490103</v>
      </c>
      <c r="X121" s="38">
        <v>7.7939504821206071</v>
      </c>
      <c r="Y121" s="39">
        <f>'Inputs and summary'!$B$2</f>
        <v>12.5</v>
      </c>
      <c r="Z121" s="40" cm="1">
        <f t="array" ref="Z121">INDEX($L$3:$X$148, ROW()-ROW(L$3)+1, _xlfn.XMATCH('Inputs and summary'!$B$3, Model!L$2:X$2, 0))</f>
        <v>7.5871315526060137</v>
      </c>
    </row>
    <row r="122" spans="10:26" x14ac:dyDescent="0.25">
      <c r="J122" s="35">
        <f t="shared" si="2"/>
        <v>95.384615384615387</v>
      </c>
      <c r="K122" s="36">
        <v>2480</v>
      </c>
      <c r="L122" s="37">
        <v>6.5588120323799703</v>
      </c>
      <c r="M122" s="37">
        <v>6.6572003597071943</v>
      </c>
      <c r="N122" s="37">
        <v>6.7560152660638355</v>
      </c>
      <c r="O122" s="37">
        <v>6.8552526385716197</v>
      </c>
      <c r="P122" s="37">
        <v>6.9549082914308809</v>
      </c>
      <c r="Q122" s="37">
        <v>7.0549779711983831</v>
      </c>
      <c r="R122" s="37">
        <v>7.155457362015742</v>
      </c>
      <c r="S122" s="37">
        <v>7.2563420907782357</v>
      </c>
      <c r="T122" s="37">
        <v>7.3576277322334978</v>
      </c>
      <c r="U122" s="37">
        <v>7.4593098140011058</v>
      </c>
      <c r="V122" s="37">
        <v>7.5613838215040108</v>
      </c>
      <c r="W122" s="37">
        <v>7.6638452028041479</v>
      </c>
      <c r="X122" s="38">
        <v>7.7666893733345894</v>
      </c>
      <c r="Y122" s="39">
        <f>'Inputs and summary'!$B$2</f>
        <v>12.5</v>
      </c>
      <c r="Z122" s="40" cm="1">
        <f t="array" ref="Z122">INDEX($L$3:$X$148, ROW()-ROW(L$3)+1, _xlfn.XMATCH('Inputs and summary'!$B$3, Model!L$2:X$2, 0))</f>
        <v>7.5613838215040108</v>
      </c>
    </row>
    <row r="123" spans="10:26" x14ac:dyDescent="0.25">
      <c r="J123" s="35">
        <f t="shared" si="2"/>
        <v>96.15384615384616</v>
      </c>
      <c r="K123" s="36">
        <v>2500</v>
      </c>
      <c r="L123" s="37">
        <v>6.5406891344353699</v>
      </c>
      <c r="M123" s="37">
        <v>6.6383744285312654</v>
      </c>
      <c r="N123" s="37">
        <v>6.7364821699782018</v>
      </c>
      <c r="O123" s="37">
        <v>6.835008284666003</v>
      </c>
      <c r="P123" s="37">
        <v>6.9339486261594647</v>
      </c>
      <c r="Q123" s="37">
        <v>7.0332989809319146</v>
      </c>
      <c r="R123" s="37">
        <v>7.133055073549861</v>
      </c>
      <c r="S123" s="37">
        <v>7.2332125717985161</v>
      </c>
      <c r="T123" s="37">
        <v>7.3337670917378617</v>
      </c>
      <c r="U123" s="37">
        <v>7.4347142026803059</v>
      </c>
      <c r="V123" s="37">
        <v>7.5360494320808975</v>
      </c>
      <c r="W123" s="37">
        <v>7.6377682703325931</v>
      </c>
      <c r="X123" s="38">
        <v>7.7398661754589266</v>
      </c>
      <c r="Y123" s="39">
        <f>'Inputs and summary'!$B$2</f>
        <v>12.5</v>
      </c>
      <c r="Z123" s="40" cm="1">
        <f t="array" ref="Z123">INDEX($L$3:$X$148, ROW()-ROW(L$3)+1, _xlfn.XMATCH('Inputs and summary'!$B$3, Model!L$2:X$2, 0))</f>
        <v>7.5360494320808975</v>
      </c>
    </row>
    <row r="124" spans="10:26" x14ac:dyDescent="0.25">
      <c r="J124" s="35">
        <f t="shared" si="2"/>
        <v>96.92307692307692</v>
      </c>
      <c r="K124" s="36">
        <v>2520</v>
      </c>
      <c r="L124" s="37">
        <v>6.5228540947571858</v>
      </c>
      <c r="M124" s="37">
        <v>6.6198475839305759</v>
      </c>
      <c r="N124" s="37">
        <v>6.7172594646410264</v>
      </c>
      <c r="O124" s="37">
        <v>6.8150857008351711</v>
      </c>
      <c r="P124" s="37">
        <v>6.9133221847200126</v>
      </c>
      <c r="Q124" s="37">
        <v>7.0119647419530349</v>
      </c>
      <c r="R124" s="37">
        <v>7.1110091367838004</v>
      </c>
      <c r="S124" s="37">
        <v>7.21045107713703</v>
      </c>
      <c r="T124" s="37">
        <v>7.3102862196267555</v>
      </c>
      <c r="U124" s="37">
        <v>7.4105101744927637</v>
      </c>
      <c r="V124" s="37">
        <v>7.5111185104503884</v>
      </c>
      <c r="W124" s="37">
        <v>7.612106759446096</v>
      </c>
      <c r="X124" s="38">
        <v>7.7134704213113885</v>
      </c>
      <c r="Y124" s="39">
        <f>'Inputs and summary'!$B$2</f>
        <v>12.5</v>
      </c>
      <c r="Z124" s="40" cm="1">
        <f t="array" ref="Z124">INDEX($L$3:$X$148, ROW()-ROW(L$3)+1, _xlfn.XMATCH('Inputs and summary'!$B$3, Model!L$2:X$2, 0))</f>
        <v>7.5111185104503884</v>
      </c>
    </row>
    <row r="125" spans="10:26" x14ac:dyDescent="0.25">
      <c r="J125" s="35">
        <f t="shared" si="2"/>
        <v>97.692307692307693</v>
      </c>
      <c r="K125" s="36">
        <v>2540</v>
      </c>
      <c r="L125" s="37">
        <v>6.5053001090181919</v>
      </c>
      <c r="M125" s="37">
        <v>6.6016127547261885</v>
      </c>
      <c r="N125" s="37">
        <v>6.6983398099897737</v>
      </c>
      <c r="O125" s="37">
        <v>6.795477276120474</v>
      </c>
      <c r="P125" s="37">
        <v>6.893021083264971</v>
      </c>
      <c r="Q125" s="37">
        <v>6.9909670955524863</v>
      </c>
      <c r="R125" s="37">
        <v>7.0893111161941498</v>
      </c>
      <c r="S125" s="37">
        <v>7.188048892524316</v>
      </c>
      <c r="T125" s="37">
        <v>7.2871761209735677</v>
      </c>
      <c r="U125" s="37">
        <v>7.3866884519646892</v>
      </c>
      <c r="V125" s="37">
        <v>7.486581494722703</v>
      </c>
      <c r="W125" s="37">
        <v>7.5868508219915016</v>
      </c>
      <c r="X125" s="38">
        <v>7.6874919746496388</v>
      </c>
      <c r="Y125" s="39">
        <f>'Inputs and summary'!$B$2</f>
        <v>12.5</v>
      </c>
      <c r="Z125" s="40" cm="1">
        <f t="array" ref="Z125">INDEX($L$3:$X$148, ROW()-ROW(L$3)+1, _xlfn.XMATCH('Inputs and summary'!$B$3, Model!L$2:X$2, 0))</f>
        <v>7.486581494722703</v>
      </c>
    </row>
    <row r="126" spans="10:26" x14ac:dyDescent="0.25">
      <c r="J126" s="35">
        <f t="shared" si="2"/>
        <v>98.461538461538467</v>
      </c>
      <c r="K126" s="36">
        <v>2560</v>
      </c>
      <c r="L126" s="37">
        <v>6.4880205856666127</v>
      </c>
      <c r="M126" s="37">
        <v>6.583663090903757</v>
      </c>
      <c r="N126" s="37">
        <v>6.6797160955865156</v>
      </c>
      <c r="O126" s="37">
        <v>6.7761756377180919</v>
      </c>
      <c r="P126" s="37">
        <v>6.8730376847012913</v>
      </c>
      <c r="Q126" s="37">
        <v>6.9702981384439884</v>
      </c>
      <c r="R126" s="37">
        <v>7.0679528404169307</v>
      </c>
      <c r="S126" s="37">
        <v>7.1659975766540622</v>
      </c>
      <c r="T126" s="37">
        <v>7.2644280826850842</v>
      </c>
      <c r="U126" s="37">
        <v>7.3632400483916545</v>
      </c>
      <c r="V126" s="37">
        <v>7.4624291227783548</v>
      </c>
      <c r="W126" s="37">
        <v>7.5619909186510501</v>
      </c>
      <c r="X126" s="38">
        <v>7.6619210171952234</v>
      </c>
      <c r="Y126" s="39">
        <f>'Inputs and summary'!$B$2</f>
        <v>12.5</v>
      </c>
      <c r="Z126" s="40" cm="1">
        <f t="array" ref="Z126">INDEX($L$3:$X$148, ROW()-ROW(L$3)+1, _xlfn.XMATCH('Inputs and summary'!$B$3, Model!L$2:X$2, 0))</f>
        <v>7.4624291227783548</v>
      </c>
    </row>
    <row r="127" spans="10:26" x14ac:dyDescent="0.25">
      <c r="J127" s="35">
        <f t="shared" si="2"/>
        <v>99.230769230769226</v>
      </c>
      <c r="K127" s="36">
        <v>2580</v>
      </c>
      <c r="L127" s="37">
        <v>6.471009137673609</v>
      </c>
      <c r="M127" s="37">
        <v>6.5659919550339332</v>
      </c>
      <c r="N127" s="37">
        <v>6.6613814317082509</v>
      </c>
      <c r="O127" s="37">
        <v>6.7571736417362285</v>
      </c>
      <c r="P127" s="37">
        <v>6.8533645891115906</v>
      </c>
      <c r="Q127" s="37">
        <v>6.9499502128463471</v>
      </c>
      <c r="R127" s="37">
        <v>7.0469263919878005</v>
      </c>
      <c r="S127" s="37">
        <v>7.144288950578547</v>
      </c>
      <c r="T127" s="37">
        <v>7.2420336625493071</v>
      </c>
      <c r="U127" s="37">
        <v>7.3401562565360097</v>
      </c>
      <c r="V127" s="37">
        <v>7.4386524206123967</v>
      </c>
      <c r="W127" s="37">
        <v>7.5375178069307296</v>
      </c>
      <c r="X127" s="38">
        <v>7.6367480362633398</v>
      </c>
      <c r="Y127" s="39">
        <f>'Inputs and summary'!$B$2</f>
        <v>12.5</v>
      </c>
      <c r="Z127" s="40" cm="1">
        <f t="array" ref="Z127">INDEX($L$3:$X$148, ROW()-ROW(L$3)+1, _xlfn.XMATCH('Inputs and summary'!$B$3, Model!L$2:X$2, 0))</f>
        <v>7.4386524206123967</v>
      </c>
    </row>
    <row r="128" spans="10:26" x14ac:dyDescent="0.25">
      <c r="J128" s="35">
        <f t="shared" si="2"/>
        <v>100</v>
      </c>
      <c r="K128" s="36">
        <v>2600</v>
      </c>
      <c r="L128" s="37">
        <v>6.4542595746619327</v>
      </c>
      <c r="M128" s="37">
        <v>6.5485929140891148</v>
      </c>
      <c r="N128" s="37">
        <v>6.6433291408488575</v>
      </c>
      <c r="O128" s="37">
        <v>6.7384643643794657</v>
      </c>
      <c r="P128" s="37">
        <v>6.8339946246180272</v>
      </c>
      <c r="Q128" s="37">
        <v>6.9299158970241308</v>
      </c>
      <c r="R128" s="37">
        <v>7.0262240975567538</v>
      </c>
      <c r="S128" s="37">
        <v>7.1229150875946345</v>
      </c>
      <c r="T128" s="37">
        <v>7.219984678790043</v>
      </c>
      <c r="U128" s="37">
        <v>7.3174286378474296</v>
      </c>
      <c r="V128" s="37">
        <v>7.4152426912182907</v>
      </c>
      <c r="W128" s="37">
        <v>7.5134225297048882</v>
      </c>
      <c r="X128" s="38">
        <v>7.6119638129656195</v>
      </c>
      <c r="Y128" s="39">
        <f>'Inputs and summary'!$B$2</f>
        <v>12.5</v>
      </c>
      <c r="Z128" s="40" cm="1">
        <f t="array" ref="Z128">INDEX($L$3:$X$148, ROW()-ROW(L$3)+1, _xlfn.XMATCH('Inputs and summary'!$B$3, Model!L$2:X$2, 0))</f>
        <v>7.4152426912182907</v>
      </c>
    </row>
    <row r="129" spans="10:26" x14ac:dyDescent="0.25">
      <c r="J129" s="35">
        <f t="shared" si="2"/>
        <v>100.76923076923077</v>
      </c>
      <c r="K129" s="36">
        <v>2620</v>
      </c>
      <c r="L129" s="37">
        <v>6.4377658953953008</v>
      </c>
      <c r="M129" s="37">
        <v>6.5314597316352998</v>
      </c>
      <c r="N129" s="37">
        <v>6.6255527496107014</v>
      </c>
      <c r="O129" s="37">
        <v>6.7200410935373789</v>
      </c>
      <c r="P129" s="37">
        <v>6.8149208386652944</v>
      </c>
      <c r="Q129" s="37">
        <v>6.9101879962623602</v>
      </c>
      <c r="R129" s="37">
        <v>7.005838518551899</v>
      </c>
      <c r="S129" s="37">
        <v>7.1018683035940517</v>
      </c>
      <c r="T129" s="37">
        <v>7.1982732001011476</v>
      </c>
      <c r="U129" s="37">
        <v>7.2950490121785698</v>
      </c>
      <c r="V129" s="37">
        <v>7.3921915039824988</v>
      </c>
      <c r="W129" s="37">
        <v>7.4896964042872831</v>
      </c>
      <c r="X129" s="38">
        <v>7.587559410955226</v>
      </c>
      <c r="Y129" s="39">
        <f>'Inputs and summary'!$B$2</f>
        <v>12.5</v>
      </c>
      <c r="Z129" s="40" cm="1">
        <f t="array" ref="Z129">INDEX($L$3:$X$148, ROW()-ROW(L$3)+1, _xlfn.XMATCH('Inputs and summary'!$B$3, Model!L$2:X$2, 0))</f>
        <v>7.3921915039824988</v>
      </c>
    </row>
    <row r="130" spans="10:26" x14ac:dyDescent="0.25">
      <c r="J130" s="35">
        <f t="shared" si="2"/>
        <v>101.53846153846153</v>
      </c>
      <c r="K130" s="36">
        <v>2640</v>
      </c>
      <c r="L130" s="37">
        <v>6.4215222806093761</v>
      </c>
      <c r="M130" s="37">
        <v>6.5145863603791474</v>
      </c>
      <c r="N130" s="37">
        <v>6.6080459809651622</v>
      </c>
      <c r="O130" s="37">
        <v>6.7018973207559931</v>
      </c>
      <c r="P130" s="37">
        <v>6.7961364897004302</v>
      </c>
      <c r="Q130" s="37">
        <v>6.8907595342521564</v>
      </c>
      <c r="R130" s="37">
        <v>6.9857624422684585</v>
      </c>
      <c r="S130" s="37">
        <v>7.0811411478532857</v>
      </c>
      <c r="T130" s="37">
        <v>7.1768915361348817</v>
      </c>
      <c r="U130" s="37">
        <v>7.2730094479694891</v>
      </c>
      <c r="V130" s="37">
        <v>7.369490684562594</v>
      </c>
      <c r="W130" s="37">
        <v>7.4663310120005484</v>
      </c>
      <c r="X130" s="38">
        <v>7.5635261656853618</v>
      </c>
      <c r="Y130" s="39">
        <f>'Inputs and summary'!$B$2</f>
        <v>12.5</v>
      </c>
      <c r="Z130" s="40" cm="1">
        <f t="array" ref="Z130">INDEX($L$3:$X$148, ROW()-ROW(L$3)+1, _xlfn.XMATCH('Inputs and summary'!$B$3, Model!L$2:X$2, 0))</f>
        <v>7.369490684562594</v>
      </c>
    </row>
    <row r="131" spans="10:26" x14ac:dyDescent="0.25">
      <c r="J131" s="35">
        <f t="shared" si="2"/>
        <v>102.30769230769231</v>
      </c>
      <c r="K131" s="36">
        <v>2660</v>
      </c>
      <c r="L131" s="37">
        <v>6.4055230861664096</v>
      </c>
      <c r="M131" s="37">
        <v>6.4979669350515472</v>
      </c>
      <c r="N131" s="37">
        <v>6.5908027468626891</v>
      </c>
      <c r="O131" s="37">
        <v>6.6840267335718568</v>
      </c>
      <c r="P131" s="37">
        <v>6.7776350392285103</v>
      </c>
      <c r="Q131" s="37">
        <v>6.8716237448656869</v>
      </c>
      <c r="R131" s="37">
        <v>6.9659888733605744</v>
      </c>
      <c r="S131" s="37">
        <v>7.0607263942399054</v>
      </c>
      <c r="T131" s="37">
        <v>7.1558322284204383</v>
      </c>
      <c r="U131" s="37">
        <v>7.2513022528761066</v>
      </c>
      <c r="V131" s="37">
        <v>7.3471323052233961</v>
      </c>
      <c r="W131" s="37">
        <v>7.4433181882177806</v>
      </c>
      <c r="X131" s="38">
        <v>7.5398556741541061</v>
      </c>
      <c r="Y131" s="39">
        <f>'Inputs and summary'!$B$2</f>
        <v>12.5</v>
      </c>
      <c r="Z131" s="40" cm="1">
        <f t="array" ref="Z131">INDEX($L$3:$X$148, ROW()-ROW(L$3)+1, _xlfn.XMATCH('Inputs and summary'!$B$3, Model!L$2:X$2, 0))</f>
        <v>7.3471323052233961</v>
      </c>
    </row>
    <row r="132" spans="10:26" x14ac:dyDescent="0.25">
      <c r="J132" s="35">
        <f t="shared" ref="J132:J148" si="3">K132/$B$7</f>
        <v>103.07692307692308</v>
      </c>
      <c r="K132" s="36">
        <v>2680</v>
      </c>
      <c r="L132" s="37">
        <v>6.3897628365165335</v>
      </c>
      <c r="M132" s="37">
        <v>6.4815957656101002</v>
      </c>
      <c r="N132" s="37">
        <v>6.5738171411740911</v>
      </c>
      <c r="O132" s="37">
        <v>6.6664232081898316</v>
      </c>
      <c r="P132" s="37">
        <v>6.7594101442246188</v>
      </c>
      <c r="Q132" s="37">
        <v>6.8527740643000099</v>
      </c>
      <c r="R132" s="37">
        <v>6.9465110257148224</v>
      </c>
      <c r="S132" s="37">
        <v>7.0406170328135218</v>
      </c>
      <c r="T132" s="37">
        <v>7.1350880416901337</v>
      </c>
      <c r="U132" s="37">
        <v>7.2299199648194579</v>
      </c>
      <c r="V132" s="37">
        <v>7.3251086756071366</v>
      </c>
      <c r="W132" s="37">
        <v>7.4206500128514961</v>
      </c>
      <c r="X132" s="38">
        <v>7.5165397851100799</v>
      </c>
      <c r="Y132" s="39">
        <f>'Inputs and summary'!$B$2</f>
        <v>12.5</v>
      </c>
      <c r="Z132" s="40" cm="1">
        <f t="array" ref="Z132">INDEX($L$3:$X$148, ROW()-ROW(L$3)+1, _xlfn.XMATCH('Inputs and summary'!$B$3, Model!L$2:X$2, 0))</f>
        <v>7.3251086756071366</v>
      </c>
    </row>
    <row r="133" spans="10:26" x14ac:dyDescent="0.25">
      <c r="J133" s="35">
        <f t="shared" si="3"/>
        <v>103.84615384615384</v>
      </c>
      <c r="K133" s="36">
        <v>2700</v>
      </c>
      <c r="L133" s="37">
        <v>6.374236218449866</v>
      </c>
      <c r="M133" s="37">
        <v>6.4654673307439445</v>
      </c>
      <c r="N133" s="37">
        <v>6.5570834329458538</v>
      </c>
      <c r="O133" s="37">
        <v>6.6490808024866626</v>
      </c>
      <c r="P133" s="37">
        <v>6.7414556498835285</v>
      </c>
      <c r="Q133" s="37">
        <v>6.8342041235706912</v>
      </c>
      <c r="R133" s="37">
        <v>6.927322314685604</v>
      </c>
      <c r="S133" s="37">
        <v>7.020806261800832</v>
      </c>
      <c r="T133" s="37">
        <v>7.1146519555920369</v>
      </c>
      <c r="U133" s="37">
        <v>7.2088553434338181</v>
      </c>
      <c r="V133" s="37">
        <v>7.3034123339150483</v>
      </c>
      <c r="W133" s="37">
        <v>7.3983188012666767</v>
      </c>
      <c r="X133" s="38">
        <v>7.493570589694948</v>
      </c>
      <c r="Y133" s="39">
        <f>'Inputs and summary'!$B$2</f>
        <v>12.5</v>
      </c>
      <c r="Z133" s="40" cm="1">
        <f t="array" ref="Z133">INDEX($L$3:$X$148, ROW()-ROW(L$3)+1, _xlfn.XMATCH('Inputs and summary'!$B$3, Model!L$2:X$2, 0))</f>
        <v>7.3034123339150483</v>
      </c>
    </row>
    <row r="134" spans="10:26" x14ac:dyDescent="0.25">
      <c r="J134" s="35">
        <f t="shared" si="3"/>
        <v>104.61538461538461</v>
      </c>
      <c r="K134" s="36">
        <v>2720</v>
      </c>
      <c r="L134" s="37">
        <v>6.3589380751244491</v>
      </c>
      <c r="M134" s="37">
        <v>6.4495762716653573</v>
      </c>
      <c r="N134" s="37">
        <v>6.5405960599533257</v>
      </c>
      <c r="O134" s="37">
        <v>6.6319937493236747</v>
      </c>
      <c r="P134" s="37">
        <v>6.7237655826897349</v>
      </c>
      <c r="Q134" s="37">
        <v>6.8159077413371696</v>
      </c>
      <c r="R134" s="37">
        <v>6.9084163496737743</v>
      </c>
      <c r="S134" s="37">
        <v>7.0012874799255087</v>
      </c>
      <c r="T134" s="37">
        <v>7.0945171567691165</v>
      </c>
      <c r="U134" s="37">
        <v>7.1881013618931613</v>
      </c>
      <c r="V134" s="37">
        <v>7.2820360384791885</v>
      </c>
      <c r="W134" s="37">
        <v>7.3763170955960149</v>
      </c>
      <c r="X134" s="38">
        <v>7.4709404125002052</v>
      </c>
      <c r="Y134" s="39">
        <f>'Inputs and summary'!$B$2</f>
        <v>12.5</v>
      </c>
      <c r="Z134" s="40" cm="1">
        <f t="array" ref="Z134">INDEX($L$3:$X$148, ROW()-ROW(L$3)+1, _xlfn.XMATCH('Inputs and summary'!$B$3, Model!L$2:X$2, 0))</f>
        <v>7.2820360384791885</v>
      </c>
    </row>
    <row r="135" spans="10:26" x14ac:dyDescent="0.25">
      <c r="J135" s="35">
        <f t="shared" si="3"/>
        <v>105.38461538461539</v>
      </c>
      <c r="K135" s="36">
        <v>2740</v>
      </c>
      <c r="L135" s="37">
        <v>6.3438634003558381</v>
      </c>
      <c r="M135" s="37">
        <v>6.4339173861735235</v>
      </c>
      <c r="N135" s="37">
        <v>6.5243496225365369</v>
      </c>
      <c r="O135" s="37">
        <v>6.615156450152611</v>
      </c>
      <c r="P135" s="37">
        <v>6.706334143791425</v>
      </c>
      <c r="Q135" s="37">
        <v>6.7978789170428264</v>
      </c>
      <c r="R135" s="37">
        <v>6.889786927030908</v>
      </c>
      <c r="S135" s="37">
        <v>6.9820542790747364</v>
      </c>
      <c r="T135" s="37">
        <v>7.0746770312861447</v>
      </c>
      <c r="U135" s="37">
        <v>7.1676511990965412</v>
      </c>
      <c r="V135" s="37">
        <v>7.2609727597044307</v>
      </c>
      <c r="W135" s="37">
        <v>7.3546376564367328</v>
      </c>
      <c r="X135" s="38">
        <v>7.4486418030170061</v>
      </c>
      <c r="Y135" s="39">
        <f>'Inputs and summary'!$B$2</f>
        <v>12.5</v>
      </c>
      <c r="Z135" s="40" cm="1">
        <f t="array" ref="Z135">INDEX($L$3:$X$148, ROW()-ROW(L$3)+1, _xlfn.XMATCH('Inputs and summary'!$B$3, Model!L$2:X$2, 0))</f>
        <v>7.2609727597044307</v>
      </c>
    </row>
    <row r="136" spans="10:26" x14ac:dyDescent="0.25">
      <c r="J136" s="35">
        <f t="shared" si="3"/>
        <v>106.15384615384616</v>
      </c>
      <c r="K136" s="36">
        <v>2760</v>
      </c>
      <c r="L136" s="37">
        <v>6.3290073331552108</v>
      </c>
      <c r="M136" s="37">
        <v>6.4184856229765339</v>
      </c>
      <c r="N136" s="37">
        <v>6.5083388777042703</v>
      </c>
      <c r="O136" s="37">
        <v>6.5985634688998793</v>
      </c>
      <c r="P136" s="37">
        <v>6.6891557026629389</v>
      </c>
      <c r="Q136" s="37">
        <v>6.7801118243538392</v>
      </c>
      <c r="R136" s="37">
        <v>6.8714280232726823</v>
      </c>
      <c r="S136" s="37">
        <v>6.9631004372852718</v>
      </c>
      <c r="T136" s="37">
        <v>7.0551251573866409</v>
      </c>
      <c r="U136" s="37">
        <v>7.1474982321941516</v>
      </c>
      <c r="V136" s="37">
        <v>7.2402156723618969</v>
      </c>
      <c r="W136" s="37">
        <v>7.3332734549095875</v>
      </c>
      <c r="X136" s="38">
        <v>7.4266675274590241</v>
      </c>
      <c r="Y136" s="39">
        <f>'Inputs and summary'!$B$2</f>
        <v>12.5</v>
      </c>
      <c r="Z136" s="40" cm="1">
        <f t="array" ref="Z136">INDEX($L$3:$X$148, ROW()-ROW(L$3)+1, _xlfn.XMATCH('Inputs and summary'!$B$3, Model!L$2:X$2, 0))</f>
        <v>7.2402156723618969</v>
      </c>
    </row>
    <row r="137" spans="10:26" x14ac:dyDescent="0.25">
      <c r="J137" s="35">
        <f t="shared" si="3"/>
        <v>106.92307692307692</v>
      </c>
      <c r="K137" s="36">
        <v>2780</v>
      </c>
      <c r="L137" s="37">
        <v>6.314365152503294</v>
      </c>
      <c r="M137" s="37">
        <v>6.4032760762587317</v>
      </c>
      <c r="N137" s="37">
        <v>6.4925587334929062</v>
      </c>
      <c r="O137" s="37">
        <v>6.5822095261150722</v>
      </c>
      <c r="P137" s="37">
        <v>6.6722247910412005</v>
      </c>
      <c r="Q137" s="37">
        <v>6.7626008048817052</v>
      </c>
      <c r="R137" s="37">
        <v>6.8533337885857382</v>
      </c>
      <c r="S137" s="37">
        <v>6.9444199120329326</v>
      </c>
      <c r="T137" s="37">
        <v>7.0358552985632477</v>
      </c>
      <c r="U137" s="37">
        <v>7.1276360294368519</v>
      </c>
      <c r="V137" s="37">
        <v>7.2197581482159485</v>
      </c>
      <c r="W137" s="37">
        <v>7.3122176650617146</v>
      </c>
      <c r="X137" s="38">
        <v>7.4050105609395098</v>
      </c>
      <c r="Y137" s="39">
        <f>'Inputs and summary'!$B$2</f>
        <v>12.5</v>
      </c>
      <c r="Z137" s="40" cm="1">
        <f t="array" ref="Z137">INDEX($L$3:$X$148, ROW()-ROW(L$3)+1, _xlfn.XMATCH('Inputs and summary'!$B$3, Model!L$2:X$2, 0))</f>
        <v>7.2197581482159485</v>
      </c>
    </row>
    <row r="138" spans="10:26" x14ac:dyDescent="0.25">
      <c r="J138" s="35">
        <f t="shared" si="3"/>
        <v>107.69230769230769</v>
      </c>
      <c r="K138" s="36">
        <v>2800</v>
      </c>
      <c r="L138" s="37">
        <v>6.2999322723484541</v>
      </c>
      <c r="M138" s="37">
        <v>6.3882839804810398</v>
      </c>
      <c r="N138" s="37">
        <v>6.4770042435672703</v>
      </c>
      <c r="O138" s="37">
        <v>6.5660894933705851</v>
      </c>
      <c r="P138" s="37">
        <v>6.6555360971223774</v>
      </c>
      <c r="Q138" s="37">
        <v>6.7453403621752788</v>
      </c>
      <c r="R138" s="37">
        <v>6.8354985406133713</v>
      </c>
      <c r="S138" s="37">
        <v>6.9260068338102769</v>
      </c>
      <c r="T138" s="37">
        <v>7.0168613969257656</v>
      </c>
      <c r="U138" s="37">
        <v>7.1080583433329698</v>
      </c>
      <c r="V138" s="37">
        <v>7.1995937489681436</v>
      </c>
      <c r="W138" s="37">
        <v>7.2914636565961146</v>
      </c>
      <c r="X138" s="38">
        <v>7.3836640799847562</v>
      </c>
      <c r="Y138" s="39">
        <f>'Inputs and summary'!$B$2</f>
        <v>12.5</v>
      </c>
      <c r="Z138" s="40" cm="1">
        <f t="array" ref="Z138">INDEX($L$3:$X$148, ROW()-ROW(L$3)+1, _xlfn.XMATCH('Inputs and summary'!$B$3, Model!L$2:X$2, 0))</f>
        <v>7.1995937489681436</v>
      </c>
    </row>
    <row r="139" spans="10:26" x14ac:dyDescent="0.25">
      <c r="J139" s="35">
        <f t="shared" si="3"/>
        <v>108.46153846153847</v>
      </c>
      <c r="K139" s="36">
        <v>2820</v>
      </c>
      <c r="L139" s="37">
        <v>6.2857042368177449</v>
      </c>
      <c r="M139" s="37">
        <v>6.3735047054027332</v>
      </c>
      <c r="N139" s="37">
        <v>6.4616706020514378</v>
      </c>
      <c r="O139" s="37">
        <v>6.5501983878998224</v>
      </c>
      <c r="P139" s="37">
        <v>6.6390844600058383</v>
      </c>
      <c r="Q139" s="37">
        <v>6.72832515596882</v>
      </c>
      <c r="R139" s="37">
        <v>6.8179167585061524</v>
      </c>
      <c r="S139" s="37">
        <v>6.9078554999781669</v>
      </c>
      <c r="T139" s="37">
        <v>6.9981375668520869</v>
      </c>
      <c r="U139" s="37">
        <v>7.0887591040970515</v>
      </c>
      <c r="V139" s="37">
        <v>7.1797162195022635</v>
      </c>
      <c r="W139" s="37">
        <v>7.2710049879114926</v>
      </c>
      <c r="X139" s="38">
        <v>7.3626214553672202</v>
      </c>
      <c r="Y139" s="39">
        <f>'Inputs and summary'!$B$2</f>
        <v>12.5</v>
      </c>
      <c r="Z139" s="40" cm="1">
        <f t="array" ref="Z139">INDEX($L$3:$X$148, ROW()-ROW(L$3)+1, _xlfn.XMATCH('Inputs and summary'!$B$3, Model!L$2:X$2, 0))</f>
        <v>7.1797162195022635</v>
      </c>
    </row>
    <row r="140" spans="10:26" x14ac:dyDescent="0.25">
      <c r="J140" s="35">
        <f t="shared" si="3"/>
        <v>109.23076923076923</v>
      </c>
      <c r="K140" s="36">
        <v>2840</v>
      </c>
      <c r="L140" s="37">
        <v>6.2716767156304467</v>
      </c>
      <c r="M140" s="37">
        <v>6.3589337513137023</v>
      </c>
      <c r="N140" s="37">
        <v>6.4465531385781825</v>
      </c>
      <c r="O140" s="37">
        <v>6.5345313674622219</v>
      </c>
      <c r="P140" s="37">
        <v>6.6228648643732004</v>
      </c>
      <c r="Q140" s="37">
        <v>6.7115499966735603</v>
      </c>
      <c r="R140" s="37">
        <v>6.8005830772243767</v>
      </c>
      <c r="S140" s="37">
        <v>6.8899603688776612</v>
      </c>
      <c r="T140" s="37">
        <v>6.9796780889080434</v>
      </c>
      <c r="U140" s="37">
        <v>7.0697324133761548</v>
      </c>
      <c r="V140" s="37">
        <v>7.1601194814156264</v>
      </c>
      <c r="W140" s="37">
        <v>7.2508353994370935</v>
      </c>
      <c r="X140" s="38">
        <v>7.3418762452425099</v>
      </c>
      <c r="Y140" s="39">
        <f>'Inputs and summary'!$B$2</f>
        <v>12.5</v>
      </c>
      <c r="Z140" s="40" cm="1">
        <f t="array" ref="Z140">INDEX($L$3:$X$148, ROW()-ROW(L$3)+1, _xlfn.XMATCH('Inputs and summary'!$B$3, Model!L$2:X$2, 0))</f>
        <v>7.1601194814156264</v>
      </c>
    </row>
    <row r="141" spans="10:26" x14ac:dyDescent="0.25">
      <c r="J141" s="35">
        <f t="shared" si="3"/>
        <v>110</v>
      </c>
      <c r="K141" s="36">
        <v>2860</v>
      </c>
      <c r="L141" s="37">
        <v>6.2578454997041</v>
      </c>
      <c r="M141" s="37">
        <v>6.3445667444669587</v>
      </c>
      <c r="N141" s="37">
        <v>6.4316473135463292</v>
      </c>
      <c r="O141" s="37">
        <v>6.5190837254239824</v>
      </c>
      <c r="P141" s="37">
        <v>6.6068724353909527</v>
      </c>
      <c r="Q141" s="37">
        <v>6.6950098401006803</v>
      </c>
      <c r="R141" s="37">
        <v>6.7834922820800498</v>
      </c>
      <c r="S141" s="37">
        <v>6.872316054189481</v>
      </c>
      <c r="T141" s="37">
        <v>6.9614774040229364</v>
      </c>
      <c r="U141" s="37">
        <v>7.0509725382400568</v>
      </c>
      <c r="V141" s="37">
        <v>7.1407976268225379</v>
      </c>
      <c r="W141" s="37">
        <v>7.2309488072480779</v>
      </c>
      <c r="X141" s="38">
        <v>7.3214221885752746</v>
      </c>
      <c r="Y141" s="39">
        <f>'Inputs and summary'!$B$2</f>
        <v>12.5</v>
      </c>
      <c r="Z141" s="40" cm="1">
        <f t="array" ref="Z141">INDEX($L$3:$X$148, ROW()-ROW(L$3)+1, _xlfn.XMATCH('Inputs and summary'!$B$3, Model!L$2:X$2, 0))</f>
        <v>7.1407976268225379</v>
      </c>
    </row>
    <row r="142" spans="10:26" x14ac:dyDescent="0.25">
      <c r="J142" s="35">
        <f t="shared" si="3"/>
        <v>110.76923076923077</v>
      </c>
      <c r="K142" s="36">
        <v>2880</v>
      </c>
      <c r="L142" s="37">
        <v>6.2442064969438036</v>
      </c>
      <c r="M142" s="37">
        <v>6.330399432701558</v>
      </c>
      <c r="N142" s="37">
        <v>6.4169487135759296</v>
      </c>
      <c r="O142" s="37">
        <v>6.5038508860440123</v>
      </c>
      <c r="P142" s="37">
        <v>6.5911024338257356</v>
      </c>
      <c r="Q142" s="37">
        <v>6.6786997824046033</v>
      </c>
      <c r="R142" s="37">
        <v>6.7666393035066843</v>
      </c>
      <c r="S142" s="37">
        <v>6.8549173195290063</v>
      </c>
      <c r="T142" s="37">
        <v>6.9435301079083214</v>
      </c>
      <c r="U142" s="37">
        <v>7.0324739054225054</v>
      </c>
      <c r="V142" s="37">
        <v>7.1217449124167107</v>
      </c>
      <c r="W142" s="37">
        <v>7.2113392969477346</v>
      </c>
      <c r="X142" s="38">
        <v>7.3012531988399605</v>
      </c>
      <c r="Y142" s="39">
        <f>'Inputs and summary'!$B$2</f>
        <v>12.5</v>
      </c>
      <c r="Z142" s="40" cm="1">
        <f t="array" ref="Z142">INDEX($L$3:$X$148, ROW()-ROW(L$3)+1, _xlfn.XMATCH('Inputs and summary'!$B$3, Model!L$2:X$2, 0))</f>
        <v>7.1217449124167107</v>
      </c>
    </row>
    <row r="143" spans="10:26" x14ac:dyDescent="0.25">
      <c r="J143" s="35">
        <f t="shared" si="3"/>
        <v>111.53846153846153</v>
      </c>
      <c r="K143" s="36">
        <v>2900</v>
      </c>
      <c r="L143" s="37">
        <v>6.2307557282058044</v>
      </c>
      <c r="M143" s="37">
        <v>6.3164276812467737</v>
      </c>
      <c r="N143" s="37">
        <v>6.4024530471516314</v>
      </c>
      <c r="O143" s="37">
        <v>6.488828399955163</v>
      </c>
      <c r="P143" s="37">
        <v>6.5755502513620634</v>
      </c>
      <c r="Q143" s="37">
        <v>6.6626150552357828</v>
      </c>
      <c r="R143" s="37">
        <v>6.7500192120459106</v>
      </c>
      <c r="S143" s="37">
        <v>6.8377590732653477</v>
      </c>
      <c r="T143" s="37">
        <v>6.9258309457083058</v>
      </c>
      <c r="U143" s="37">
        <v>7.014231095801386</v>
      </c>
      <c r="V143" s="37">
        <v>7.1029557537800159</v>
      </c>
      <c r="W143" s="37">
        <v>7.1920011178036205</v>
      </c>
      <c r="X143" s="38">
        <v>7.2813633579830466</v>
      </c>
      <c r="Y143" s="39">
        <f>'Inputs and summary'!$B$2</f>
        <v>12.5</v>
      </c>
      <c r="Z143" s="40" cm="1">
        <f t="array" ref="Z143">INDEX($L$3:$X$148, ROW()-ROW(L$3)+1, _xlfn.XMATCH('Inputs and summary'!$B$3, Model!L$2:X$2, 0))</f>
        <v>7.1029557537800159</v>
      </c>
    </row>
    <row r="144" spans="10:26" x14ac:dyDescent="0.25">
      <c r="J144" s="35">
        <f t="shared" si="3"/>
        <v>112.30769230769231</v>
      </c>
      <c r="K144" s="36">
        <v>2920</v>
      </c>
      <c r="L144" s="37">
        <v>6.2174893234270483</v>
      </c>
      <c r="M144" s="37">
        <v>6.3026474686988951</v>
      </c>
      <c r="N144" s="37">
        <v>6.3881561404453233</v>
      </c>
      <c r="O144" s="37">
        <v>6.4740119398313674</v>
      </c>
      <c r="P144" s="37">
        <v>6.5602114061127033</v>
      </c>
      <c r="Q144" s="37">
        <v>6.6467510210930723</v>
      </c>
      <c r="R144" s="37">
        <v>6.7336272135405135</v>
      </c>
      <c r="S144" s="37">
        <v>6.8208363635538181</v>
      </c>
      <c r="T144" s="37">
        <v>6.9083748068701496</v>
      </c>
      <c r="U144" s="37">
        <v>6.9962388391063062</v>
      </c>
      <c r="V144" s="37">
        <v>7.0844247199258223</v>
      </c>
      <c r="W144" s="37">
        <v>7.1729286771254115</v>
      </c>
      <c r="X144" s="38">
        <v>7.2617469106342707</v>
      </c>
      <c r="Y144" s="39">
        <f>'Inputs and summary'!$B$2</f>
        <v>12.5</v>
      </c>
      <c r="Z144" s="40" cm="1">
        <f t="array" ref="Z144">INDEX($L$3:$X$148, ROW()-ROW(L$3)+1, _xlfn.XMATCH('Inputs and summary'!$B$3, Model!L$2:X$2, 0))</f>
        <v>7.0844247199258223</v>
      </c>
    </row>
    <row r="145" spans="10:26" x14ac:dyDescent="0.25">
      <c r="J145" s="35">
        <f t="shared" si="3"/>
        <v>113.07692307692308</v>
      </c>
      <c r="K145" s="36">
        <v>2940</v>
      </c>
      <c r="L145" s="37">
        <v>6.2044035179128656</v>
      </c>
      <c r="M145" s="37">
        <v>6.2890548831622697</v>
      </c>
      <c r="N145" s="37">
        <v>6.3740539333093755</v>
      </c>
      <c r="O145" s="37">
        <v>6.4593972962318453</v>
      </c>
      <c r="P145" s="37">
        <v>6.5450815383125587</v>
      </c>
      <c r="Q145" s="37">
        <v>6.6311031688660353</v>
      </c>
      <c r="R145" s="37">
        <v>6.7174586445240063</v>
      </c>
      <c r="S145" s="37">
        <v>6.8041443735715283</v>
      </c>
      <c r="T145" s="37">
        <v>6.8911567202247461</v>
      </c>
      <c r="U145" s="37">
        <v>6.9784920088427222</v>
      </c>
      <c r="V145" s="37">
        <v>7.0661465280656328</v>
      </c>
      <c r="W145" s="37">
        <v>7.1541165348729212</v>
      </c>
      <c r="X145" s="38">
        <v>7.2423982585548661</v>
      </c>
      <c r="Y145" s="39">
        <f>'Inputs and summary'!$B$2</f>
        <v>12.5</v>
      </c>
      <c r="Z145" s="40" cm="1">
        <f t="array" ref="Z145">INDEX($L$3:$X$148, ROW()-ROW(L$3)+1, _xlfn.XMATCH('Inputs and summary'!$B$3, Model!L$2:X$2, 0))</f>
        <v>7.0661465280656328</v>
      </c>
    </row>
    <row r="146" spans="10:26" x14ac:dyDescent="0.25">
      <c r="J146" s="35">
        <f t="shared" si="3"/>
        <v>113.84615384615384</v>
      </c>
      <c r="K146" s="36">
        <v>2960</v>
      </c>
      <c r="L146" s="37">
        <v>6.1914946487751612</v>
      </c>
      <c r="M146" s="37">
        <v>6.2756461185469945</v>
      </c>
      <c r="N146" s="37">
        <v>6.3601424754325091</v>
      </c>
      <c r="O146" s="37">
        <v>6.4449803736139666</v>
      </c>
      <c r="P146" s="37">
        <v>6.5301564061873627</v>
      </c>
      <c r="Q146" s="37">
        <v>6.6156671095583306</v>
      </c>
      <c r="R146" s="37">
        <v>6.7015089677974577</v>
      </c>
      <c r="S146" s="37">
        <v>6.7876784169465729</v>
      </c>
      <c r="T146" s="37">
        <v>6.8741718492669932</v>
      </c>
      <c r="U146" s="37">
        <v>6.9609856174223861</v>
      </c>
      <c r="V146" s="37">
        <v>7.0481160385885033</v>
      </c>
      <c r="W146" s="37">
        <v>7.1355593984833803</v>
      </c>
      <c r="X146" s="38">
        <v>7.2233119553116367</v>
      </c>
      <c r="Y146" s="39">
        <f>'Inputs and summary'!$B$2</f>
        <v>12.5</v>
      </c>
      <c r="Z146" s="40" cm="1">
        <f t="array" ref="Z146">INDEX($L$3:$X$148, ROW()-ROW(L$3)+1, _xlfn.XMATCH('Inputs and summary'!$B$3, Model!L$2:X$2, 0))</f>
        <v>7.0481160385885033</v>
      </c>
    </row>
    <row r="147" spans="10:26" x14ac:dyDescent="0.25">
      <c r="J147" s="35">
        <f t="shared" si="3"/>
        <v>114.61538461538461</v>
      </c>
      <c r="K147" s="36">
        <v>2980</v>
      </c>
      <c r="L147" s="37">
        <v>6.1787591515141687</v>
      </c>
      <c r="M147" s="37">
        <v>6.262417471015719</v>
      </c>
      <c r="N147" s="37">
        <v>6.3464179226505983</v>
      </c>
      <c r="O147" s="37">
        <v>6.4307571865068658</v>
      </c>
      <c r="P147" s="37">
        <v>6.515431881988949</v>
      </c>
      <c r="Q147" s="37">
        <v>6.6004385721834744</v>
      </c>
      <c r="R147" s="37">
        <v>6.6857737681847471</v>
      </c>
      <c r="S147" s="37">
        <v>6.7714339333715969</v>
      </c>
      <c r="T147" s="37">
        <v>6.8574154876266018</v>
      </c>
      <c r="U147" s="37">
        <v>6.943714811490362</v>
      </c>
      <c r="V147" s="37">
        <v>7.0303282502431497</v>
      </c>
      <c r="W147" s="37">
        <v>7.1172521179076185</v>
      </c>
      <c r="X147" s="38">
        <v>7.2044827011661603</v>
      </c>
      <c r="Y147" s="39">
        <f>'Inputs and summary'!$B$2</f>
        <v>12.5</v>
      </c>
      <c r="Z147" s="40" cm="1">
        <f t="array" ref="Z147">INDEX($L$3:$X$148, ROW()-ROW(L$3)+1, _xlfn.XMATCH('Inputs and summary'!$B$3, Model!L$2:X$2, 0))</f>
        <v>7.0303282502431497</v>
      </c>
    </row>
    <row r="148" spans="10:26" ht="15.75" thickBot="1" x14ac:dyDescent="0.3">
      <c r="J148" s="75">
        <f t="shared" si="3"/>
        <v>115.38461538461539</v>
      </c>
      <c r="K148" s="76">
        <v>3000</v>
      </c>
      <c r="L148" s="77">
        <v>6.1661935567369843</v>
      </c>
      <c r="M148" s="77">
        <v>6.249365335572783</v>
      </c>
      <c r="N148" s="77">
        <v>6.3328765334051775</v>
      </c>
      <c r="O148" s="77">
        <v>6.4167238558382538</v>
      </c>
      <c r="P148" s="77">
        <v>6.5009039481893351</v>
      </c>
      <c r="Q148" s="77">
        <v>6.5854133998251339</v>
      </c>
      <c r="R148" s="77">
        <v>6.6702487484579045</v>
      </c>
      <c r="S148" s="77">
        <v>6.7554064843932116</v>
      </c>
      <c r="T148" s="77">
        <v>6.8408830547205426</v>
      </c>
      <c r="U148" s="77">
        <v>6.926674867439413</v>
      </c>
      <c r="V148" s="77">
        <v>7.0127782955133355</v>
      </c>
      <c r="W148" s="77">
        <v>7.0991896808454031</v>
      </c>
      <c r="X148" s="78">
        <v>7.185905338169106</v>
      </c>
      <c r="Y148" s="39">
        <f>'Inputs and summary'!$B$2</f>
        <v>12.5</v>
      </c>
      <c r="Z148" s="40" cm="1">
        <f t="array" ref="Z148">INDEX($L$3:$X$148, ROW()-ROW(L$3)+1, _xlfn.XMATCH('Inputs and summary'!$B$3, Model!L$2:X$2, 0))</f>
        <v>7.0127782955133355</v>
      </c>
    </row>
    <row r="149" spans="10:26" x14ac:dyDescent="0.25"/>
  </sheetData>
  <sheetProtection sheet="1" objects="1" scenarios="1"/>
  <mergeCells count="1">
    <mergeCell ref="J1:J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49</vt:i4>
      </vt:variant>
    </vt:vector>
  </HeadingPairs>
  <TitlesOfParts>
    <vt:vector size="53" baseType="lpstr">
      <vt:lpstr>Introduction</vt:lpstr>
      <vt:lpstr>Inputs and summary</vt:lpstr>
      <vt:lpstr>Cost by acreage and interest</vt:lpstr>
      <vt:lpstr>Model</vt:lpstr>
      <vt:lpstr>Acres_applied_per_charge_cycle</vt:lpstr>
      <vt:lpstr>Acres_applied_per_flight</vt:lpstr>
      <vt:lpstr>Acres_applied_per_hour</vt:lpstr>
      <vt:lpstr>Acres_of_lifespan_drone</vt:lpstr>
      <vt:lpstr>Applied_acres_per_year</vt:lpstr>
      <vt:lpstr>Batteries_lifespan</vt:lpstr>
      <vt:lpstr>battery_lifespan</vt:lpstr>
      <vt:lpstr>Battery_salvage_value</vt:lpstr>
      <vt:lpstr>Capital_recovery__total_year</vt:lpstr>
      <vt:lpstr>charge_cycles_a_year</vt:lpstr>
      <vt:lpstr>Charge_cycles_per_year</vt:lpstr>
      <vt:lpstr>Charges_of_lifespan__batteries</vt:lpstr>
      <vt:lpstr>Cleaning_the_drone__hours</vt:lpstr>
      <vt:lpstr>Diesel_price____gallon</vt:lpstr>
      <vt:lpstr>Diesel_use__gallon_hour</vt:lpstr>
      <vt:lpstr>Dish_soap_price____2.64L</vt:lpstr>
      <vt:lpstr>Dish_soap_qtt._L_day</vt:lpstr>
      <vt:lpstr>Drone_maintanance_cost____year_acre</vt:lpstr>
      <vt:lpstr>drone_salvage_value</vt:lpstr>
      <vt:lpstr>drone_use_perc</vt:lpstr>
      <vt:lpstr>Extra_batteries_price</vt:lpstr>
      <vt:lpstr>Flights_per_hour</vt:lpstr>
      <vt:lpstr>Generator_lifespan</vt:lpstr>
      <vt:lpstr>generator_maintenance_cost</vt:lpstr>
      <vt:lpstr>Generator_price</vt:lpstr>
      <vt:lpstr>generator_salvage_value</vt:lpstr>
      <vt:lpstr>generator_use_perc</vt:lpstr>
      <vt:lpstr>Hours_per_day_applying</vt:lpstr>
      <vt:lpstr>Interest_rate</vt:lpstr>
      <vt:lpstr>Labor_cost____hour</vt:lpstr>
      <vt:lpstr>N_of_batteries_included_with_drone</vt:lpstr>
      <vt:lpstr>pump_and_transfer_lifespan</vt:lpstr>
      <vt:lpstr>Pump_and_transfer_system_price</vt:lpstr>
      <vt:lpstr>Pump_maintenance</vt:lpstr>
      <vt:lpstr>pump_maintenance_year</vt:lpstr>
      <vt:lpstr>pump_salvage_value</vt:lpstr>
      <vt:lpstr>pump_use_perc</vt:lpstr>
      <vt:lpstr>Pumping_in_and_mixing__hours</vt:lpstr>
      <vt:lpstr>Recharge_of_a_battery___pumping__hours</vt:lpstr>
      <vt:lpstr>Time_recharging_battery__hours</vt:lpstr>
      <vt:lpstr>Trailer_lifespan</vt:lpstr>
      <vt:lpstr>trailer_maintenance_cost</vt:lpstr>
      <vt:lpstr>Trailer_price</vt:lpstr>
      <vt:lpstr>trailer_salvage_value</vt:lpstr>
      <vt:lpstr>trailer_use_perc</vt:lpstr>
      <vt:lpstr>truck_maintenance_cost</vt:lpstr>
      <vt:lpstr>Truck_price</vt:lpstr>
      <vt:lpstr>truck_salvage_value</vt:lpstr>
      <vt:lpstr>truck_use_perc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Rocha Junior, Adauto</dc:creator>
  <cp:lastModifiedBy>Rocha Junior, Adauto</cp:lastModifiedBy>
  <cp:lastPrinted>2025-02-28T14:14:14Z</cp:lastPrinted>
  <dcterms:created xsi:type="dcterms:W3CDTF">2024-08-28T20:40:51Z</dcterms:created>
  <dcterms:modified xsi:type="dcterms:W3CDTF">2025-03-04T15:31:33Z</dcterms:modified>
</cp:coreProperties>
</file>