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milhollinr_umsystem_edu/Documents/Dairy/Dairy Budgets/2025/"/>
    </mc:Choice>
  </mc:AlternateContent>
  <xr:revisionPtr revIDLastSave="11" documentId="8_{A4EAE4A6-0E44-4EBC-9AC2-E5F80CC7F43C}" xr6:coauthVersionLast="47" xr6:coauthVersionMax="47" xr10:uidLastSave="{18EBC94C-FDDE-4A0D-B3BE-212B4B390393}"/>
  <bookViews>
    <workbookView xWindow="-120" yWindow="-120" windowWidth="29040" windowHeight="15720" tabRatio="708" activeTab="1" xr2:uid="{00000000-000D-0000-FFFF-FFFF00000000}"/>
  </bookViews>
  <sheets>
    <sheet name="Introduction" sheetId="23" r:id="rId1"/>
    <sheet name="Inputs" sheetId="5" r:id="rId2"/>
    <sheet name="Cow Feed" sheetId="2" r:id="rId3"/>
    <sheet name="Heifer Feed" sheetId="4" r:id="rId4"/>
    <sheet name="DairyHeifer" sheetId="22" r:id="rId5"/>
    <sheet name="ConvDairy" sheetId="20" r:id="rId6"/>
    <sheet name="RotDairy" sheetId="21" r:id="rId7"/>
  </sheets>
  <externalReferences>
    <externalReference r:id="rId8"/>
  </externalReferences>
  <definedNames>
    <definedName name="\C">Inputs!$H$1</definedName>
    <definedName name="BudgetActivities">#REF!</definedName>
    <definedName name="CustomActivities">'[1]Activity list'!$W$4:$AA$14</definedName>
    <definedName name="CustomImps">[1]!Table4[Implement]</definedName>
    <definedName name="_xlnm.Print_Area" localSheetId="1">Inputs!$B$2:$H$37</definedName>
    <definedName name="_xlnm.Print_Area" localSheetId="0">#REF!</definedName>
    <definedName name="_xlnm.Print_Area">#REF!</definedName>
    <definedName name="ss">#REF!</definedName>
    <definedName name="ww">[1]!Table4[Implement]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2" i="20" l="1"/>
  <c r="J72" i="20"/>
  <c r="H72" i="20"/>
  <c r="J73" i="21"/>
  <c r="H73" i="21"/>
  <c r="B57" i="2"/>
  <c r="B56" i="2"/>
  <c r="G43" i="22"/>
  <c r="C32" i="5"/>
  <c r="C29" i="5"/>
  <c r="H91" i="21" l="1"/>
  <c r="H89" i="20"/>
  <c r="H83" i="21"/>
  <c r="H81" i="20" l="1"/>
  <c r="F18" i="21" l="1"/>
  <c r="B10" i="4" l="1"/>
  <c r="C8" i="22"/>
  <c r="C7" i="22"/>
  <c r="C6" i="22"/>
  <c r="K76" i="2"/>
  <c r="K77" i="2"/>
  <c r="K78" i="2"/>
  <c r="K79" i="2"/>
  <c r="K80" i="2"/>
  <c r="K81" i="2"/>
  <c r="K82" i="2"/>
  <c r="K83" i="2"/>
  <c r="K84" i="2"/>
  <c r="K85" i="2"/>
  <c r="K75" i="2"/>
  <c r="S62" i="2"/>
  <c r="S76" i="2" s="1"/>
  <c r="S63" i="2"/>
  <c r="S77" i="2" s="1"/>
  <c r="S64" i="2"/>
  <c r="S78" i="2" s="1"/>
  <c r="S65" i="2"/>
  <c r="S79" i="2" s="1"/>
  <c r="S66" i="2"/>
  <c r="S80" i="2" s="1"/>
  <c r="S67" i="2"/>
  <c r="S81" i="2" s="1"/>
  <c r="S68" i="2"/>
  <c r="S82" i="2" s="1"/>
  <c r="S69" i="2"/>
  <c r="S83" i="2" s="1"/>
  <c r="S70" i="2"/>
  <c r="S84" i="2" s="1"/>
  <c r="S71" i="2"/>
  <c r="S85" i="2" s="1"/>
  <c r="S61" i="2"/>
  <c r="S75" i="2" s="1"/>
  <c r="K62" i="2"/>
  <c r="K63" i="2"/>
  <c r="K64" i="2"/>
  <c r="K65" i="2"/>
  <c r="K66" i="2"/>
  <c r="K67" i="2"/>
  <c r="K68" i="2"/>
  <c r="K69" i="2"/>
  <c r="K70" i="2"/>
  <c r="K71" i="2"/>
  <c r="K61" i="2"/>
  <c r="S48" i="2"/>
  <c r="S49" i="2"/>
  <c r="S50" i="2"/>
  <c r="S51" i="2"/>
  <c r="S52" i="2"/>
  <c r="S53" i="2"/>
  <c r="S54" i="2"/>
  <c r="S55" i="2"/>
  <c r="S56" i="2"/>
  <c r="S57" i="2"/>
  <c r="S47" i="2"/>
  <c r="K48" i="2"/>
  <c r="K49" i="2"/>
  <c r="K50" i="2"/>
  <c r="K51" i="2"/>
  <c r="K52" i="2"/>
  <c r="K53" i="2"/>
  <c r="K54" i="2"/>
  <c r="K55" i="2"/>
  <c r="K56" i="2"/>
  <c r="K57" i="2"/>
  <c r="K47" i="2"/>
  <c r="S33" i="2"/>
  <c r="S34" i="2"/>
  <c r="S35" i="2"/>
  <c r="S36" i="2"/>
  <c r="S37" i="2"/>
  <c r="S38" i="2"/>
  <c r="S39" i="2"/>
  <c r="S40" i="2"/>
  <c r="S41" i="2"/>
  <c r="S32" i="2"/>
  <c r="K33" i="2"/>
  <c r="K34" i="2"/>
  <c r="K35" i="2"/>
  <c r="K36" i="2"/>
  <c r="K37" i="2"/>
  <c r="K38" i="2"/>
  <c r="K39" i="2"/>
  <c r="K40" i="2"/>
  <c r="K41" i="2"/>
  <c r="K32" i="2"/>
  <c r="S20" i="2"/>
  <c r="S21" i="2"/>
  <c r="S22" i="2"/>
  <c r="S23" i="2"/>
  <c r="S24" i="2"/>
  <c r="S25" i="2"/>
  <c r="S26" i="2"/>
  <c r="S27" i="2"/>
  <c r="S28" i="2"/>
  <c r="S19" i="2"/>
  <c r="K20" i="2"/>
  <c r="K21" i="2"/>
  <c r="K22" i="2"/>
  <c r="K23" i="2"/>
  <c r="K24" i="2"/>
  <c r="K25" i="2"/>
  <c r="K26" i="2"/>
  <c r="K27" i="2"/>
  <c r="K28" i="2"/>
  <c r="K19" i="2"/>
  <c r="S5" i="2"/>
  <c r="S6" i="2"/>
  <c r="S7" i="2"/>
  <c r="S8" i="2"/>
  <c r="S9" i="2"/>
  <c r="S10" i="2"/>
  <c r="S11" i="2"/>
  <c r="S12" i="2"/>
  <c r="S13" i="2"/>
  <c r="S4" i="2"/>
  <c r="K5" i="2"/>
  <c r="K6" i="2"/>
  <c r="K7" i="2"/>
  <c r="K8" i="2"/>
  <c r="K9" i="2"/>
  <c r="K10" i="2"/>
  <c r="K11" i="2"/>
  <c r="K12" i="2"/>
  <c r="K13" i="2"/>
  <c r="K4" i="2"/>
  <c r="B54" i="2"/>
  <c r="B55" i="2"/>
  <c r="B58" i="2"/>
  <c r="B59" i="2"/>
  <c r="B60" i="2"/>
  <c r="B61" i="2"/>
  <c r="B62" i="2"/>
  <c r="B53" i="2"/>
  <c r="B52" i="2"/>
  <c r="B10" i="2"/>
  <c r="B11" i="2"/>
  <c r="B12" i="2"/>
  <c r="B13" i="2"/>
  <c r="B14" i="2"/>
  <c r="B15" i="2"/>
  <c r="B16" i="2"/>
  <c r="B17" i="2"/>
  <c r="B18" i="2"/>
  <c r="B9" i="2"/>
  <c r="J53" i="20"/>
  <c r="H53" i="20"/>
  <c r="C6" i="20" s="1"/>
  <c r="U83" i="2"/>
  <c r="M83" i="2" s="1"/>
  <c r="F139" i="21"/>
  <c r="J139" i="21"/>
  <c r="F138" i="20"/>
  <c r="H138" i="20"/>
  <c r="J138" i="20" s="1"/>
  <c r="H139" i="21"/>
  <c r="C28" i="21"/>
  <c r="C27" i="20"/>
  <c r="J24" i="20"/>
  <c r="F24" i="20"/>
  <c r="J25" i="21"/>
  <c r="F25" i="21"/>
  <c r="C23" i="22"/>
  <c r="G21" i="22"/>
  <c r="G16" i="22"/>
  <c r="J19" i="21"/>
  <c r="F18" i="20"/>
  <c r="J17" i="20"/>
  <c r="J16" i="20"/>
  <c r="F17" i="20"/>
  <c r="F16" i="20"/>
  <c r="J18" i="21"/>
  <c r="J17" i="21"/>
  <c r="F17" i="21"/>
  <c r="F19" i="21"/>
  <c r="C37" i="5"/>
  <c r="J68" i="20"/>
  <c r="J22" i="20" s="1"/>
  <c r="H68" i="20"/>
  <c r="F22" i="20" s="1"/>
  <c r="H79" i="21"/>
  <c r="C15" i="22"/>
  <c r="G6" i="22"/>
  <c r="J69" i="21"/>
  <c r="J23" i="21" s="1"/>
  <c r="H69" i="21"/>
  <c r="F23" i="21" s="1"/>
  <c r="J24" i="21"/>
  <c r="F24" i="21"/>
  <c r="H88" i="21"/>
  <c r="C11" i="21" s="1"/>
  <c r="H77" i="21"/>
  <c r="J70" i="21" s="1"/>
  <c r="J34" i="21" s="1"/>
  <c r="N110" i="21"/>
  <c r="N101" i="21"/>
  <c r="J54" i="21"/>
  <c r="H54" i="21"/>
  <c r="C7" i="21" s="1"/>
  <c r="L129" i="21"/>
  <c r="L128" i="21"/>
  <c r="N128" i="21" s="1"/>
  <c r="L127" i="21"/>
  <c r="N127" i="21" s="1"/>
  <c r="F126" i="21"/>
  <c r="L126" i="21" s="1"/>
  <c r="L125" i="21"/>
  <c r="N125" i="21" s="1"/>
  <c r="L124" i="21"/>
  <c r="L123" i="21"/>
  <c r="N123" i="21" s="1"/>
  <c r="L117" i="21"/>
  <c r="N117" i="21" s="1"/>
  <c r="L116" i="21"/>
  <c r="N116" i="21" s="1"/>
  <c r="L115" i="21"/>
  <c r="N115" i="21" s="1"/>
  <c r="L114" i="21"/>
  <c r="N114" i="21" s="1"/>
  <c r="L109" i="21"/>
  <c r="N109" i="21" s="1"/>
  <c r="L108" i="21"/>
  <c r="N108" i="21" s="1"/>
  <c r="L107" i="21"/>
  <c r="N107" i="21" s="1"/>
  <c r="L106" i="21"/>
  <c r="L102" i="21"/>
  <c r="N102" i="21" s="1"/>
  <c r="L100" i="21"/>
  <c r="N100" i="21" s="1"/>
  <c r="L99" i="21"/>
  <c r="N99" i="21" s="1"/>
  <c r="L98" i="21"/>
  <c r="N98" i="21" s="1"/>
  <c r="L96" i="21"/>
  <c r="N96" i="21" s="1"/>
  <c r="B93" i="21"/>
  <c r="Q91" i="21"/>
  <c r="L84" i="21"/>
  <c r="J84" i="21"/>
  <c r="J66" i="21"/>
  <c r="J49" i="21"/>
  <c r="J51" i="21" s="1"/>
  <c r="H49" i="21"/>
  <c r="H51" i="21" s="1"/>
  <c r="F8" i="21" s="1"/>
  <c r="H8" i="21" s="1"/>
  <c r="J23" i="20"/>
  <c r="F23" i="20"/>
  <c r="H76" i="20"/>
  <c r="N109" i="20"/>
  <c r="N100" i="20"/>
  <c r="N99" i="20"/>
  <c r="H86" i="20"/>
  <c r="L128" i="20"/>
  <c r="N128" i="20" s="1"/>
  <c r="L127" i="20"/>
  <c r="N127" i="20" s="1"/>
  <c r="L126" i="20"/>
  <c r="F125" i="20"/>
  <c r="L125" i="20" s="1"/>
  <c r="L124" i="20"/>
  <c r="N124" i="20" s="1"/>
  <c r="L123" i="20"/>
  <c r="N123" i="20" s="1"/>
  <c r="L122" i="20"/>
  <c r="N122" i="20" s="1"/>
  <c r="L116" i="20"/>
  <c r="N116" i="20" s="1"/>
  <c r="L115" i="20"/>
  <c r="N115" i="20" s="1"/>
  <c r="F114" i="20"/>
  <c r="L114" i="20" s="1"/>
  <c r="L113" i="20"/>
  <c r="N113" i="20" s="1"/>
  <c r="L107" i="20"/>
  <c r="L98" i="20"/>
  <c r="N98" i="20" s="1"/>
  <c r="L97" i="20"/>
  <c r="N97" i="20" s="1"/>
  <c r="F96" i="20"/>
  <c r="L96" i="20" s="1"/>
  <c r="L94" i="20"/>
  <c r="N94" i="20" s="1"/>
  <c r="B91" i="20"/>
  <c r="Q89" i="20"/>
  <c r="J82" i="20"/>
  <c r="M100" i="20"/>
  <c r="J65" i="20"/>
  <c r="J18" i="20"/>
  <c r="J48" i="20"/>
  <c r="H48" i="20"/>
  <c r="H50" i="20" s="1"/>
  <c r="G17" i="22"/>
  <c r="G15" i="22"/>
  <c r="G12" i="22"/>
  <c r="G8" i="22" s="1"/>
  <c r="G7" i="22"/>
  <c r="G50" i="22"/>
  <c r="C5" i="22" s="1"/>
  <c r="G78" i="22"/>
  <c r="G83" i="22" s="1"/>
  <c r="G71" i="22"/>
  <c r="G19" i="22"/>
  <c r="G18" i="22"/>
  <c r="U75" i="2"/>
  <c r="M75" i="2" s="1"/>
  <c r="U76" i="2"/>
  <c r="M76" i="2" s="1"/>
  <c r="U77" i="2"/>
  <c r="M77" i="2" s="1"/>
  <c r="U41" i="2"/>
  <c r="M41" i="2" s="1"/>
  <c r="U40" i="2"/>
  <c r="M40" i="2" s="1"/>
  <c r="U39" i="2"/>
  <c r="M39" i="2" s="1"/>
  <c r="U38" i="2"/>
  <c r="M38" i="2" s="1"/>
  <c r="U37" i="2"/>
  <c r="M37" i="2" s="1"/>
  <c r="U35" i="2"/>
  <c r="M35" i="2" s="1"/>
  <c r="U34" i="2"/>
  <c r="M34" i="2" s="1"/>
  <c r="U33" i="2"/>
  <c r="M33" i="2" s="1"/>
  <c r="U32" i="2"/>
  <c r="M32" i="2" s="1"/>
  <c r="V4" i="2"/>
  <c r="W2" i="2"/>
  <c r="V19" i="2"/>
  <c r="W17" i="2"/>
  <c r="V5" i="2"/>
  <c r="V20" i="2"/>
  <c r="V6" i="2"/>
  <c r="V21" i="2"/>
  <c r="V7" i="2"/>
  <c r="V22" i="2"/>
  <c r="V9" i="2"/>
  <c r="V24" i="2"/>
  <c r="V8" i="2"/>
  <c r="V23" i="2"/>
  <c r="V10" i="2"/>
  <c r="V25" i="2"/>
  <c r="V11" i="2"/>
  <c r="V26" i="2"/>
  <c r="V12" i="2"/>
  <c r="V27" i="2"/>
  <c r="N4" i="2"/>
  <c r="N19" i="2"/>
  <c r="O19" i="2" s="1"/>
  <c r="Q19" i="2" s="1"/>
  <c r="G9" i="5"/>
  <c r="N5" i="2"/>
  <c r="N20" i="2"/>
  <c r="O20" i="2" s="1"/>
  <c r="Q20" i="2" s="1"/>
  <c r="G5" i="5"/>
  <c r="N6" i="2"/>
  <c r="N21" i="2"/>
  <c r="O21" i="2" s="1"/>
  <c r="Q21" i="2" s="1"/>
  <c r="G4" i="5"/>
  <c r="F10" i="4" s="1"/>
  <c r="N7" i="2"/>
  <c r="N22" i="2"/>
  <c r="O22" i="2" s="1"/>
  <c r="Q22" i="2" s="1"/>
  <c r="G13" i="5"/>
  <c r="D40" i="4" s="1"/>
  <c r="N8" i="2"/>
  <c r="N23" i="2"/>
  <c r="O23" i="2" s="1"/>
  <c r="Q23" i="2" s="1"/>
  <c r="G11" i="5"/>
  <c r="U36" i="2" s="1"/>
  <c r="M36" i="2" s="1"/>
  <c r="N9" i="2"/>
  <c r="N24" i="2"/>
  <c r="O24" i="2" s="1"/>
  <c r="Q24" i="2" s="1"/>
  <c r="G22" i="5"/>
  <c r="N10" i="2"/>
  <c r="N25" i="2"/>
  <c r="O25" i="2" s="1"/>
  <c r="Q25" i="2" s="1"/>
  <c r="G12" i="5"/>
  <c r="N11" i="2"/>
  <c r="N26" i="2"/>
  <c r="O26" i="2" s="1"/>
  <c r="Q26" i="2" s="1"/>
  <c r="G21" i="5"/>
  <c r="H39" i="4" s="1"/>
  <c r="N12" i="2"/>
  <c r="N27" i="2"/>
  <c r="O27" i="2" s="1"/>
  <c r="Q27" i="2" s="1"/>
  <c r="G23" i="5"/>
  <c r="N13" i="2"/>
  <c r="N28" i="2"/>
  <c r="O28" i="2" s="1"/>
  <c r="Q28" i="2" s="1"/>
  <c r="G16" i="5"/>
  <c r="G14" i="5"/>
  <c r="B7" i="4" s="1"/>
  <c r="G7" i="5"/>
  <c r="B8" i="4" s="1"/>
  <c r="G6" i="5"/>
  <c r="F9" i="4" s="1"/>
  <c r="G17" i="5"/>
  <c r="D27" i="4" s="1"/>
  <c r="G12" i="4"/>
  <c r="G8" i="5"/>
  <c r="B37" i="4" s="1"/>
  <c r="G10" i="5"/>
  <c r="B38" i="4" s="1"/>
  <c r="G15" i="5"/>
  <c r="D26" i="4" s="1"/>
  <c r="E19" i="4"/>
  <c r="G19" i="4" s="1"/>
  <c r="F19" i="4"/>
  <c r="H19" i="4" s="1"/>
  <c r="E34" i="4"/>
  <c r="G34" i="4" s="1"/>
  <c r="F34" i="4"/>
  <c r="H34" i="4" s="1"/>
  <c r="V13" i="2"/>
  <c r="V28" i="2"/>
  <c r="V47" i="2"/>
  <c r="W45" i="2"/>
  <c r="V61" i="2"/>
  <c r="W59" i="2"/>
  <c r="V48" i="2"/>
  <c r="V62" i="2"/>
  <c r="V49" i="2"/>
  <c r="V63" i="2"/>
  <c r="V50" i="2"/>
  <c r="V64" i="2"/>
  <c r="V51" i="2"/>
  <c r="V65" i="2"/>
  <c r="V52" i="2"/>
  <c r="V66" i="2"/>
  <c r="V53" i="2"/>
  <c r="V67" i="2"/>
  <c r="V54" i="2"/>
  <c r="V68" i="2"/>
  <c r="V55" i="2"/>
  <c r="V69" i="2"/>
  <c r="G20" i="5"/>
  <c r="V70" i="2"/>
  <c r="V56" i="2"/>
  <c r="G18" i="5"/>
  <c r="V57" i="2"/>
  <c r="V71" i="2"/>
  <c r="N47" i="2"/>
  <c r="O47" i="2" s="1"/>
  <c r="N61" i="2"/>
  <c r="O61" i="2" s="1"/>
  <c r="N48" i="2"/>
  <c r="O48" i="2" s="1"/>
  <c r="N62" i="2"/>
  <c r="O62" i="2" s="1"/>
  <c r="N49" i="2"/>
  <c r="O49" i="2" s="1"/>
  <c r="N63" i="2"/>
  <c r="O63" i="2" s="1"/>
  <c r="N50" i="2"/>
  <c r="O50" i="2" s="1"/>
  <c r="N64" i="2"/>
  <c r="O64" i="2" s="1"/>
  <c r="N51" i="2"/>
  <c r="O51" i="2" s="1"/>
  <c r="N65" i="2"/>
  <c r="O65" i="2" s="1"/>
  <c r="N52" i="2"/>
  <c r="O52" i="2" s="1"/>
  <c r="N66" i="2"/>
  <c r="O66" i="2" s="1"/>
  <c r="N53" i="2"/>
  <c r="O53" i="2" s="1"/>
  <c r="N67" i="2"/>
  <c r="O67" i="2" s="1"/>
  <c r="N54" i="2"/>
  <c r="O54" i="2" s="1"/>
  <c r="N68" i="2"/>
  <c r="O68" i="2" s="1"/>
  <c r="N55" i="2"/>
  <c r="O55" i="2" s="1"/>
  <c r="N69" i="2"/>
  <c r="O69" i="2" s="1"/>
  <c r="N56" i="2"/>
  <c r="O56" i="2" s="1"/>
  <c r="N70" i="2"/>
  <c r="O70" i="2" s="1"/>
  <c r="N57" i="2"/>
  <c r="O57" i="2" s="1"/>
  <c r="N71" i="2"/>
  <c r="O71" i="2" s="1"/>
  <c r="U84" i="2"/>
  <c r="M84" i="2" s="1"/>
  <c r="U85" i="2"/>
  <c r="M85" i="2" s="1"/>
  <c r="U82" i="2"/>
  <c r="M82" i="2" s="1"/>
  <c r="U81" i="2"/>
  <c r="M81" i="2" s="1"/>
  <c r="U80" i="2"/>
  <c r="M80" i="2" s="1"/>
  <c r="U78" i="2"/>
  <c r="M78" i="2" s="1"/>
  <c r="S59" i="2"/>
  <c r="K59" i="2"/>
  <c r="G4" i="4"/>
  <c r="E4" i="4"/>
  <c r="B40" i="4"/>
  <c r="B25" i="4"/>
  <c r="B11" i="4"/>
  <c r="B39" i="4"/>
  <c r="B24" i="4"/>
  <c r="E18" i="5"/>
  <c r="G19" i="5"/>
  <c r="E20" i="5"/>
  <c r="E19" i="5"/>
  <c r="E11" i="5"/>
  <c r="E10" i="5"/>
  <c r="E17" i="5"/>
  <c r="E23" i="5"/>
  <c r="E22" i="5"/>
  <c r="E21" i="5"/>
  <c r="E16" i="5"/>
  <c r="E15" i="5"/>
  <c r="E14" i="5"/>
  <c r="E13" i="5"/>
  <c r="E12" i="5"/>
  <c r="E9" i="5"/>
  <c r="E8" i="5"/>
  <c r="E7" i="5"/>
  <c r="E6" i="5"/>
  <c r="E5" i="5"/>
  <c r="E4" i="5"/>
  <c r="F12" i="4"/>
  <c r="W25" i="2" l="1"/>
  <c r="Y25" i="2" s="1"/>
  <c r="W28" i="2"/>
  <c r="Y28" i="2" s="1"/>
  <c r="H24" i="4"/>
  <c r="F40" i="4"/>
  <c r="D39" i="4"/>
  <c r="F24" i="4"/>
  <c r="D24" i="4"/>
  <c r="F9" i="21"/>
  <c r="H9" i="21" s="1"/>
  <c r="H17" i="21"/>
  <c r="H76" i="21"/>
  <c r="H80" i="21" s="1"/>
  <c r="J71" i="21" s="1"/>
  <c r="H70" i="21"/>
  <c r="F34" i="21" s="1"/>
  <c r="H34" i="21" s="1"/>
  <c r="J15" i="20"/>
  <c r="L15" i="20" s="1"/>
  <c r="M123" i="20"/>
  <c r="Q123" i="20" s="1"/>
  <c r="L82" i="20"/>
  <c r="F9" i="20" s="1"/>
  <c r="H9" i="20" s="1"/>
  <c r="F6" i="20"/>
  <c r="H6" i="20" s="1"/>
  <c r="J10" i="20"/>
  <c r="L10" i="20" s="1"/>
  <c r="C10" i="20"/>
  <c r="G20" i="22"/>
  <c r="G80" i="22"/>
  <c r="G82" i="22"/>
  <c r="G79" i="22"/>
  <c r="G81" i="22" s="1"/>
  <c r="Q29" i="2"/>
  <c r="Q30" i="2" s="1"/>
  <c r="W20" i="2"/>
  <c r="Y20" i="2" s="1"/>
  <c r="O13" i="2"/>
  <c r="L41" i="2" s="1"/>
  <c r="O6" i="2"/>
  <c r="W10" i="2"/>
  <c r="O5" i="2"/>
  <c r="L33" i="2" s="1"/>
  <c r="W13" i="2"/>
  <c r="O4" i="2"/>
  <c r="W22" i="2"/>
  <c r="Y22" i="2" s="1"/>
  <c r="W63" i="2"/>
  <c r="W24" i="2"/>
  <c r="Y24" i="2" s="1"/>
  <c r="L85" i="2"/>
  <c r="O85" i="2" s="1"/>
  <c r="W66" i="2"/>
  <c r="F26" i="4"/>
  <c r="G5" i="22"/>
  <c r="G9" i="22" s="1"/>
  <c r="H88" i="20"/>
  <c r="W7" i="2"/>
  <c r="Y7" i="2" s="1"/>
  <c r="F10" i="21"/>
  <c r="H10" i="21" s="1"/>
  <c r="W27" i="2"/>
  <c r="Y27" i="2" s="1"/>
  <c r="O11" i="2"/>
  <c r="W4" i="2"/>
  <c r="Y4" i="2" s="1"/>
  <c r="D9" i="4"/>
  <c r="O9" i="2"/>
  <c r="H41" i="4"/>
  <c r="W5" i="2"/>
  <c r="Y5" i="2" s="1"/>
  <c r="G74" i="22"/>
  <c r="L76" i="2"/>
  <c r="N76" i="2" s="1"/>
  <c r="D53" i="2" s="1"/>
  <c r="F10" i="20"/>
  <c r="H10" i="20" s="1"/>
  <c r="W64" i="2"/>
  <c r="E27" i="4"/>
  <c r="O8" i="2"/>
  <c r="J11" i="21"/>
  <c r="L11" i="21" s="1"/>
  <c r="F11" i="21"/>
  <c r="H11" i="21" s="1"/>
  <c r="E42" i="4"/>
  <c r="F42" i="4" s="1"/>
  <c r="L103" i="21"/>
  <c r="N103" i="21" s="1"/>
  <c r="W49" i="2"/>
  <c r="W21" i="2"/>
  <c r="Y21" i="2" s="1"/>
  <c r="W26" i="2"/>
  <c r="Y26" i="2" s="1"/>
  <c r="G13" i="22"/>
  <c r="C12" i="22"/>
  <c r="D7" i="4"/>
  <c r="F8" i="4"/>
  <c r="D8" i="4"/>
  <c r="H8" i="4"/>
  <c r="D22" i="4"/>
  <c r="F39" i="4"/>
  <c r="D42" i="4"/>
  <c r="D23" i="4"/>
  <c r="H23" i="4"/>
  <c r="H38" i="4"/>
  <c r="F23" i="4"/>
  <c r="U79" i="2"/>
  <c r="M79" i="2" s="1"/>
  <c r="B23" i="4"/>
  <c r="F38" i="4"/>
  <c r="D38" i="4"/>
  <c r="B22" i="4"/>
  <c r="L82" i="2"/>
  <c r="C59" i="2" s="1"/>
  <c r="L77" i="2"/>
  <c r="F7" i="4"/>
  <c r="H26" i="4"/>
  <c r="H37" i="4"/>
  <c r="W12" i="2"/>
  <c r="Y12" i="2" s="1"/>
  <c r="W9" i="2"/>
  <c r="Y9" i="2" s="1"/>
  <c r="O7" i="2"/>
  <c r="Q7" i="2" s="1"/>
  <c r="D12" i="4"/>
  <c r="B42" i="4"/>
  <c r="G42" i="4"/>
  <c r="H42" i="4" s="1"/>
  <c r="H9" i="4"/>
  <c r="W23" i="2"/>
  <c r="Y23" i="2" s="1"/>
  <c r="W6" i="2"/>
  <c r="Y6" i="2" s="1"/>
  <c r="L81" i="2"/>
  <c r="O81" i="2" s="1"/>
  <c r="F41" i="4"/>
  <c r="D37" i="4"/>
  <c r="B12" i="4"/>
  <c r="B27" i="4"/>
  <c r="W53" i="2"/>
  <c r="B9" i="4"/>
  <c r="L111" i="21"/>
  <c r="N111" i="21" s="1"/>
  <c r="H19" i="21"/>
  <c r="D41" i="4"/>
  <c r="B41" i="4"/>
  <c r="O10" i="2"/>
  <c r="W8" i="2"/>
  <c r="Y8" i="2" s="1"/>
  <c r="H12" i="4"/>
  <c r="G84" i="22"/>
  <c r="F22" i="4"/>
  <c r="B26" i="4"/>
  <c r="O12" i="2"/>
  <c r="W11" i="2"/>
  <c r="Y11" i="2" s="1"/>
  <c r="F27" i="4"/>
  <c r="L83" i="2"/>
  <c r="G73" i="22"/>
  <c r="G75" i="22" s="1"/>
  <c r="F37" i="4"/>
  <c r="H90" i="21"/>
  <c r="H22" i="4"/>
  <c r="H7" i="4"/>
  <c r="W19" i="2"/>
  <c r="Y19" i="2" s="1"/>
  <c r="H10" i="4"/>
  <c r="H23" i="21"/>
  <c r="J46" i="21"/>
  <c r="J59" i="21" s="1"/>
  <c r="J7" i="21"/>
  <c r="L7" i="21" s="1"/>
  <c r="L18" i="21"/>
  <c r="J8" i="21"/>
  <c r="L8" i="21" s="1"/>
  <c r="L19" i="21"/>
  <c r="L24" i="21"/>
  <c r="J52" i="21"/>
  <c r="J53" i="21" s="1"/>
  <c r="E49" i="2"/>
  <c r="I49" i="2" s="1"/>
  <c r="J9" i="21"/>
  <c r="L9" i="21" s="1"/>
  <c r="L34" i="21"/>
  <c r="L17" i="21"/>
  <c r="J10" i="21"/>
  <c r="L10" i="21" s="1"/>
  <c r="J20" i="21"/>
  <c r="L20" i="21" s="1"/>
  <c r="L23" i="21"/>
  <c r="L118" i="21"/>
  <c r="N118" i="21" s="1"/>
  <c r="L25" i="21"/>
  <c r="L101" i="20"/>
  <c r="M101" i="20" s="1"/>
  <c r="H45" i="20"/>
  <c r="F7" i="20"/>
  <c r="H7" i="20" s="1"/>
  <c r="M94" i="20"/>
  <c r="S94" i="20" s="1"/>
  <c r="L129" i="20"/>
  <c r="N129" i="20" s="1"/>
  <c r="J6" i="20"/>
  <c r="L17" i="20"/>
  <c r="J51" i="20"/>
  <c r="J52" i="20" s="1"/>
  <c r="J45" i="20"/>
  <c r="E6" i="2"/>
  <c r="I6" i="2" s="1"/>
  <c r="J8" i="20"/>
  <c r="L8" i="20" s="1"/>
  <c r="J7" i="20"/>
  <c r="L7" i="20" s="1"/>
  <c r="L22" i="20"/>
  <c r="L23" i="20"/>
  <c r="L16" i="20"/>
  <c r="H18" i="20"/>
  <c r="L24" i="20"/>
  <c r="J19" i="20"/>
  <c r="L19" i="20" s="1"/>
  <c r="F8" i="20"/>
  <c r="H8" i="20" s="1"/>
  <c r="F19" i="20"/>
  <c r="H19" i="20" s="1"/>
  <c r="L18" i="20"/>
  <c r="N114" i="20"/>
  <c r="M114" i="20"/>
  <c r="L117" i="20"/>
  <c r="W48" i="2"/>
  <c r="W54" i="2"/>
  <c r="W50" i="2"/>
  <c r="W47" i="2"/>
  <c r="W52" i="2"/>
  <c r="W51" i="2"/>
  <c r="W57" i="2"/>
  <c r="W56" i="2"/>
  <c r="L79" i="2"/>
  <c r="C56" i="2" s="1"/>
  <c r="N106" i="21"/>
  <c r="N96" i="20"/>
  <c r="M96" i="20"/>
  <c r="N129" i="21"/>
  <c r="S100" i="20"/>
  <c r="R100" i="20"/>
  <c r="T100" i="20"/>
  <c r="Q100" i="20"/>
  <c r="L80" i="2"/>
  <c r="C57" i="2" s="1"/>
  <c r="W62" i="2"/>
  <c r="M126" i="20"/>
  <c r="N126" i="20"/>
  <c r="H75" i="20"/>
  <c r="H78" i="20" s="1"/>
  <c r="H69" i="20"/>
  <c r="M126" i="21"/>
  <c r="L84" i="2"/>
  <c r="W69" i="2"/>
  <c r="M97" i="20"/>
  <c r="M128" i="20"/>
  <c r="M116" i="20"/>
  <c r="M124" i="20"/>
  <c r="M113" i="20"/>
  <c r="M115" i="20"/>
  <c r="M127" i="20"/>
  <c r="M109" i="20"/>
  <c r="M99" i="20"/>
  <c r="M98" i="20"/>
  <c r="F15" i="20"/>
  <c r="H15" i="20" s="1"/>
  <c r="J81" i="20"/>
  <c r="B144" i="20" s="1"/>
  <c r="N124" i="21"/>
  <c r="L130" i="21"/>
  <c r="H22" i="20"/>
  <c r="L78" i="2"/>
  <c r="N125" i="20"/>
  <c r="M125" i="20"/>
  <c r="L75" i="2"/>
  <c r="W55" i="2"/>
  <c r="W67" i="2"/>
  <c r="W61" i="2"/>
  <c r="W65" i="2"/>
  <c r="W71" i="2"/>
  <c r="G27" i="4"/>
  <c r="H27" i="4" s="1"/>
  <c r="D11" i="4"/>
  <c r="F25" i="4"/>
  <c r="D25" i="4"/>
  <c r="H25" i="4"/>
  <c r="F11" i="4"/>
  <c r="H40" i="4"/>
  <c r="W70" i="2"/>
  <c r="W68" i="2"/>
  <c r="H11" i="4"/>
  <c r="H24" i="20"/>
  <c r="C6" i="2"/>
  <c r="H6" i="2" s="1"/>
  <c r="H16" i="20"/>
  <c r="H17" i="20"/>
  <c r="H23" i="20"/>
  <c r="H51" i="20"/>
  <c r="H52" i="20" s="1"/>
  <c r="N107" i="20"/>
  <c r="M107" i="20"/>
  <c r="M122" i="20"/>
  <c r="H25" i="21"/>
  <c r="C49" i="2"/>
  <c r="H49" i="2" s="1"/>
  <c r="H24" i="21"/>
  <c r="H52" i="21"/>
  <c r="H53" i="21" s="1"/>
  <c r="H18" i="21"/>
  <c r="F7" i="21"/>
  <c r="F20" i="21"/>
  <c r="H20" i="21" s="1"/>
  <c r="H46" i="21"/>
  <c r="N126" i="21"/>
  <c r="G77" i="22"/>
  <c r="G76" i="22"/>
  <c r="D10" i="4"/>
  <c r="F26" i="21" l="1"/>
  <c r="H26" i="21" s="1"/>
  <c r="H59" i="21"/>
  <c r="H71" i="21"/>
  <c r="J26" i="21"/>
  <c r="L26" i="21" s="1"/>
  <c r="J9" i="20"/>
  <c r="L9" i="20" s="1"/>
  <c r="F25" i="20"/>
  <c r="H25" i="20" s="1"/>
  <c r="H58" i="20"/>
  <c r="J25" i="20"/>
  <c r="L25" i="20" s="1"/>
  <c r="J58" i="20"/>
  <c r="T123" i="20"/>
  <c r="S123" i="20"/>
  <c r="R123" i="20"/>
  <c r="G28" i="22"/>
  <c r="G27" i="22"/>
  <c r="G29" i="22"/>
  <c r="T41" i="2"/>
  <c r="W41" i="2" s="1"/>
  <c r="Y13" i="2"/>
  <c r="T38" i="2"/>
  <c r="W38" i="2" s="1"/>
  <c r="Y10" i="2"/>
  <c r="Q8" i="2"/>
  <c r="Q4" i="2"/>
  <c r="Q5" i="2"/>
  <c r="Q12" i="2"/>
  <c r="Q11" i="2"/>
  <c r="Q6" i="2"/>
  <c r="Q10" i="2"/>
  <c r="Q13" i="2"/>
  <c r="Q9" i="2"/>
  <c r="T33" i="2"/>
  <c r="V33" i="2" s="1"/>
  <c r="F10" i="2" s="1"/>
  <c r="L34" i="2"/>
  <c r="C11" i="2" s="1"/>
  <c r="T35" i="2"/>
  <c r="E12" i="2" s="1"/>
  <c r="L32" i="2"/>
  <c r="N32" i="2" s="1"/>
  <c r="D9" i="2" s="1"/>
  <c r="L37" i="2"/>
  <c r="O37" i="2" s="1"/>
  <c r="T77" i="2"/>
  <c r="E54" i="2" s="1"/>
  <c r="T80" i="2"/>
  <c r="N81" i="2"/>
  <c r="D58" i="2" s="1"/>
  <c r="T37" i="2"/>
  <c r="W37" i="2" s="1"/>
  <c r="N85" i="2"/>
  <c r="D62" i="2" s="1"/>
  <c r="C62" i="2"/>
  <c r="L40" i="2"/>
  <c r="O40" i="2" s="1"/>
  <c r="C53" i="2"/>
  <c r="C58" i="2"/>
  <c r="O76" i="2"/>
  <c r="T40" i="2"/>
  <c r="V40" i="2" s="1"/>
  <c r="F17" i="2" s="1"/>
  <c r="T34" i="2"/>
  <c r="W34" i="2" s="1"/>
  <c r="T39" i="2"/>
  <c r="E16" i="2" s="1"/>
  <c r="L39" i="2"/>
  <c r="T81" i="2"/>
  <c r="W81" i="2" s="1"/>
  <c r="T83" i="2"/>
  <c r="E60" i="2" s="1"/>
  <c r="L36" i="2"/>
  <c r="N36" i="2" s="1"/>
  <c r="D13" i="2" s="1"/>
  <c r="T36" i="2"/>
  <c r="T78" i="2"/>
  <c r="V78" i="2" s="1"/>
  <c r="F55" i="2" s="1"/>
  <c r="N82" i="2"/>
  <c r="D59" i="2" s="1"/>
  <c r="T32" i="2"/>
  <c r="W32" i="2" s="1"/>
  <c r="T94" i="20"/>
  <c r="G85" i="22"/>
  <c r="T82" i="2"/>
  <c r="V82" i="2" s="1"/>
  <c r="F59" i="2" s="1"/>
  <c r="J12" i="21"/>
  <c r="D28" i="4"/>
  <c r="F43" i="4"/>
  <c r="F28" i="4"/>
  <c r="N101" i="20"/>
  <c r="D43" i="4"/>
  <c r="D13" i="4"/>
  <c r="H43" i="4"/>
  <c r="H13" i="4"/>
  <c r="F13" i="4"/>
  <c r="H28" i="4"/>
  <c r="O82" i="2"/>
  <c r="L35" i="2"/>
  <c r="Q94" i="20"/>
  <c r="M129" i="20"/>
  <c r="T85" i="2"/>
  <c r="E62" i="2" s="1"/>
  <c r="N83" i="2"/>
  <c r="D60" i="2" s="1"/>
  <c r="O83" i="2"/>
  <c r="C60" i="2"/>
  <c r="L38" i="2"/>
  <c r="O77" i="2"/>
  <c r="C54" i="2"/>
  <c r="N77" i="2"/>
  <c r="D54" i="2" s="1"/>
  <c r="M106" i="21"/>
  <c r="R106" i="21" s="1"/>
  <c r="L12" i="21"/>
  <c r="M124" i="21"/>
  <c r="R124" i="21" s="1"/>
  <c r="M111" i="21"/>
  <c r="L120" i="21"/>
  <c r="N120" i="21" s="1"/>
  <c r="M129" i="21"/>
  <c r="S129" i="21" s="1"/>
  <c r="R94" i="20"/>
  <c r="F33" i="20"/>
  <c r="H33" i="20" s="1"/>
  <c r="F11" i="20"/>
  <c r="U100" i="20"/>
  <c r="L6" i="20"/>
  <c r="Q97" i="20"/>
  <c r="R97" i="20"/>
  <c r="T97" i="20"/>
  <c r="S97" i="20"/>
  <c r="Q114" i="20"/>
  <c r="R114" i="20"/>
  <c r="T114" i="20"/>
  <c r="S114" i="20"/>
  <c r="H11" i="20"/>
  <c r="R127" i="20"/>
  <c r="Q127" i="20"/>
  <c r="T127" i="20"/>
  <c r="S127" i="20"/>
  <c r="N132" i="20"/>
  <c r="M132" i="20"/>
  <c r="C18" i="2"/>
  <c r="N41" i="2"/>
  <c r="D18" i="2" s="1"/>
  <c r="O41" i="2"/>
  <c r="T76" i="2"/>
  <c r="N33" i="2"/>
  <c r="O33" i="2"/>
  <c r="C10" i="2"/>
  <c r="T125" i="20"/>
  <c r="R125" i="20"/>
  <c r="S125" i="20"/>
  <c r="Q125" i="20"/>
  <c r="S115" i="20"/>
  <c r="R115" i="20"/>
  <c r="Q115" i="20"/>
  <c r="T115" i="20"/>
  <c r="N75" i="2"/>
  <c r="L86" i="2"/>
  <c r="C52" i="2"/>
  <c r="O75" i="2"/>
  <c r="S113" i="20"/>
  <c r="Q113" i="20"/>
  <c r="R113" i="20"/>
  <c r="T113" i="20"/>
  <c r="J69" i="20"/>
  <c r="H70" i="20"/>
  <c r="J70" i="20"/>
  <c r="T126" i="21"/>
  <c r="Q126" i="21"/>
  <c r="S126" i="21"/>
  <c r="R126" i="21"/>
  <c r="Q124" i="20"/>
  <c r="T124" i="20"/>
  <c r="R124" i="20"/>
  <c r="S124" i="20"/>
  <c r="T79" i="2"/>
  <c r="E56" i="2" s="1"/>
  <c r="S109" i="20"/>
  <c r="T109" i="20"/>
  <c r="R109" i="20"/>
  <c r="Q109" i="20"/>
  <c r="N130" i="21"/>
  <c r="M130" i="21"/>
  <c r="Y29" i="2"/>
  <c r="Y30" i="2" s="1"/>
  <c r="Q116" i="20"/>
  <c r="R116" i="20"/>
  <c r="S116" i="20"/>
  <c r="T116" i="20"/>
  <c r="R126" i="20"/>
  <c r="Q126" i="20"/>
  <c r="S126" i="20"/>
  <c r="T126" i="20"/>
  <c r="N80" i="2"/>
  <c r="D57" i="2" s="1"/>
  <c r="O80" i="2"/>
  <c r="N79" i="2"/>
  <c r="D56" i="2" s="1"/>
  <c r="O79" i="2"/>
  <c r="R98" i="20"/>
  <c r="S98" i="20"/>
  <c r="Q98" i="20"/>
  <c r="T98" i="20"/>
  <c r="T128" i="20"/>
  <c r="S128" i="20"/>
  <c r="Q128" i="20"/>
  <c r="R128" i="20"/>
  <c r="T75" i="2"/>
  <c r="F12" i="21"/>
  <c r="H7" i="21"/>
  <c r="H12" i="21" s="1"/>
  <c r="T122" i="20"/>
  <c r="S122" i="20"/>
  <c r="Q122" i="20"/>
  <c r="R122" i="20"/>
  <c r="T84" i="2"/>
  <c r="N78" i="2"/>
  <c r="D55" i="2" s="1"/>
  <c r="O78" i="2"/>
  <c r="C55" i="2"/>
  <c r="Q99" i="20"/>
  <c r="S99" i="20"/>
  <c r="T99" i="20"/>
  <c r="R99" i="20"/>
  <c r="C61" i="2"/>
  <c r="N84" i="2"/>
  <c r="D61" i="2" s="1"/>
  <c r="O84" i="2"/>
  <c r="M117" i="21"/>
  <c r="M123" i="21"/>
  <c r="M127" i="21"/>
  <c r="M109" i="21"/>
  <c r="M108" i="21"/>
  <c r="M116" i="21"/>
  <c r="M103" i="21"/>
  <c r="M115" i="21"/>
  <c r="M107" i="21"/>
  <c r="J83" i="21"/>
  <c r="B145" i="21" s="1"/>
  <c r="L133" i="21"/>
  <c r="F16" i="21"/>
  <c r="H16" i="21" s="1"/>
  <c r="M118" i="21"/>
  <c r="M114" i="21"/>
  <c r="M102" i="21"/>
  <c r="J16" i="21"/>
  <c r="L16" i="21" s="1"/>
  <c r="M96" i="21"/>
  <c r="M98" i="21"/>
  <c r="M101" i="21"/>
  <c r="M125" i="21"/>
  <c r="M110" i="21"/>
  <c r="M128" i="21"/>
  <c r="M99" i="21"/>
  <c r="M100" i="21"/>
  <c r="Q96" i="20"/>
  <c r="T96" i="20"/>
  <c r="R96" i="20"/>
  <c r="S96" i="20"/>
  <c r="M117" i="20"/>
  <c r="N117" i="20"/>
  <c r="V80" i="2" l="1"/>
  <c r="F57" i="2" s="1"/>
  <c r="E57" i="2"/>
  <c r="L11" i="20"/>
  <c r="T124" i="21"/>
  <c r="Q106" i="21"/>
  <c r="O140" i="20"/>
  <c r="M140" i="20" s="1"/>
  <c r="T129" i="20"/>
  <c r="U94" i="20"/>
  <c r="J11" i="20"/>
  <c r="U123" i="20"/>
  <c r="G30" i="22"/>
  <c r="E18" i="2"/>
  <c r="N37" i="2"/>
  <c r="D14" i="2" s="1"/>
  <c r="C14" i="2"/>
  <c r="V41" i="2"/>
  <c r="F18" i="2" s="1"/>
  <c r="V38" i="2"/>
  <c r="F15" i="2" s="1"/>
  <c r="E15" i="2"/>
  <c r="E10" i="2"/>
  <c r="W33" i="2"/>
  <c r="Q14" i="2"/>
  <c r="Q15" i="2" s="1"/>
  <c r="O32" i="2"/>
  <c r="W35" i="2"/>
  <c r="E14" i="2"/>
  <c r="F108" i="20" s="1"/>
  <c r="L108" i="20" s="1"/>
  <c r="N108" i="20" s="1"/>
  <c r="W80" i="2"/>
  <c r="N34" i="2"/>
  <c r="D11" i="2" s="1"/>
  <c r="O34" i="2"/>
  <c r="V37" i="2"/>
  <c r="F14" i="2" s="1"/>
  <c r="C9" i="2"/>
  <c r="V35" i="2"/>
  <c r="F12" i="2" s="1"/>
  <c r="Y14" i="2"/>
  <c r="Y15" i="2" s="1"/>
  <c r="V77" i="2"/>
  <c r="F54" i="2" s="1"/>
  <c r="W77" i="2"/>
  <c r="W40" i="2"/>
  <c r="E17" i="2"/>
  <c r="V83" i="2"/>
  <c r="F60" i="2" s="1"/>
  <c r="W83" i="2"/>
  <c r="C17" i="2"/>
  <c r="N40" i="2"/>
  <c r="D17" i="2" s="1"/>
  <c r="E11" i="2"/>
  <c r="F104" i="20" s="1"/>
  <c r="L104" i="20" s="1"/>
  <c r="N104" i="20" s="1"/>
  <c r="W39" i="2"/>
  <c r="V39" i="2"/>
  <c r="F16" i="2" s="1"/>
  <c r="V81" i="2"/>
  <c r="F58" i="2" s="1"/>
  <c r="W85" i="2"/>
  <c r="E58" i="2"/>
  <c r="V32" i="2"/>
  <c r="F9" i="2" s="1"/>
  <c r="N39" i="2"/>
  <c r="D16" i="2" s="1"/>
  <c r="O39" i="2"/>
  <c r="T42" i="2"/>
  <c r="C13" i="2"/>
  <c r="C16" i="2"/>
  <c r="O36" i="2"/>
  <c r="V34" i="2"/>
  <c r="F11" i="2" s="1"/>
  <c r="E9" i="2"/>
  <c r="E55" i="2"/>
  <c r="W36" i="2"/>
  <c r="E13" i="2"/>
  <c r="V36" i="2"/>
  <c r="F13" i="2" s="1"/>
  <c r="W78" i="2"/>
  <c r="E59" i="2"/>
  <c r="W82" i="2"/>
  <c r="V85" i="2"/>
  <c r="F62" i="2" s="1"/>
  <c r="D29" i="4"/>
  <c r="C48" i="4" s="1"/>
  <c r="L132" i="21"/>
  <c r="L134" i="21" s="1"/>
  <c r="D44" i="4"/>
  <c r="C49" i="4" s="1"/>
  <c r="D14" i="4"/>
  <c r="C47" i="4" s="1"/>
  <c r="C15" i="2"/>
  <c r="N38" i="2"/>
  <c r="D15" i="2" s="1"/>
  <c r="O38" i="2"/>
  <c r="Q129" i="21"/>
  <c r="S124" i="21"/>
  <c r="C12" i="2"/>
  <c r="O35" i="2"/>
  <c r="N35" i="2"/>
  <c r="D12" i="2" s="1"/>
  <c r="Q124" i="21"/>
  <c r="R129" i="21"/>
  <c r="L42" i="2"/>
  <c r="T129" i="21"/>
  <c r="T106" i="21"/>
  <c r="S106" i="21"/>
  <c r="M120" i="21"/>
  <c r="U126" i="21"/>
  <c r="J33" i="20"/>
  <c r="L33" i="20" s="1"/>
  <c r="S117" i="20"/>
  <c r="U115" i="20"/>
  <c r="U128" i="20"/>
  <c r="R117" i="20"/>
  <c r="S101" i="20"/>
  <c r="S125" i="21"/>
  <c r="Q125" i="21"/>
  <c r="R125" i="21"/>
  <c r="T125" i="21"/>
  <c r="Q108" i="21"/>
  <c r="S108" i="21"/>
  <c r="T108" i="21"/>
  <c r="R108" i="21"/>
  <c r="U116" i="20"/>
  <c r="V79" i="2"/>
  <c r="F56" i="2" s="1"/>
  <c r="W79" i="2"/>
  <c r="Q117" i="20"/>
  <c r="U113" i="20"/>
  <c r="W76" i="2"/>
  <c r="V76" i="2"/>
  <c r="F53" i="2" s="1"/>
  <c r="E53" i="2"/>
  <c r="U127" i="20"/>
  <c r="S116" i="21"/>
  <c r="R116" i="21"/>
  <c r="Q116" i="21"/>
  <c r="T116" i="21"/>
  <c r="U124" i="20"/>
  <c r="T101" i="20"/>
  <c r="S98" i="21"/>
  <c r="T98" i="21"/>
  <c r="R98" i="21"/>
  <c r="Q98" i="21"/>
  <c r="M133" i="21"/>
  <c r="N133" i="21"/>
  <c r="T127" i="21"/>
  <c r="R127" i="21"/>
  <c r="S127" i="21"/>
  <c r="Q127" i="21"/>
  <c r="W84" i="2"/>
  <c r="V84" i="2"/>
  <c r="F61" i="2" s="1"/>
  <c r="E61" i="2"/>
  <c r="V75" i="2"/>
  <c r="E52" i="2"/>
  <c r="T86" i="2"/>
  <c r="W75" i="2"/>
  <c r="U126" i="20"/>
  <c r="O86" i="2"/>
  <c r="U97" i="20"/>
  <c r="Q123" i="21"/>
  <c r="S123" i="21"/>
  <c r="R123" i="21"/>
  <c r="T123" i="21"/>
  <c r="R129" i="20"/>
  <c r="O138" i="20" s="1"/>
  <c r="U109" i="20"/>
  <c r="D10" i="2"/>
  <c r="R101" i="20"/>
  <c r="Q109" i="21"/>
  <c r="S109" i="21"/>
  <c r="T109" i="21"/>
  <c r="R109" i="21"/>
  <c r="R96" i="21"/>
  <c r="S96" i="21"/>
  <c r="Q96" i="21"/>
  <c r="T96" i="21"/>
  <c r="R100" i="21"/>
  <c r="T100" i="21"/>
  <c r="S100" i="21"/>
  <c r="Q100" i="21"/>
  <c r="S107" i="21"/>
  <c r="R107" i="21"/>
  <c r="T107" i="21"/>
  <c r="Q107" i="21"/>
  <c r="U99" i="20"/>
  <c r="U125" i="20"/>
  <c r="S99" i="21"/>
  <c r="Q99" i="21"/>
  <c r="R99" i="21"/>
  <c r="T99" i="21"/>
  <c r="Q102" i="21"/>
  <c r="T102" i="21"/>
  <c r="S102" i="21"/>
  <c r="R102" i="21"/>
  <c r="T115" i="21"/>
  <c r="Q115" i="21"/>
  <c r="S115" i="21"/>
  <c r="R115" i="21"/>
  <c r="S129" i="20"/>
  <c r="O139" i="20" s="1"/>
  <c r="M139" i="20" s="1"/>
  <c r="U98" i="20"/>
  <c r="U114" i="20"/>
  <c r="S110" i="21"/>
  <c r="R110" i="21"/>
  <c r="Q110" i="21"/>
  <c r="T110" i="21"/>
  <c r="Q101" i="21"/>
  <c r="T101" i="21"/>
  <c r="S101" i="21"/>
  <c r="R101" i="21"/>
  <c r="Q101" i="20"/>
  <c r="U96" i="20"/>
  <c r="T117" i="21"/>
  <c r="Q117" i="21"/>
  <c r="R117" i="21"/>
  <c r="S117" i="21"/>
  <c r="U122" i="20"/>
  <c r="Q129" i="20"/>
  <c r="O141" i="20" s="1"/>
  <c r="M141" i="20" s="1"/>
  <c r="R128" i="21"/>
  <c r="Q128" i="21"/>
  <c r="S128" i="21"/>
  <c r="T128" i="21"/>
  <c r="R114" i="21"/>
  <c r="S114" i="21"/>
  <c r="T114" i="21"/>
  <c r="Q114" i="21"/>
  <c r="T117" i="20"/>
  <c r="N86" i="2"/>
  <c r="D52" i="2"/>
  <c r="D63" i="2" s="1"/>
  <c r="F105" i="20" l="1"/>
  <c r="L105" i="20" s="1"/>
  <c r="U106" i="21"/>
  <c r="M108" i="20"/>
  <c r="T108" i="20" s="1"/>
  <c r="F106" i="20"/>
  <c r="L106" i="20" s="1"/>
  <c r="M106" i="20" s="1"/>
  <c r="Q106" i="20" s="1"/>
  <c r="W42" i="2"/>
  <c r="M104" i="20"/>
  <c r="N105" i="20"/>
  <c r="V42" i="2"/>
  <c r="O42" i="2"/>
  <c r="M105" i="20"/>
  <c r="S105" i="20" s="1"/>
  <c r="F19" i="2"/>
  <c r="D19" i="2"/>
  <c r="U124" i="21"/>
  <c r="N132" i="21"/>
  <c r="N42" i="2"/>
  <c r="U129" i="21"/>
  <c r="M132" i="21"/>
  <c r="C50" i="4"/>
  <c r="G14" i="22" s="1"/>
  <c r="G23" i="22" s="1"/>
  <c r="G24" i="22" s="1"/>
  <c r="G32" i="22" s="1"/>
  <c r="G38" i="22" s="1"/>
  <c r="S118" i="21"/>
  <c r="T111" i="21"/>
  <c r="R111" i="21"/>
  <c r="S111" i="21"/>
  <c r="U100" i="21"/>
  <c r="U107" i="21"/>
  <c r="U127" i="21"/>
  <c r="U129" i="20"/>
  <c r="U117" i="20"/>
  <c r="U114" i="21"/>
  <c r="Q118" i="21"/>
  <c r="T118" i="21"/>
  <c r="U96" i="21"/>
  <c r="T130" i="21"/>
  <c r="O141" i="21" s="1"/>
  <c r="M141" i="21" s="1"/>
  <c r="Q103" i="21"/>
  <c r="U98" i="21"/>
  <c r="U116" i="21"/>
  <c r="U108" i="21"/>
  <c r="M138" i="20"/>
  <c r="O143" i="20"/>
  <c r="M143" i="20" s="1"/>
  <c r="U115" i="21"/>
  <c r="U99" i="21"/>
  <c r="R130" i="21"/>
  <c r="O139" i="21" s="1"/>
  <c r="R103" i="21"/>
  <c r="U101" i="20"/>
  <c r="R118" i="21"/>
  <c r="S130" i="21"/>
  <c r="O140" i="21" s="1"/>
  <c r="M140" i="21" s="1"/>
  <c r="T103" i="21"/>
  <c r="U101" i="21"/>
  <c r="M134" i="21"/>
  <c r="N134" i="21"/>
  <c r="Q130" i="21"/>
  <c r="O142" i="21" s="1"/>
  <c r="M142" i="21" s="1"/>
  <c r="U123" i="21"/>
  <c r="W86" i="2"/>
  <c r="S103" i="21"/>
  <c r="U125" i="21"/>
  <c r="U117" i="21"/>
  <c r="U128" i="21"/>
  <c r="U110" i="21"/>
  <c r="U102" i="21"/>
  <c r="U109" i="21"/>
  <c r="Q111" i="21"/>
  <c r="F52" i="2"/>
  <c r="F63" i="2" s="1"/>
  <c r="V86" i="2"/>
  <c r="F21" i="21" l="1"/>
  <c r="H21" i="21" s="1"/>
  <c r="J21" i="21"/>
  <c r="L21" i="21" s="1"/>
  <c r="Q108" i="20"/>
  <c r="S108" i="20"/>
  <c r="T106" i="20"/>
  <c r="R108" i="20"/>
  <c r="R106" i="20"/>
  <c r="L110" i="20"/>
  <c r="M110" i="20" s="1"/>
  <c r="N106" i="20"/>
  <c r="S106" i="20"/>
  <c r="Q105" i="20"/>
  <c r="S104" i="20"/>
  <c r="T104" i="20"/>
  <c r="R104" i="20"/>
  <c r="Q104" i="20"/>
  <c r="T105" i="20"/>
  <c r="R105" i="20"/>
  <c r="S120" i="21"/>
  <c r="G19" i="2"/>
  <c r="I19" i="2" s="1"/>
  <c r="J14" i="20" s="1"/>
  <c r="L14" i="20" s="1"/>
  <c r="G63" i="2"/>
  <c r="H63" i="2" s="1"/>
  <c r="F15" i="21" s="1"/>
  <c r="H15" i="21" s="1"/>
  <c r="U111" i="21"/>
  <c r="T120" i="21"/>
  <c r="U103" i="21"/>
  <c r="R120" i="21"/>
  <c r="Q120" i="21"/>
  <c r="U130" i="21"/>
  <c r="G34" i="22"/>
  <c r="M139" i="21"/>
  <c r="O144" i="21"/>
  <c r="M144" i="21" s="1"/>
  <c r="U118" i="21"/>
  <c r="G37" i="22"/>
  <c r="G35" i="22"/>
  <c r="G39" i="22"/>
  <c r="S110" i="20" l="1"/>
  <c r="S119" i="20" s="1"/>
  <c r="N139" i="20" s="1"/>
  <c r="L139" i="20" s="1"/>
  <c r="U108" i="20"/>
  <c r="U106" i="20"/>
  <c r="R110" i="20"/>
  <c r="R119" i="20" s="1"/>
  <c r="N110" i="20"/>
  <c r="L119" i="20"/>
  <c r="M119" i="20" s="1"/>
  <c r="T110" i="20"/>
  <c r="T119" i="20" s="1"/>
  <c r="N140" i="20" s="1"/>
  <c r="P140" i="20" s="1"/>
  <c r="U104" i="20"/>
  <c r="Q110" i="20"/>
  <c r="Q119" i="20" s="1"/>
  <c r="U105" i="20"/>
  <c r="N140" i="21"/>
  <c r="L140" i="21" s="1"/>
  <c r="N141" i="21"/>
  <c r="L141" i="21" s="1"/>
  <c r="H19" i="2"/>
  <c r="F14" i="20" s="1"/>
  <c r="H14" i="20" s="1"/>
  <c r="I63" i="2"/>
  <c r="J15" i="21" s="1"/>
  <c r="L15" i="21" s="1"/>
  <c r="F28" i="21"/>
  <c r="H28" i="21" s="1"/>
  <c r="H29" i="21" s="1"/>
  <c r="H40" i="21" s="1"/>
  <c r="N139" i="21"/>
  <c r="P139" i="21" s="1"/>
  <c r="U120" i="21"/>
  <c r="N142" i="21"/>
  <c r="P140" i="21" l="1"/>
  <c r="P139" i="20"/>
  <c r="N138" i="20"/>
  <c r="L138" i="20" s="1"/>
  <c r="J131" i="20"/>
  <c r="N131" i="20" s="1"/>
  <c r="N133" i="20" s="1"/>
  <c r="N119" i="20"/>
  <c r="U110" i="20"/>
  <c r="U119" i="20" s="1"/>
  <c r="L140" i="20"/>
  <c r="F34" i="20"/>
  <c r="H34" i="20" s="1"/>
  <c r="J34" i="20"/>
  <c r="L34" i="20" s="1"/>
  <c r="F35" i="21"/>
  <c r="H35" i="21" s="1"/>
  <c r="J35" i="21"/>
  <c r="L35" i="21" s="1"/>
  <c r="P141" i="21"/>
  <c r="J33" i="21"/>
  <c r="L33" i="21" s="1"/>
  <c r="L139" i="21"/>
  <c r="F33" i="21"/>
  <c r="H33" i="21" s="1"/>
  <c r="N144" i="21"/>
  <c r="P144" i="21" s="1"/>
  <c r="J28" i="21"/>
  <c r="L28" i="21" s="1"/>
  <c r="L29" i="21" s="1"/>
  <c r="L40" i="21" s="1"/>
  <c r="F29" i="21"/>
  <c r="F40" i="21" s="1"/>
  <c r="N141" i="20"/>
  <c r="F32" i="21"/>
  <c r="L142" i="21"/>
  <c r="P142" i="21"/>
  <c r="J32" i="21"/>
  <c r="M131" i="20" l="1"/>
  <c r="J133" i="20"/>
  <c r="F32" i="20"/>
  <c r="H32" i="20" s="1"/>
  <c r="J32" i="20"/>
  <c r="L32" i="20" s="1"/>
  <c r="P138" i="20"/>
  <c r="L144" i="21"/>
  <c r="J29" i="21"/>
  <c r="J40" i="21" s="1"/>
  <c r="L141" i="20"/>
  <c r="P141" i="20"/>
  <c r="F31" i="20"/>
  <c r="J31" i="20"/>
  <c r="N143" i="20"/>
  <c r="L32" i="21"/>
  <c r="L36" i="21" s="1"/>
  <c r="L38" i="21" s="1"/>
  <c r="L41" i="21" s="1"/>
  <c r="J36" i="21"/>
  <c r="F36" i="21"/>
  <c r="H32" i="21"/>
  <c r="M133" i="20" l="1"/>
  <c r="J20" i="20"/>
  <c r="J27" i="20" s="1"/>
  <c r="L27" i="20" s="1"/>
  <c r="F20" i="20"/>
  <c r="F27" i="20" s="1"/>
  <c r="H27" i="20" s="1"/>
  <c r="J38" i="21"/>
  <c r="J41" i="21" s="1"/>
  <c r="H31" i="20"/>
  <c r="H35" i="20" s="1"/>
  <c r="F35" i="20"/>
  <c r="L31" i="20"/>
  <c r="L35" i="20" s="1"/>
  <c r="J35" i="20"/>
  <c r="L143" i="20"/>
  <c r="P143" i="20"/>
  <c r="H36" i="21"/>
  <c r="H38" i="21" s="1"/>
  <c r="H41" i="21" s="1"/>
  <c r="F38" i="21"/>
  <c r="F41" i="21" s="1"/>
  <c r="F28" i="20" l="1"/>
  <c r="F37" i="20" s="1"/>
  <c r="F40" i="20" s="1"/>
  <c r="L20" i="20"/>
  <c r="L28" i="20" s="1"/>
  <c r="L37" i="20" s="1"/>
  <c r="L40" i="20" s="1"/>
  <c r="J28" i="20"/>
  <c r="J39" i="20" s="1"/>
  <c r="H20" i="20"/>
  <c r="H28" i="20" s="1"/>
  <c r="H39" i="20" s="1"/>
  <c r="F39" i="20" l="1"/>
  <c r="L39" i="20"/>
  <c r="H37" i="20"/>
  <c r="H40" i="20" s="1"/>
  <c r="J37" i="20"/>
  <c r="J40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HornerJ</author>
  </authors>
  <commentList>
    <comment ref="G1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HornerJ:</t>
        </r>
        <r>
          <rPr>
            <sz val="8"/>
            <color indexed="81"/>
            <rFont val="Tahoma"/>
            <family val="2"/>
          </rPr>
          <t xml:space="preserve">
7/12 is % of year on pasture.  .35 represents ave. wt of 350, 2 assumes the calves are using pasture for 2 months during this growth period.</t>
        </r>
      </text>
    </comment>
  </commentList>
</comments>
</file>

<file path=xl/sharedStrings.xml><?xml version="1.0" encoding="utf-8"?>
<sst xmlns="http://schemas.openxmlformats.org/spreadsheetml/2006/main" count="918" uniqueCount="347">
  <si>
    <t>Labor:</t>
  </si>
  <si>
    <t>Veterinary, drugs, and supplies</t>
  </si>
  <si>
    <t>Buildings and equipment repairs</t>
  </si>
  <si>
    <t xml:space="preserve">   Interest on breeding herd</t>
  </si>
  <si>
    <t xml:space="preserve">   Insurance on breeding herd</t>
  </si>
  <si>
    <t>Professional fees (legal, acct, etc.)</t>
  </si>
  <si>
    <t>Miscellaneous</t>
  </si>
  <si>
    <t>Value of dairy cow</t>
  </si>
  <si>
    <t>Value of replacement heifer</t>
  </si>
  <si>
    <t>Total value per cow</t>
  </si>
  <si>
    <t xml:space="preserve">   Value/head</t>
  </si>
  <si>
    <t>Buildings and improvements</t>
  </si>
  <si>
    <t xml:space="preserve">   Salvage value</t>
  </si>
  <si>
    <t xml:space="preserve">   Depreciation</t>
  </si>
  <si>
    <t xml:space="preserve">   Insurance rate</t>
  </si>
  <si>
    <t xml:space="preserve">   Taxes rate</t>
  </si>
  <si>
    <t>Equipment</t>
  </si>
  <si>
    <t>Production level (lbs milk sold)</t>
  </si>
  <si>
    <t>Total</t>
  </si>
  <si>
    <t>xxx</t>
  </si>
  <si>
    <t>Feed</t>
  </si>
  <si>
    <t>Milk Production Level</t>
  </si>
  <si>
    <t>Lbs</t>
  </si>
  <si>
    <t>Dollars</t>
  </si>
  <si>
    <t>Insurance</t>
  </si>
  <si>
    <t>Depreciation</t>
  </si>
  <si>
    <t>Weight of cull heifers</t>
  </si>
  <si>
    <t>Death loss</t>
  </si>
  <si>
    <t>Building and equipment repairs</t>
  </si>
  <si>
    <t>Feed Requirement</t>
  </si>
  <si>
    <t>$/ton</t>
  </si>
  <si>
    <t>Lactating cow inventory</t>
  </si>
  <si>
    <t>Buildings:</t>
  </si>
  <si>
    <t xml:space="preserve">  Free stall barn</t>
  </si>
  <si>
    <t>stalls</t>
  </si>
  <si>
    <t xml:space="preserve">  Yearling heifer shelter</t>
  </si>
  <si>
    <t>head</t>
  </si>
  <si>
    <t xml:space="preserve">  Calf shelter</t>
  </si>
  <si>
    <t xml:space="preserve">  Electrical service and grading</t>
  </si>
  <si>
    <t xml:space="preserve">  Other</t>
  </si>
  <si>
    <t>Total cow herd</t>
  </si>
  <si>
    <t>Feed Storage:</t>
  </si>
  <si>
    <t xml:space="preserve">  Hay</t>
  </si>
  <si>
    <t>tons</t>
  </si>
  <si>
    <t xml:space="preserve">  Protein</t>
  </si>
  <si>
    <t>per cow</t>
  </si>
  <si>
    <t>Equipment:</t>
  </si>
  <si>
    <t>ANNUAL COST ASSUMPTIONS FOR BUILDINGS AND EQUIPMENT</t>
  </si>
  <si>
    <t>Interest rate</t>
  </si>
  <si>
    <t>Insurance rate</t>
  </si>
  <si>
    <t>Taxes rate</t>
  </si>
  <si>
    <t>Buildings</t>
  </si>
  <si>
    <t>TOTAL ANNUAL COST</t>
  </si>
  <si>
    <t>Percent calf crop</t>
  </si>
  <si>
    <t>Replacement heifers raised = 1 or purchased = 0</t>
  </si>
  <si>
    <t xml:space="preserve">   Capital replacement on breeding herd</t>
  </si>
  <si>
    <t>Replacement Heifer</t>
  </si>
  <si>
    <t>(birth to 24 months)</t>
  </si>
  <si>
    <t>Total feed cost</t>
  </si>
  <si>
    <t xml:space="preserve">   Percent cull cows sold</t>
  </si>
  <si>
    <t>Culls and death loss</t>
  </si>
  <si>
    <t xml:space="preserve">   Percent death loss and condemed cows</t>
  </si>
  <si>
    <t xml:space="preserve">  Silage</t>
  </si>
  <si>
    <t xml:space="preserve">  Commodity shed</t>
  </si>
  <si>
    <t>bushels</t>
  </si>
  <si>
    <t xml:space="preserve">  Feed handling</t>
  </si>
  <si>
    <t xml:space="preserve">  Milking parlor</t>
  </si>
  <si>
    <t xml:space="preserve">  Manure storage system</t>
  </si>
  <si>
    <t>TOTAL INVESTMENT</t>
  </si>
  <si>
    <t xml:space="preserve">  Rolling equipment</t>
  </si>
  <si>
    <t xml:space="preserve">  Other equip/cow</t>
  </si>
  <si>
    <t>Other buildings and improvements</t>
  </si>
  <si>
    <t xml:space="preserve">  Water/cooling system</t>
  </si>
  <si>
    <t>lact. cows</t>
  </si>
  <si>
    <t>Salvage</t>
  </si>
  <si>
    <t>Value</t>
  </si>
  <si>
    <t>(years)</t>
  </si>
  <si>
    <t>Depr.</t>
  </si>
  <si>
    <t>Dep.</t>
  </si>
  <si>
    <t>Interest</t>
  </si>
  <si>
    <t>Taxes</t>
  </si>
  <si>
    <t xml:space="preserve">xxx  </t>
  </si>
  <si>
    <t>B&amp;E/cow*</t>
  </si>
  <si>
    <t>Annual Rates</t>
  </si>
  <si>
    <t>Total Cost</t>
  </si>
  <si>
    <t>Cost/cow*</t>
  </si>
  <si>
    <t>TOTAL BUILDING AND EQUIPMENT INVESTMENT</t>
  </si>
  <si>
    <t>TOTAL BREEDING HERD INVESTMENT</t>
  </si>
  <si>
    <t>Days</t>
  </si>
  <si>
    <t>Lactation Diet</t>
  </si>
  <si>
    <t>Total Per Cow/year</t>
  </si>
  <si>
    <t>Tons/year</t>
  </si>
  <si>
    <t>lb/day</t>
  </si>
  <si>
    <t>lb/cow/yr</t>
  </si>
  <si>
    <t xml:space="preserve">Total </t>
  </si>
  <si>
    <t>Dry Diet</t>
  </si>
  <si>
    <t>lbs/cow/yr</t>
  </si>
  <si>
    <t>Lbs DM</t>
  </si>
  <si>
    <t>DM, %</t>
  </si>
  <si>
    <t>Total lbs.</t>
  </si>
  <si>
    <t>Lb/day</t>
  </si>
  <si>
    <t>Birth to 2 months</t>
  </si>
  <si>
    <t>Preweaning ration</t>
  </si>
  <si>
    <t>Beginning/ending weight</t>
  </si>
  <si>
    <t>2 to 3 months</t>
  </si>
  <si>
    <t>Transition ration</t>
  </si>
  <si>
    <t>Early growing ration</t>
  </si>
  <si>
    <t>3 to 6 months</t>
  </si>
  <si>
    <t>Corn silage</t>
  </si>
  <si>
    <t>Alfalfa silage</t>
  </si>
  <si>
    <t>Alfalfa hay</t>
  </si>
  <si>
    <t>Grass hay</t>
  </si>
  <si>
    <t>Corn gluten feed</t>
  </si>
  <si>
    <t>Soybean meal</t>
  </si>
  <si>
    <t>Dry distillers grain</t>
  </si>
  <si>
    <t>Soybean hulls</t>
  </si>
  <si>
    <t>Whole cotton seed</t>
  </si>
  <si>
    <t>Minerals/vitamins</t>
  </si>
  <si>
    <t>Corn, cracked</t>
  </si>
  <si>
    <t>Growing ration #1</t>
  </si>
  <si>
    <t>Winter feeding</t>
  </si>
  <si>
    <t>Growing ration #2</t>
  </si>
  <si>
    <t>Spring &amp; Fall</t>
  </si>
  <si>
    <t>Growing ration #3</t>
  </si>
  <si>
    <t>Mid-summer</t>
  </si>
  <si>
    <t>Milk replacer</t>
  </si>
  <si>
    <t>Calf grower (16%)</t>
  </si>
  <si>
    <t>Feed Item</t>
  </si>
  <si>
    <t>Pasture</t>
  </si>
  <si>
    <t>Growing ration #4</t>
  </si>
  <si>
    <t>Growing ration #5</t>
  </si>
  <si>
    <t>Growing ration #6</t>
  </si>
  <si>
    <t>Minerals (w/lasalocid)</t>
  </si>
  <si>
    <t xml:space="preserve">  6 to 12 months</t>
  </si>
  <si>
    <t>Per cow</t>
  </si>
  <si>
    <t>(lactating)</t>
  </si>
  <si>
    <t>Milk production (lbs)</t>
  </si>
  <si>
    <t>Value of springer heifer, $/hd</t>
  </si>
  <si>
    <t>Percent sold as springer heifers</t>
  </si>
  <si>
    <t>Weight of yearling heifer</t>
  </si>
  <si>
    <t xml:space="preserve">  Percent sold as yearling heifers</t>
  </si>
  <si>
    <t xml:space="preserve">  Percent sold as cull heifers (non-breeder)</t>
  </si>
  <si>
    <t xml:space="preserve">  Birth to 6 months*</t>
  </si>
  <si>
    <t xml:space="preserve">  12 to 24 months**</t>
  </si>
  <si>
    <t>Total (birth to 24 months)</t>
  </si>
  <si>
    <t xml:space="preserve">   Yearling heifer shelter</t>
  </si>
  <si>
    <t xml:space="preserve">   Calf shelter</t>
  </si>
  <si>
    <t xml:space="preserve">   Feed storage</t>
  </si>
  <si>
    <t xml:space="preserve">   Corrals, concrete, etc.</t>
  </si>
  <si>
    <t>Buildings and equipment annual cost x total months</t>
  </si>
  <si>
    <t xml:space="preserve">   Hospital ward</t>
  </si>
  <si>
    <t>$/cow</t>
  </si>
  <si>
    <t>Dry cows - percent of lactating</t>
  </si>
  <si>
    <t>capacity</t>
  </si>
  <si>
    <t>in herd</t>
  </si>
  <si>
    <t xml:space="preserve">  Shades</t>
  </si>
  <si>
    <t>Sorghum silage</t>
  </si>
  <si>
    <t>Small grain silage</t>
  </si>
  <si>
    <t>Land</t>
  </si>
  <si>
    <t>acres</t>
  </si>
  <si>
    <t>Land/Bldgs</t>
  </si>
  <si>
    <t>Equip</t>
  </si>
  <si>
    <t>TOTAL LAND, BUILDINGS, AND IMPROVEMENTS</t>
  </si>
  <si>
    <t>cows</t>
  </si>
  <si>
    <t>Corn, ground</t>
  </si>
  <si>
    <t>bins</t>
  </si>
  <si>
    <t xml:space="preserve">  Milking parlor (Double 12 Swing)</t>
  </si>
  <si>
    <t>14,000 Pound Herd</t>
  </si>
  <si>
    <t>11,000 Pound Herd</t>
  </si>
  <si>
    <t>Pasture (intensive dairy)</t>
  </si>
  <si>
    <t>20,000 Pound Herd</t>
  </si>
  <si>
    <t>20,000 lbs. milk sold</t>
  </si>
  <si>
    <t>Quality premium</t>
  </si>
  <si>
    <t>Government payments</t>
  </si>
  <si>
    <t>Labor</t>
  </si>
  <si>
    <t>Utilities and water</t>
  </si>
  <si>
    <t>Fuel, oil, and all vehicle expense</t>
  </si>
  <si>
    <t>Milk hauling and promotion</t>
  </si>
  <si>
    <t>Building and equipment repair</t>
  </si>
  <si>
    <t>Breeding/genetic charges</t>
  </si>
  <si>
    <t xml:space="preserve">    Semen, A.I. services, supplies</t>
  </si>
  <si>
    <t>Professional fees (legal, accounting, etc.)</t>
  </si>
  <si>
    <t>Depreciation on bldgs. and equipment</t>
  </si>
  <si>
    <t>Interest on land, bldgs., and equipment</t>
  </si>
  <si>
    <t>11,000 lbs. milk sold</t>
  </si>
  <si>
    <t>14,000 lbs. milk sold</t>
  </si>
  <si>
    <t xml:space="preserve">  ___________</t>
  </si>
  <si>
    <t>Interest on heifer calf investment</t>
  </si>
  <si>
    <t>Feed (birth to 24 months of age)</t>
  </si>
  <si>
    <t>Breeding costs for AI services</t>
  </si>
  <si>
    <t>Transportation and marketing</t>
  </si>
  <si>
    <t>Utilities, fuel, oil</t>
  </si>
  <si>
    <t xml:space="preserve">Operating interest </t>
  </si>
  <si>
    <t>Depreciation on buildings and equipment</t>
  </si>
  <si>
    <t>Interest on buildings and equipment</t>
  </si>
  <si>
    <t>Insurance and taxes on buildings and equipment</t>
  </si>
  <si>
    <t>Total cost/day per heifer sold</t>
  </si>
  <si>
    <t>Total cost/pound of gain per heifer sold</t>
  </si>
  <si>
    <t>Interest on land, bldgs. and equipment</t>
  </si>
  <si>
    <t>Feed Requirements and Costs for Two Levels of Milk Production Per Cow Per Year</t>
  </si>
  <si>
    <t>* Value amount adjusted to account for death loss</t>
  </si>
  <si>
    <t>** Value amount adjusted to account for sale of yearling heifers</t>
  </si>
  <si>
    <t xml:space="preserve">    Capital replacement</t>
  </si>
  <si>
    <t>Replacement heifer</t>
  </si>
  <si>
    <t>Inputs used across all budgets</t>
  </si>
  <si>
    <t xml:space="preserve">Milk </t>
  </si>
  <si>
    <t xml:space="preserve">Cull cows </t>
  </si>
  <si>
    <t>Date prepared</t>
  </si>
  <si>
    <t xml:space="preserve">Labor </t>
  </si>
  <si>
    <t>Factors Used in Cost-Return Budget:</t>
  </si>
  <si>
    <t>Production:</t>
  </si>
  <si>
    <t>Other Variable Costs:</t>
  </si>
  <si>
    <t>Building and Equipment Investment:</t>
  </si>
  <si>
    <t>Total buildings and equipment investment</t>
  </si>
  <si>
    <t>Livestock --- insurance rate</t>
  </si>
  <si>
    <t>Other</t>
  </si>
  <si>
    <t xml:space="preserve">   Interest </t>
  </si>
  <si>
    <t xml:space="preserve">Interest rate </t>
  </si>
  <si>
    <t>Capital replacement on breeding herd (0 if replacements raised)</t>
  </si>
  <si>
    <t>Calf starter (18%) w/med</t>
  </si>
  <si>
    <t>Alfalfa baleage</t>
  </si>
  <si>
    <t>Pasture (dry matter)</t>
  </si>
  <si>
    <t>Per heifer sold</t>
  </si>
  <si>
    <t>Income</t>
  </si>
  <si>
    <t>Operating costs</t>
  </si>
  <si>
    <t>Total income</t>
  </si>
  <si>
    <t>Total operating costs</t>
  </si>
  <si>
    <t>Ownership costs</t>
  </si>
  <si>
    <t>Total ownership costs</t>
  </si>
  <si>
    <t>Total costs</t>
  </si>
  <si>
    <t xml:space="preserve">      Income over operating costs</t>
  </si>
  <si>
    <t xml:space="preserve">      Income over total costs</t>
  </si>
  <si>
    <t>Springer heifer breakeven price per head</t>
  </si>
  <si>
    <t xml:space="preserve"> </t>
  </si>
  <si>
    <t>Miscellaneous &amp; DMC Premiums</t>
  </si>
  <si>
    <t>Interest on breeding stock</t>
  </si>
  <si>
    <t>Insurance &amp; taxes: land, bldgs., equip., brd stock</t>
  </si>
  <si>
    <t>Operating interest</t>
  </si>
  <si>
    <t>Miscellaneous &amp; DMC premiums</t>
  </si>
  <si>
    <t>Calf sales: bulls and surplus heifers</t>
  </si>
  <si>
    <t>Working facility</t>
  </si>
  <si>
    <t xml:space="preserve">  Feed bins (4 ton bins)</t>
  </si>
  <si>
    <t>Missouri Dairy Budget Tool</t>
  </si>
  <si>
    <t>Developed by:</t>
  </si>
  <si>
    <t>University of Missouri Extension</t>
  </si>
  <si>
    <t>Farmers can develop custom enterprise budgets by using the Missouri Dairy Enterprise spreadsheet. This tool allows users to make an enterprise budget for a conventional dairy, rotational grazing dairy or heifer operation.</t>
  </si>
  <si>
    <t>This worksheet is for educational purposes only and the user assumes all risks associated with its use.</t>
  </si>
  <si>
    <t>Unit</t>
  </si>
  <si>
    <t>Dollars per ton</t>
  </si>
  <si>
    <t>Dollars per bushel</t>
  </si>
  <si>
    <t>Dollars per AUM</t>
  </si>
  <si>
    <t>Dollars per pound</t>
  </si>
  <si>
    <t>Dollars per cwt.</t>
  </si>
  <si>
    <t>Dollars per head</t>
  </si>
  <si>
    <t>pounds per head</t>
  </si>
  <si>
    <t>Percent</t>
  </si>
  <si>
    <t>Date</t>
  </si>
  <si>
    <t>Waste %</t>
  </si>
  <si>
    <t xml:space="preserve">Conventional dairy feed </t>
  </si>
  <si>
    <t xml:space="preserve">Rotational grazing dairy feed </t>
  </si>
  <si>
    <t>Feed requirements for raising a dairy replacement heifer (birth to 6 months)</t>
  </si>
  <si>
    <t>Feed requirements for raising replacement heifer (6 to 12 months)</t>
  </si>
  <si>
    <t>Feed cost per period</t>
  </si>
  <si>
    <t>Total feed costs</t>
  </si>
  <si>
    <t>Average total feed costs</t>
  </si>
  <si>
    <t>Feed requirements for raising replacement heifer (12 to 24 months)</t>
  </si>
  <si>
    <t>Total feed costs for replacement heifer</t>
  </si>
  <si>
    <t>Replacement Dairy Heifers</t>
  </si>
  <si>
    <t>Your farm</t>
  </si>
  <si>
    <t>INCOME OVER OPERATING COSTS</t>
  </si>
  <si>
    <t>INCOME OVER TOTAL COSTS</t>
  </si>
  <si>
    <t>Purchase price of calf</t>
  </si>
  <si>
    <t>Pounds</t>
  </si>
  <si>
    <t xml:space="preserve">  Price of cull (non-breeder) heifers</t>
  </si>
  <si>
    <t xml:space="preserve">  Price of yearling heifers</t>
  </si>
  <si>
    <t>Dollars per hour</t>
  </si>
  <si>
    <t>Hours</t>
  </si>
  <si>
    <t>Dollars per heifer</t>
  </si>
  <si>
    <t>Utilities, fuel, and oil</t>
  </si>
  <si>
    <t>Transportation and marketing costs</t>
  </si>
  <si>
    <t xml:space="preserve">Breeding </t>
  </si>
  <si>
    <t>Insemination</t>
  </si>
  <si>
    <t>Dollars per insemination</t>
  </si>
  <si>
    <t>Months to charge interest</t>
  </si>
  <si>
    <t>Years</t>
  </si>
  <si>
    <t>Conventional Dairy (150-cow herd, replacements raised)</t>
  </si>
  <si>
    <t>Daily milk production</t>
  </si>
  <si>
    <t>Milking days per year</t>
  </si>
  <si>
    <t xml:space="preserve">Total production/cow/year </t>
  </si>
  <si>
    <t>Pounds sold</t>
  </si>
  <si>
    <t xml:space="preserve">Total production/year for dairy </t>
  </si>
  <si>
    <t xml:space="preserve">Monthly production for dairy </t>
  </si>
  <si>
    <t>Base price for milk</t>
  </si>
  <si>
    <t>Government DMC payment</t>
  </si>
  <si>
    <t>Dollars per cow</t>
  </si>
  <si>
    <t>Cows/worker</t>
  </si>
  <si>
    <t>Utilities</t>
  </si>
  <si>
    <t>Water</t>
  </si>
  <si>
    <t>Gals/cow/day</t>
  </si>
  <si>
    <t>Fuel, oil, and auto expense</t>
  </si>
  <si>
    <t>Milk hauling costs</t>
  </si>
  <si>
    <t>Promotion</t>
  </si>
  <si>
    <t>Veterinary, drugs and supplies</t>
  </si>
  <si>
    <t>Interest on breeding herd</t>
  </si>
  <si>
    <t>Insurance on breeding herd</t>
  </si>
  <si>
    <t>Capital replacement on breeding herd</t>
  </si>
  <si>
    <t>Semen, AI services and supplies</t>
  </si>
  <si>
    <t>$ per service</t>
  </si>
  <si>
    <t>Number of services</t>
  </si>
  <si>
    <t>salary/worker</t>
  </si>
  <si>
    <t xml:space="preserve">   Cull cows sold</t>
  </si>
  <si>
    <t xml:space="preserve">   Death loss and condemned cows</t>
  </si>
  <si>
    <t xml:space="preserve">   Price</t>
  </si>
  <si>
    <t>Pounds per head</t>
  </si>
  <si>
    <t>Value per head</t>
  </si>
  <si>
    <t xml:space="preserve">   Weight</t>
  </si>
  <si>
    <t>Heifer replacement rate</t>
  </si>
  <si>
    <t>Cows</t>
  </si>
  <si>
    <t>Breeding Herd:</t>
  </si>
  <si>
    <t>Land, Building and Equipment Investment (</t>
  </si>
  <si>
    <t>Land and Buildings -- Improvements:</t>
  </si>
  <si>
    <t>Tax rate</t>
  </si>
  <si>
    <t>Other Buildings and Improvements:</t>
  </si>
  <si>
    <t>Rotational Grazing Dairy (150-cow herd, replacements raised)</t>
  </si>
  <si>
    <t>per cwt.</t>
  </si>
  <si>
    <t xml:space="preserve">Production sold/year </t>
  </si>
  <si>
    <t>Total production/cow/year</t>
  </si>
  <si>
    <t>Total production/year for dairy</t>
  </si>
  <si>
    <t>Monthly production for dairy</t>
  </si>
  <si>
    <t>Production sold/year</t>
  </si>
  <si>
    <t>$/1,000 gallon</t>
  </si>
  <si>
    <t>Quantity</t>
  </si>
  <si>
    <t>Dollars per unit</t>
  </si>
  <si>
    <t>25,000 lbs. milk sold</t>
  </si>
  <si>
    <t>25,000 Pound Herd</t>
  </si>
  <si>
    <t>Alfalfa baleage (as fed, 50% moisture)</t>
  </si>
  <si>
    <t>% of calves sold</t>
  </si>
  <si>
    <t>Average bull calf sale value</t>
  </si>
  <si>
    <t>Bull calves (dairy sire)</t>
  </si>
  <si>
    <t>Bull calves (beef sire)</t>
  </si>
  <si>
    <t>Heifer calves (dairy sire)</t>
  </si>
  <si>
    <t>Heifer calves (beef sire)</t>
  </si>
  <si>
    <t>% of bull calves</t>
  </si>
  <si>
    <t>% of dairy calves</t>
  </si>
  <si>
    <t>Average heifer calf value</t>
  </si>
  <si>
    <t>Ryan Milhollin, Adauto Rocha Jr., Reagan Bluel, Chloe Collins, Scott Poock</t>
  </si>
  <si>
    <t>Updated: 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</si>
</sst>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#,##0;[Red]\-#,##0"/>
    <numFmt numFmtId="166" formatCode="[$$-409]#,##0.00;[Red]\-[$$-409]#,##0.00"/>
    <numFmt numFmtId="167" formatCode="0.00%;[Red]\-0.00%"/>
    <numFmt numFmtId="168" formatCode="[$$-409]#,##0;[Red]\-[$$-409]#,##0"/>
    <numFmt numFmtId="169" formatCode="0.0%"/>
    <numFmt numFmtId="170" formatCode="[$$-409]#,##0.00"/>
    <numFmt numFmtId="171" formatCode="0.0%;[Red]\-0.0%"/>
    <numFmt numFmtId="172" formatCode="[$$-409]#,##0"/>
    <numFmt numFmtId="173" formatCode=";;;"/>
    <numFmt numFmtId="174" formatCode="0.0"/>
    <numFmt numFmtId="175" formatCode="&quot;$&quot;#,##0"/>
    <numFmt numFmtId="176" formatCode="&quot;$&quot;#,##0.00"/>
    <numFmt numFmtId="177" formatCode="[$$-409]#,##0.00;[Red][$$-409]#,##0.00"/>
    <numFmt numFmtId="178" formatCode="#,##0.0"/>
    <numFmt numFmtId="179" formatCode="_(&quot;$&quot;* #,##0_);_(&quot;$&quot;* \(#,##0\);_(&quot;$&quot;* &quot;-&quot;??_);_(@_)"/>
    <numFmt numFmtId="180" formatCode="#,##0.0000"/>
    <numFmt numFmtId="181" formatCode="#,##0.00;[Red]#,##0.00"/>
  </numFmts>
  <fonts count="68" x14ac:knownFonts="1">
    <font>
      <sz val="12"/>
      <name val="Arial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u/>
      <sz val="11.5"/>
      <name val="Arial"/>
      <family val="2"/>
    </font>
    <font>
      <b/>
      <sz val="11.5"/>
      <name val="Arial"/>
      <family val="2"/>
    </font>
    <font>
      <sz val="10"/>
      <color indexed="8"/>
      <name val="Arial"/>
      <family val="2"/>
    </font>
    <font>
      <b/>
      <sz val="11"/>
      <color rgb="FF3F3F3F"/>
      <name val="Segoe UI"/>
      <family val="2"/>
      <scheme val="minor"/>
    </font>
    <font>
      <sz val="11"/>
      <color theme="1"/>
      <name val="Segoe UI Black"/>
      <family val="2"/>
    </font>
    <font>
      <b/>
      <sz val="14"/>
      <color rgb="FFF1B82D"/>
      <name val="Segoe UI Black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0"/>
      <color rgb="FF3F3F3F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sz val="12"/>
      <color indexed="16"/>
      <name val="Segoe UI"/>
      <family val="2"/>
    </font>
    <font>
      <b/>
      <sz val="12"/>
      <color indexed="10"/>
      <name val="Segoe UI"/>
      <family val="2"/>
    </font>
    <font>
      <sz val="12"/>
      <color indexed="8"/>
      <name val="Segoe UI"/>
      <family val="2"/>
    </font>
    <font>
      <sz val="12"/>
      <color indexed="12"/>
      <name val="Segoe UI"/>
      <family val="2"/>
    </font>
    <font>
      <sz val="12"/>
      <color indexed="14"/>
      <name val="Segoe UI"/>
      <family val="2"/>
    </font>
    <font>
      <b/>
      <u/>
      <sz val="12"/>
      <name val="Segoe UI"/>
      <family val="2"/>
    </font>
    <font>
      <sz val="10"/>
      <name val="Segoe UI"/>
      <family val="2"/>
    </font>
    <font>
      <sz val="12"/>
      <name val="Segoe UI"/>
      <family val="2"/>
      <scheme val="minor"/>
    </font>
    <font>
      <b/>
      <sz val="12"/>
      <color theme="1"/>
      <name val="Segoe UI"/>
      <family val="2"/>
      <scheme val="minor"/>
    </font>
    <font>
      <b/>
      <sz val="12"/>
      <name val="Segoe UI"/>
      <family val="2"/>
      <scheme val="minor"/>
    </font>
    <font>
      <sz val="12"/>
      <color indexed="12"/>
      <name val="Segoe UI"/>
      <family val="2"/>
      <scheme val="minor"/>
    </font>
    <font>
      <u/>
      <sz val="12"/>
      <name val="Segoe UI"/>
      <family val="2"/>
      <scheme val="minor"/>
    </font>
    <font>
      <sz val="12"/>
      <color indexed="9"/>
      <name val="Segoe UI"/>
      <family val="2"/>
      <scheme val="minor"/>
    </font>
    <font>
      <sz val="12"/>
      <color indexed="8"/>
      <name val="Segoe UI"/>
      <family val="2"/>
      <scheme val="minor"/>
    </font>
    <font>
      <sz val="11"/>
      <name val="Segoe UI"/>
      <family val="2"/>
    </font>
    <font>
      <b/>
      <sz val="11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sz val="12"/>
      <color theme="0"/>
      <name val="Segoe UI"/>
      <family val="2"/>
    </font>
    <font>
      <b/>
      <sz val="10"/>
      <name val="Segoe UI"/>
      <family val="2"/>
      <scheme val="minor"/>
    </font>
    <font>
      <sz val="10"/>
      <name val="Segoe UI"/>
      <family val="2"/>
      <scheme val="minor"/>
    </font>
    <font>
      <sz val="9"/>
      <name val="Segoe UI"/>
      <family val="2"/>
      <scheme val="minor"/>
    </font>
    <font>
      <sz val="11"/>
      <name val="Segoe UI"/>
      <family val="2"/>
      <scheme val="minor"/>
    </font>
    <font>
      <b/>
      <sz val="14"/>
      <color rgb="FFF1B82D"/>
      <name val="Segoe UI Black"/>
      <family val="2"/>
      <scheme val="major"/>
    </font>
    <font>
      <sz val="10"/>
      <color indexed="8"/>
      <name val="Segoe UI"/>
      <family val="2"/>
      <scheme val="minor"/>
    </font>
    <font>
      <i/>
      <u/>
      <sz val="11"/>
      <color indexed="8"/>
      <name val="Segoe UI"/>
      <family val="2"/>
      <scheme val="minor"/>
    </font>
    <font>
      <sz val="11"/>
      <color indexed="8"/>
      <name val="Segoe UI"/>
      <family val="2"/>
      <scheme val="minor"/>
    </font>
    <font>
      <sz val="11"/>
      <color indexed="12"/>
      <name val="Segoe UI"/>
      <family val="2"/>
      <scheme val="minor"/>
    </font>
    <font>
      <u/>
      <sz val="11"/>
      <name val="Segoe UI"/>
      <family val="2"/>
      <scheme val="minor"/>
    </font>
    <font>
      <b/>
      <sz val="11"/>
      <name val="Segoe UI"/>
      <family val="2"/>
      <scheme val="minor"/>
    </font>
    <font>
      <sz val="9"/>
      <color indexed="8"/>
      <name val="Segoe UI"/>
      <family val="2"/>
      <scheme val="minor"/>
    </font>
    <font>
      <sz val="8"/>
      <name val="Segoe UI"/>
      <family val="2"/>
      <scheme val="minor"/>
    </font>
    <font>
      <i/>
      <sz val="11"/>
      <name val="Segoe UI"/>
      <family val="2"/>
      <scheme val="minor"/>
    </font>
    <font>
      <b/>
      <sz val="11"/>
      <color indexed="8"/>
      <name val="Segoe UI"/>
      <family val="2"/>
      <scheme val="minor"/>
    </font>
    <font>
      <sz val="11"/>
      <color indexed="16"/>
      <name val="Segoe UI"/>
      <family val="2"/>
      <scheme val="minor"/>
    </font>
    <font>
      <sz val="11"/>
      <color indexed="17"/>
      <name val="Segoe UI"/>
      <family val="2"/>
      <scheme val="minor"/>
    </font>
    <font>
      <u/>
      <sz val="11"/>
      <color indexed="8"/>
      <name val="Segoe UI"/>
      <family val="2"/>
      <scheme val="minor"/>
    </font>
    <font>
      <u/>
      <sz val="11"/>
      <color indexed="12"/>
      <name val="Segoe UI"/>
      <family val="2"/>
      <scheme val="minor"/>
    </font>
    <font>
      <b/>
      <sz val="11"/>
      <color indexed="10"/>
      <name val="Segoe UI"/>
      <family val="2"/>
      <scheme val="minor"/>
    </font>
    <font>
      <b/>
      <sz val="11"/>
      <color indexed="12"/>
      <name val="Segoe UI"/>
      <family val="2"/>
      <scheme val="minor"/>
    </font>
    <font>
      <sz val="11"/>
      <color theme="0"/>
      <name val="Segoe UI"/>
      <family val="2"/>
      <scheme val="minor"/>
    </font>
    <font>
      <b/>
      <sz val="10"/>
      <color indexed="8"/>
      <name val="Segoe UI"/>
      <family val="2"/>
      <scheme val="minor"/>
    </font>
    <font>
      <i/>
      <sz val="11"/>
      <color indexed="8"/>
      <name val="Segoe U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FF0000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0" fontId="14" fillId="2" borderId="14" applyNumberFormat="0" applyAlignment="0" applyProtection="0"/>
    <xf numFmtId="0" fontId="3" fillId="0" borderId="0"/>
    <xf numFmtId="0" fontId="2" fillId="0" borderId="0"/>
    <xf numFmtId="9" fontId="65" fillId="0" borderId="0" applyFont="0" applyFill="0" applyBorder="0" applyAlignment="0" applyProtection="0"/>
    <xf numFmtId="0" fontId="66" fillId="0" borderId="0" applyNumberFormat="0" applyFill="0" applyBorder="0" applyAlignment="0" applyProtection="0"/>
  </cellStyleXfs>
  <cellXfs count="449">
    <xf numFmtId="0" fontId="0" fillId="0" borderId="0" xfId="0"/>
    <xf numFmtId="0" fontId="5" fillId="0" borderId="0" xfId="0" applyFont="1"/>
    <xf numFmtId="44" fontId="5" fillId="0" borderId="0" xfId="0" applyNumberFormat="1" applyFont="1"/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5"/>
    </xf>
    <xf numFmtId="0" fontId="10" fillId="0" borderId="0" xfId="0" applyFont="1"/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8" fontId="12" fillId="0" borderId="0" xfId="0" applyNumberFormat="1" applyFont="1" applyAlignment="1">
      <alignment horizontal="left" vertical="center" indent="5"/>
    </xf>
    <xf numFmtId="0" fontId="12" fillId="0" borderId="0" xfId="0" applyFont="1" applyAlignment="1">
      <alignment horizontal="left" vertical="center"/>
    </xf>
    <xf numFmtId="44" fontId="4" fillId="0" borderId="0" xfId="0" applyNumberFormat="1" applyFont="1"/>
    <xf numFmtId="43" fontId="4" fillId="0" borderId="0" xfId="0" applyNumberFormat="1" applyFont="1"/>
    <xf numFmtId="44" fontId="4" fillId="0" borderId="0" xfId="1" applyFont="1" applyFill="1"/>
    <xf numFmtId="0" fontId="13" fillId="0" borderId="0" xfId="0" applyFont="1"/>
    <xf numFmtId="15" fontId="5" fillId="0" borderId="0" xfId="0" quotePrefix="1" applyNumberFormat="1" applyFont="1"/>
    <xf numFmtId="0" fontId="15" fillId="0" borderId="0" xfId="3" applyFont="1"/>
    <xf numFmtId="0" fontId="17" fillId="0" borderId="0" xfId="3" applyFont="1"/>
    <xf numFmtId="0" fontId="18" fillId="0" borderId="0" xfId="3" applyFont="1"/>
    <xf numFmtId="0" fontId="18" fillId="0" borderId="0" xfId="3" applyFont="1" applyAlignment="1">
      <alignment horizontal="left" indent="4"/>
    </xf>
    <xf numFmtId="0" fontId="17" fillId="0" borderId="0" xfId="3" applyFont="1" applyAlignment="1">
      <alignment wrapText="1"/>
    </xf>
    <xf numFmtId="0" fontId="19" fillId="2" borderId="14" xfId="2" applyFont="1"/>
    <xf numFmtId="0" fontId="16" fillId="3" borderId="17" xfId="4" applyFont="1" applyFill="1" applyBorder="1" applyAlignment="1">
      <alignment horizontal="left"/>
    </xf>
    <xf numFmtId="0" fontId="16" fillId="3" borderId="13" xfId="4" applyFont="1" applyFill="1" applyBorder="1" applyAlignment="1">
      <alignment horizontal="left"/>
    </xf>
    <xf numFmtId="2" fontId="20" fillId="0" borderId="0" xfId="0" applyNumberFormat="1" applyFont="1"/>
    <xf numFmtId="169" fontId="20" fillId="0" borderId="0" xfId="0" applyNumberFormat="1" applyFont="1" applyAlignment="1">
      <alignment horizontal="right"/>
    </xf>
    <xf numFmtId="0" fontId="20" fillId="0" borderId="0" xfId="0" applyFont="1"/>
    <xf numFmtId="0" fontId="21" fillId="0" borderId="0" xfId="0" applyFont="1"/>
    <xf numFmtId="170" fontId="20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64" fontId="25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4" fontId="20" fillId="4" borderId="0" xfId="0" applyNumberFormat="1" applyFont="1" applyFill="1" applyProtection="1">
      <protection locked="0"/>
    </xf>
    <xf numFmtId="0" fontId="28" fillId="0" borderId="0" xfId="0" applyFont="1"/>
    <xf numFmtId="180" fontId="20" fillId="0" borderId="0" xfId="0" applyNumberFormat="1" applyFont="1"/>
    <xf numFmtId="4" fontId="20" fillId="0" borderId="0" xfId="0" applyNumberFormat="1" applyFont="1"/>
    <xf numFmtId="0" fontId="20" fillId="4" borderId="0" xfId="0" applyFont="1" applyFill="1" applyProtection="1">
      <protection locked="0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9" fillId="0" borderId="0" xfId="0" applyFont="1" applyAlignment="1">
      <alignment horizontal="right"/>
    </xf>
    <xf numFmtId="174" fontId="29" fillId="0" borderId="0" xfId="0" applyNumberFormat="1" applyFont="1"/>
    <xf numFmtId="0" fontId="29" fillId="0" borderId="0" xfId="0" applyFont="1" applyAlignment="1">
      <alignment horizontal="centerContinuous"/>
    </xf>
    <xf numFmtId="0" fontId="29" fillId="0" borderId="3" xfId="0" applyFont="1" applyBorder="1"/>
    <xf numFmtId="3" fontId="29" fillId="0" borderId="0" xfId="0" applyNumberFormat="1" applyFont="1" applyAlignment="1">
      <alignment horizontal="centerContinuous"/>
    </xf>
    <xf numFmtId="0" fontId="29" fillId="0" borderId="4" xfId="0" applyFont="1" applyBorder="1"/>
    <xf numFmtId="3" fontId="29" fillId="0" borderId="4" xfId="0" applyNumberFormat="1" applyFont="1" applyBorder="1"/>
    <xf numFmtId="0" fontId="29" fillId="0" borderId="4" xfId="0" applyFont="1" applyBorder="1" applyAlignment="1">
      <alignment horizontal="right"/>
    </xf>
    <xf numFmtId="0" fontId="29" fillId="0" borderId="5" xfId="0" applyFont="1" applyBorder="1"/>
    <xf numFmtId="2" fontId="29" fillId="0" borderId="6" xfId="0" applyNumberFormat="1" applyFont="1" applyBorder="1" applyAlignment="1">
      <alignment horizontal="right"/>
    </xf>
    <xf numFmtId="3" fontId="29" fillId="0" borderId="7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right"/>
    </xf>
    <xf numFmtId="3" fontId="29" fillId="0" borderId="7" xfId="0" applyNumberFormat="1" applyFont="1" applyBorder="1"/>
    <xf numFmtId="0" fontId="33" fillId="0" borderId="0" xfId="0" applyFont="1"/>
    <xf numFmtId="0" fontId="29" fillId="0" borderId="8" xfId="0" applyFont="1" applyBorder="1"/>
    <xf numFmtId="2" fontId="29" fillId="0" borderId="0" xfId="0" applyNumberFormat="1" applyFont="1" applyAlignment="1">
      <alignment horizontal="right"/>
    </xf>
    <xf numFmtId="3" fontId="29" fillId="0" borderId="9" xfId="0" applyNumberFormat="1" applyFont="1" applyBorder="1" applyAlignment="1">
      <alignment horizontal="right"/>
    </xf>
    <xf numFmtId="3" fontId="29" fillId="0" borderId="0" xfId="0" applyNumberFormat="1" applyFont="1" applyAlignment="1">
      <alignment horizontal="right"/>
    </xf>
    <xf numFmtId="3" fontId="29" fillId="0" borderId="9" xfId="0" applyNumberFormat="1" applyFont="1" applyBorder="1"/>
    <xf numFmtId="3" fontId="29" fillId="0" borderId="0" xfId="0" applyNumberFormat="1" applyFont="1" applyProtection="1">
      <protection locked="0"/>
    </xf>
    <xf numFmtId="170" fontId="29" fillId="0" borderId="0" xfId="0" quotePrefix="1" applyNumberFormat="1" applyFont="1"/>
    <xf numFmtId="4" fontId="29" fillId="0" borderId="0" xfId="0" applyNumberFormat="1" applyFont="1" applyProtection="1">
      <protection locked="0"/>
    </xf>
    <xf numFmtId="170" fontId="29" fillId="0" borderId="0" xfId="0" applyNumberFormat="1" applyFont="1"/>
    <xf numFmtId="0" fontId="34" fillId="0" borderId="0" xfId="0" applyFont="1" applyProtection="1">
      <protection hidden="1"/>
    </xf>
    <xf numFmtId="4" fontId="29" fillId="0" borderId="0" xfId="0" quotePrefix="1" applyNumberFormat="1" applyFont="1"/>
    <xf numFmtId="4" fontId="29" fillId="0" borderId="0" xfId="0" applyNumberFormat="1" applyFont="1"/>
    <xf numFmtId="0" fontId="29" fillId="0" borderId="10" xfId="0" applyFont="1" applyBorder="1"/>
    <xf numFmtId="2" fontId="29" fillId="0" borderId="4" xfId="0" applyNumberFormat="1" applyFont="1" applyBorder="1" applyAlignment="1">
      <alignment horizontal="right"/>
    </xf>
    <xf numFmtId="3" fontId="29" fillId="0" borderId="11" xfId="0" applyNumberFormat="1" applyFont="1" applyBorder="1" applyAlignment="1">
      <alignment horizontal="right"/>
    </xf>
    <xf numFmtId="3" fontId="29" fillId="0" borderId="4" xfId="0" applyNumberFormat="1" applyFont="1" applyBorder="1" applyAlignment="1">
      <alignment horizontal="right"/>
    </xf>
    <xf numFmtId="3" fontId="29" fillId="0" borderId="11" xfId="0" applyNumberFormat="1" applyFont="1" applyBorder="1"/>
    <xf numFmtId="3" fontId="29" fillId="0" borderId="0" xfId="0" applyNumberFormat="1" applyFont="1"/>
    <xf numFmtId="2" fontId="29" fillId="0" borderId="0" xfId="0" applyNumberFormat="1" applyFont="1"/>
    <xf numFmtId="0" fontId="29" fillId="0" borderId="1" xfId="0" applyFont="1" applyBorder="1"/>
    <xf numFmtId="170" fontId="29" fillId="0" borderId="1" xfId="0" applyNumberFormat="1" applyFont="1" applyBorder="1"/>
    <xf numFmtId="173" fontId="29" fillId="0" borderId="0" xfId="0" applyNumberFormat="1" applyFont="1" applyProtection="1">
      <protection hidden="1"/>
    </xf>
    <xf numFmtId="0" fontId="31" fillId="0" borderId="4" xfId="0" applyFont="1" applyBorder="1"/>
    <xf numFmtId="1" fontId="29" fillId="0" borderId="7" xfId="0" applyNumberFormat="1" applyFont="1" applyBorder="1" applyAlignment="1">
      <alignment horizontal="right"/>
    </xf>
    <xf numFmtId="1" fontId="29" fillId="0" borderId="9" xfId="0" applyNumberFormat="1" applyFont="1" applyBorder="1" applyAlignment="1">
      <alignment horizontal="right"/>
    </xf>
    <xf numFmtId="1" fontId="29" fillId="0" borderId="11" xfId="0" applyNumberFormat="1" applyFont="1" applyBorder="1" applyAlignment="1">
      <alignment horizontal="right"/>
    </xf>
    <xf numFmtId="174" fontId="29" fillId="0" borderId="0" xfId="0" applyNumberFormat="1" applyFont="1" applyAlignment="1">
      <alignment horizontal="right"/>
    </xf>
    <xf numFmtId="175" fontId="29" fillId="0" borderId="0" xfId="0" applyNumberFormat="1" applyFont="1" applyAlignment="1">
      <alignment horizontal="right"/>
    </xf>
    <xf numFmtId="3" fontId="29" fillId="0" borderId="6" xfId="0" applyNumberFormat="1" applyFont="1" applyBorder="1"/>
    <xf numFmtId="2" fontId="29" fillId="0" borderId="7" xfId="0" applyNumberFormat="1" applyFont="1" applyBorder="1"/>
    <xf numFmtId="2" fontId="29" fillId="0" borderId="9" xfId="0" applyNumberFormat="1" applyFont="1" applyBorder="1"/>
    <xf numFmtId="2" fontId="29" fillId="0" borderId="11" xfId="0" applyNumberFormat="1" applyFont="1" applyBorder="1"/>
    <xf numFmtId="2" fontId="29" fillId="0" borderId="4" xfId="0" applyNumberFormat="1" applyFont="1" applyBorder="1"/>
    <xf numFmtId="0" fontId="29" fillId="0" borderId="0" xfId="0" applyFont="1" applyAlignment="1">
      <alignment horizontal="left"/>
    </xf>
    <xf numFmtId="0" fontId="32" fillId="0" borderId="0" xfId="0" applyFont="1"/>
    <xf numFmtId="176" fontId="29" fillId="0" borderId="0" xfId="0" quotePrefix="1" applyNumberFormat="1" applyFont="1"/>
    <xf numFmtId="176" fontId="32" fillId="0" borderId="0" xfId="0" applyNumberFormat="1" applyFont="1"/>
    <xf numFmtId="176" fontId="29" fillId="0" borderId="0" xfId="0" applyNumberFormat="1" applyFont="1" applyAlignment="1">
      <alignment horizontal="right"/>
    </xf>
    <xf numFmtId="0" fontId="35" fillId="0" borderId="0" xfId="0" applyFont="1"/>
    <xf numFmtId="174" fontId="29" fillId="4" borderId="6" xfId="0" applyNumberFormat="1" applyFont="1" applyFill="1" applyBorder="1" applyAlignment="1" applyProtection="1">
      <alignment horizontal="right"/>
      <protection locked="0"/>
    </xf>
    <xf numFmtId="9" fontId="29" fillId="4" borderId="6" xfId="0" applyNumberFormat="1" applyFont="1" applyFill="1" applyBorder="1" applyAlignment="1" applyProtection="1">
      <alignment horizontal="right"/>
      <protection locked="0"/>
    </xf>
    <xf numFmtId="9" fontId="29" fillId="4" borderId="0" xfId="0" applyNumberFormat="1" applyFont="1" applyFill="1" applyAlignment="1" applyProtection="1">
      <alignment horizontal="right"/>
      <protection locked="0"/>
    </xf>
    <xf numFmtId="174" fontId="29" fillId="4" borderId="4" xfId="0" applyNumberFormat="1" applyFont="1" applyFill="1" applyBorder="1" applyAlignment="1" applyProtection="1">
      <alignment horizontal="right"/>
      <protection locked="0"/>
    </xf>
    <xf numFmtId="9" fontId="29" fillId="4" borderId="4" xfId="0" applyNumberFormat="1" applyFont="1" applyFill="1" applyBorder="1" applyAlignment="1" applyProtection="1">
      <alignment horizontal="right"/>
      <protection locked="0"/>
    </xf>
    <xf numFmtId="0" fontId="29" fillId="4" borderId="0" xfId="0" applyFont="1" applyFill="1" applyAlignment="1" applyProtection="1">
      <alignment horizontal="right"/>
      <protection locked="0"/>
    </xf>
    <xf numFmtId="0" fontId="29" fillId="4" borderId="6" xfId="0" applyFont="1" applyFill="1" applyBorder="1" applyAlignment="1" applyProtection="1">
      <alignment horizontal="right"/>
      <protection locked="0"/>
    </xf>
    <xf numFmtId="0" fontId="29" fillId="4" borderId="4" xfId="0" applyFont="1" applyFill="1" applyBorder="1" applyAlignment="1" applyProtection="1">
      <alignment horizontal="right"/>
      <protection locked="0"/>
    </xf>
    <xf numFmtId="2" fontId="29" fillId="4" borderId="5" xfId="0" applyNumberFormat="1" applyFont="1" applyFill="1" applyBorder="1" applyProtection="1">
      <protection locked="0"/>
    </xf>
    <xf numFmtId="2" fontId="29" fillId="4" borderId="8" xfId="0" applyNumberFormat="1" applyFont="1" applyFill="1" applyBorder="1" applyProtection="1">
      <protection locked="0"/>
    </xf>
    <xf numFmtId="2" fontId="29" fillId="4" borderId="10" xfId="0" applyNumberFormat="1" applyFont="1" applyFill="1" applyBorder="1" applyProtection="1">
      <protection locked="0"/>
    </xf>
    <xf numFmtId="4" fontId="29" fillId="0" borderId="6" xfId="0" applyNumberFormat="1" applyFont="1" applyBorder="1"/>
    <xf numFmtId="4" fontId="29" fillId="0" borderId="4" xfId="0" applyNumberFormat="1" applyFont="1" applyBorder="1"/>
    <xf numFmtId="4" fontId="29" fillId="0" borderId="0" xfId="0" applyNumberFormat="1" applyFont="1" applyAlignment="1">
      <alignment horizontal="right"/>
    </xf>
    <xf numFmtId="0" fontId="29" fillId="4" borderId="0" xfId="0" applyFont="1" applyFill="1" applyProtection="1">
      <protection locked="0"/>
    </xf>
    <xf numFmtId="0" fontId="29" fillId="0" borderId="1" xfId="0" applyFont="1" applyBorder="1" applyAlignment="1">
      <alignment horizontal="right"/>
    </xf>
    <xf numFmtId="4" fontId="29" fillId="0" borderId="1" xfId="0" applyNumberFormat="1" applyFont="1" applyBorder="1"/>
    <xf numFmtId="0" fontId="16" fillId="3" borderId="15" xfId="3" applyFont="1" applyFill="1" applyBorder="1" applyAlignment="1">
      <alignment horizontal="left"/>
    </xf>
    <xf numFmtId="0" fontId="16" fillId="3" borderId="16" xfId="3" applyFont="1" applyFill="1" applyBorder="1" applyAlignment="1">
      <alignment horizontal="left"/>
    </xf>
    <xf numFmtId="0" fontId="29" fillId="3" borderId="16" xfId="0" applyFont="1" applyFill="1" applyBorder="1"/>
    <xf numFmtId="0" fontId="29" fillId="3" borderId="16" xfId="0" applyFont="1" applyFill="1" applyBorder="1" applyAlignment="1">
      <alignment horizontal="right"/>
    </xf>
    <xf numFmtId="0" fontId="29" fillId="3" borderId="18" xfId="0" applyFont="1" applyFill="1" applyBorder="1"/>
    <xf numFmtId="174" fontId="29" fillId="3" borderId="16" xfId="0" applyNumberFormat="1" applyFont="1" applyFill="1" applyBorder="1"/>
    <xf numFmtId="2" fontId="29" fillId="3" borderId="18" xfId="0" applyNumberFormat="1" applyFont="1" applyFill="1" applyBorder="1"/>
    <xf numFmtId="0" fontId="33" fillId="0" borderId="0" xfId="0" applyFont="1" applyAlignment="1">
      <alignment horizontal="right"/>
    </xf>
    <xf numFmtId="0" fontId="36" fillId="0" borderId="0" xfId="0" applyFont="1"/>
    <xf numFmtId="0" fontId="36" fillId="0" borderId="3" xfId="0" applyFont="1" applyBorder="1"/>
    <xf numFmtId="173" fontId="36" fillId="0" borderId="0" xfId="0" applyNumberFormat="1" applyFont="1" applyProtection="1">
      <protection hidden="1"/>
    </xf>
    <xf numFmtId="0" fontId="40" fillId="0" borderId="0" xfId="0" applyFont="1"/>
    <xf numFmtId="0" fontId="20" fillId="0" borderId="12" xfId="0" applyFont="1" applyBorder="1"/>
    <xf numFmtId="170" fontId="20" fillId="0" borderId="12" xfId="0" applyNumberFormat="1" applyFont="1" applyBorder="1"/>
    <xf numFmtId="0" fontId="20" fillId="0" borderId="1" xfId="0" applyFont="1" applyBorder="1"/>
    <xf numFmtId="170" fontId="20" fillId="0" borderId="1" xfId="0" applyNumberFormat="1" applyFont="1" applyBorder="1"/>
    <xf numFmtId="0" fontId="38" fillId="0" borderId="0" xfId="0" applyFont="1"/>
    <xf numFmtId="0" fontId="39" fillId="0" borderId="0" xfId="0" applyFont="1"/>
    <xf numFmtId="0" fontId="36" fillId="3" borderId="0" xfId="0" applyFont="1" applyFill="1" applyAlignment="1">
      <alignment horizontal="left"/>
    </xf>
    <xf numFmtId="0" fontId="20" fillId="0" borderId="3" xfId="0" applyFont="1" applyBorder="1"/>
    <xf numFmtId="0" fontId="21" fillId="0" borderId="3" xfId="0" applyFont="1" applyBorder="1" applyAlignment="1">
      <alignment horizontal="centerContinuous"/>
    </xf>
    <xf numFmtId="0" fontId="21" fillId="0" borderId="0" xfId="0" applyFont="1" applyAlignment="1">
      <alignment horizontal="centerContinuous"/>
    </xf>
    <xf numFmtId="3" fontId="20" fillId="0" borderId="0" xfId="0" applyNumberFormat="1" applyFont="1" applyProtection="1">
      <protection locked="0"/>
    </xf>
    <xf numFmtId="170" fontId="20" fillId="0" borderId="0" xfId="0" quotePrefix="1" applyNumberFormat="1" applyFont="1"/>
    <xf numFmtId="4" fontId="20" fillId="0" borderId="0" xfId="0" quotePrefix="1" applyNumberFormat="1" applyFont="1"/>
    <xf numFmtId="170" fontId="20" fillId="0" borderId="3" xfId="0" applyNumberFormat="1" applyFont="1" applyBorder="1"/>
    <xf numFmtId="3" fontId="20" fillId="4" borderId="0" xfId="0" applyNumberFormat="1" applyFont="1" applyFill="1" applyProtection="1">
      <protection locked="0"/>
    </xf>
    <xf numFmtId="178" fontId="20" fillId="4" borderId="0" xfId="0" applyNumberFormat="1" applyFont="1" applyFill="1" applyProtection="1">
      <protection locked="0"/>
    </xf>
    <xf numFmtId="0" fontId="20" fillId="0" borderId="3" xfId="0" applyFont="1" applyBorder="1" applyAlignment="1">
      <alignment horizontal="right"/>
    </xf>
    <xf numFmtId="0" fontId="21" fillId="0" borderId="13" xfId="0" applyFont="1" applyBorder="1"/>
    <xf numFmtId="0" fontId="21" fillId="0" borderId="13" xfId="0" applyFont="1" applyBorder="1" applyAlignment="1">
      <alignment horizontal="right"/>
    </xf>
    <xf numFmtId="0" fontId="36" fillId="3" borderId="16" xfId="0" applyFont="1" applyFill="1" applyBorder="1" applyAlignment="1">
      <alignment horizontal="left"/>
    </xf>
    <xf numFmtId="0" fontId="36" fillId="3" borderId="18" xfId="0" applyFont="1" applyFill="1" applyBorder="1" applyAlignment="1">
      <alignment horizontal="left"/>
    </xf>
    <xf numFmtId="0" fontId="20" fillId="3" borderId="0" xfId="0" applyFont="1" applyFill="1"/>
    <xf numFmtId="1" fontId="29" fillId="0" borderId="6" xfId="0" applyNumberFormat="1" applyFont="1" applyBorder="1" applyAlignment="1">
      <alignment horizontal="right"/>
    </xf>
    <xf numFmtId="1" fontId="29" fillId="0" borderId="0" xfId="0" applyNumberFormat="1" applyFont="1" applyAlignment="1">
      <alignment horizontal="right"/>
    </xf>
    <xf numFmtId="1" fontId="29" fillId="0" borderId="4" xfId="0" applyNumberFormat="1" applyFont="1" applyBorder="1" applyAlignment="1">
      <alignment horizontal="right"/>
    </xf>
    <xf numFmtId="174" fontId="29" fillId="4" borderId="0" xfId="0" applyNumberFormat="1" applyFont="1" applyFill="1" applyAlignment="1" applyProtection="1">
      <alignment horizontal="right"/>
      <protection locked="0"/>
    </xf>
    <xf numFmtId="2" fontId="29" fillId="4" borderId="0" xfId="0" applyNumberFormat="1" applyFont="1" applyFill="1" applyProtection="1">
      <protection locked="0"/>
    </xf>
    <xf numFmtId="2" fontId="29" fillId="4" borderId="6" xfId="0" applyNumberFormat="1" applyFont="1" applyFill="1" applyBorder="1" applyProtection="1">
      <protection locked="0"/>
    </xf>
    <xf numFmtId="2" fontId="29" fillId="4" borderId="4" xfId="0" applyNumberFormat="1" applyFont="1" applyFill="1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2" fontId="29" fillId="0" borderId="8" xfId="0" applyNumberFormat="1" applyFont="1" applyBorder="1" applyProtection="1">
      <protection locked="0"/>
    </xf>
    <xf numFmtId="2" fontId="29" fillId="0" borderId="0" xfId="0" applyNumberFormat="1" applyFont="1" applyProtection="1">
      <protection locked="0"/>
    </xf>
    <xf numFmtId="0" fontId="29" fillId="0" borderId="21" xfId="0" applyFont="1" applyBorder="1"/>
    <xf numFmtId="0" fontId="29" fillId="0" borderId="23" xfId="0" applyFont="1" applyBorder="1"/>
    <xf numFmtId="0" fontId="31" fillId="0" borderId="0" xfId="0" applyFont="1" applyAlignment="1">
      <alignment horizontal="left"/>
    </xf>
    <xf numFmtId="0" fontId="29" fillId="0" borderId="13" xfId="0" applyFont="1" applyBorder="1"/>
    <xf numFmtId="0" fontId="29" fillId="0" borderId="13" xfId="0" applyFont="1" applyBorder="1" applyAlignment="1">
      <alignment horizontal="centerContinuous"/>
    </xf>
    <xf numFmtId="0" fontId="37" fillId="0" borderId="0" xfId="0" applyFont="1"/>
    <xf numFmtId="0" fontId="41" fillId="0" borderId="0" xfId="0" applyFont="1"/>
    <xf numFmtId="0" fontId="42" fillId="0" borderId="0" xfId="0" applyFont="1"/>
    <xf numFmtId="0" fontId="44" fillId="0" borderId="0" xfId="0" applyFont="1"/>
    <xf numFmtId="0" fontId="43" fillId="0" borderId="0" xfId="0" applyFont="1" applyAlignment="1">
      <alignment horizontal="left"/>
    </xf>
    <xf numFmtId="40" fontId="29" fillId="0" borderId="4" xfId="0" applyNumberFormat="1" applyFont="1" applyBorder="1"/>
    <xf numFmtId="0" fontId="29" fillId="0" borderId="25" xfId="0" applyFont="1" applyBorder="1"/>
    <xf numFmtId="0" fontId="31" fillId="0" borderId="26" xfId="0" applyFont="1" applyBorder="1" applyAlignment="1">
      <alignment horizontal="right"/>
    </xf>
    <xf numFmtId="0" fontId="31" fillId="0" borderId="21" xfId="0" applyFont="1" applyBorder="1"/>
    <xf numFmtId="0" fontId="29" fillId="0" borderId="22" xfId="0" applyFont="1" applyBorder="1"/>
    <xf numFmtId="0" fontId="29" fillId="0" borderId="0" xfId="0" applyFont="1" applyAlignment="1">
      <alignment horizontal="left" vertical="center"/>
    </xf>
    <xf numFmtId="0" fontId="29" fillId="0" borderId="26" xfId="0" applyFont="1" applyBorder="1"/>
    <xf numFmtId="168" fontId="46" fillId="0" borderId="0" xfId="0" applyNumberFormat="1" applyFont="1"/>
    <xf numFmtId="0" fontId="47" fillId="0" borderId="0" xfId="0" applyFont="1"/>
    <xf numFmtId="0" fontId="48" fillId="0" borderId="0" xfId="0" applyFont="1"/>
    <xf numFmtId="172" fontId="44" fillId="0" borderId="0" xfId="0" applyNumberFormat="1" applyFont="1" applyProtection="1">
      <protection locked="0"/>
    </xf>
    <xf numFmtId="3" fontId="49" fillId="0" borderId="0" xfId="0" applyNumberFormat="1" applyFont="1" applyProtection="1">
      <protection locked="0"/>
    </xf>
    <xf numFmtId="169" fontId="49" fillId="0" borderId="0" xfId="0" applyNumberFormat="1" applyFont="1" applyProtection="1">
      <protection locked="0"/>
    </xf>
    <xf numFmtId="168" fontId="48" fillId="0" borderId="0" xfId="0" applyNumberFormat="1" applyFont="1"/>
    <xf numFmtId="169" fontId="44" fillId="0" borderId="0" xfId="0" applyNumberFormat="1" applyFont="1"/>
    <xf numFmtId="170" fontId="49" fillId="0" borderId="0" xfId="0" applyNumberFormat="1" applyFont="1" applyProtection="1">
      <protection locked="0"/>
    </xf>
    <xf numFmtId="172" fontId="44" fillId="0" borderId="0" xfId="0" applyNumberFormat="1" applyFont="1"/>
    <xf numFmtId="174" fontId="49" fillId="0" borderId="0" xfId="0" applyNumberFormat="1" applyFont="1" applyAlignment="1" applyProtection="1">
      <alignment horizontal="right"/>
      <protection locked="0"/>
    </xf>
    <xf numFmtId="0" fontId="50" fillId="0" borderId="0" xfId="0" applyFont="1" applyAlignment="1">
      <alignment horizontal="right"/>
    </xf>
    <xf numFmtId="0" fontId="49" fillId="0" borderId="0" xfId="0" applyFont="1" applyProtection="1">
      <protection locked="0"/>
    </xf>
    <xf numFmtId="166" fontId="48" fillId="0" borderId="0" xfId="0" applyNumberFormat="1" applyFont="1"/>
    <xf numFmtId="14" fontId="29" fillId="0" borderId="0" xfId="0" quotePrefix="1" applyNumberFormat="1" applyFont="1" applyAlignment="1">
      <alignment horizontal="right"/>
    </xf>
    <xf numFmtId="0" fontId="51" fillId="0" borderId="4" xfId="0" applyFont="1" applyBorder="1"/>
    <xf numFmtId="0" fontId="51" fillId="0" borderId="0" xfId="0" quotePrefix="1" applyFont="1"/>
    <xf numFmtId="0" fontId="51" fillId="0" borderId="0" xfId="0" applyFont="1"/>
    <xf numFmtId="3" fontId="44" fillId="4" borderId="0" xfId="0" applyNumberFormat="1" applyFont="1" applyFill="1" applyProtection="1">
      <protection locked="0"/>
    </xf>
    <xf numFmtId="169" fontId="44" fillId="4" borderId="0" xfId="0" applyNumberFormat="1" applyFont="1" applyFill="1" applyProtection="1">
      <protection locked="0"/>
    </xf>
    <xf numFmtId="0" fontId="50" fillId="0" borderId="0" xfId="0" applyFont="1" applyAlignment="1">
      <alignment horizontal="left"/>
    </xf>
    <xf numFmtId="0" fontId="52" fillId="0" borderId="0" xfId="0" applyFont="1"/>
    <xf numFmtId="0" fontId="43" fillId="0" borderId="0" xfId="0" applyFont="1"/>
    <xf numFmtId="40" fontId="29" fillId="0" borderId="0" xfId="1" applyNumberFormat="1" applyFont="1" applyBorder="1" applyAlignment="1"/>
    <xf numFmtId="40" fontId="29" fillId="0" borderId="0" xfId="0" applyNumberFormat="1" applyFont="1"/>
    <xf numFmtId="40" fontId="31" fillId="0" borderId="0" xfId="1" applyNumberFormat="1" applyFont="1" applyBorder="1" applyAlignment="1"/>
    <xf numFmtId="40" fontId="31" fillId="0" borderId="4" xfId="1" applyNumberFormat="1" applyFont="1" applyBorder="1" applyAlignment="1"/>
    <xf numFmtId="40" fontId="29" fillId="0" borderId="0" xfId="1" applyNumberFormat="1" applyFont="1" applyBorder="1" applyAlignment="1">
      <alignment vertical="center"/>
    </xf>
    <xf numFmtId="0" fontId="5" fillId="0" borderId="21" xfId="0" applyFont="1" applyBorder="1"/>
    <xf numFmtId="0" fontId="5" fillId="0" borderId="25" xfId="0" applyFont="1" applyBorder="1"/>
    <xf numFmtId="0" fontId="29" fillId="0" borderId="1" xfId="0" applyFont="1" applyBorder="1" applyAlignment="1">
      <alignment horizontal="left" vertical="center"/>
    </xf>
    <xf numFmtId="40" fontId="29" fillId="0" borderId="1" xfId="1" applyNumberFormat="1" applyFont="1" applyBorder="1" applyAlignment="1">
      <alignment vertical="center"/>
    </xf>
    <xf numFmtId="0" fontId="29" fillId="0" borderId="24" xfId="0" applyFont="1" applyBorder="1"/>
    <xf numFmtId="0" fontId="31" fillId="0" borderId="0" xfId="0" applyFont="1" applyAlignment="1">
      <alignment horizontal="right"/>
    </xf>
    <xf numFmtId="3" fontId="44" fillId="0" borderId="0" xfId="0" applyNumberFormat="1" applyFont="1" applyProtection="1">
      <protection locked="0"/>
    </xf>
    <xf numFmtId="4" fontId="44" fillId="4" borderId="0" xfId="0" applyNumberFormat="1" applyFont="1" applyFill="1" applyProtection="1">
      <protection locked="0"/>
    </xf>
    <xf numFmtId="174" fontId="44" fillId="4" borderId="0" xfId="0" applyNumberFormat="1" applyFont="1" applyFill="1" applyProtection="1">
      <protection locked="0"/>
    </xf>
    <xf numFmtId="2" fontId="44" fillId="4" borderId="0" xfId="0" applyNumberFormat="1" applyFont="1" applyFill="1" applyProtection="1">
      <protection locked="0"/>
    </xf>
    <xf numFmtId="0" fontId="53" fillId="0" borderId="0" xfId="0" applyFont="1"/>
    <xf numFmtId="174" fontId="44" fillId="4" borderId="0" xfId="0" applyNumberFormat="1" applyFont="1" applyFill="1" applyAlignment="1" applyProtection="1">
      <alignment horizontal="right"/>
      <protection locked="0"/>
    </xf>
    <xf numFmtId="0" fontId="48" fillId="0" borderId="0" xfId="0" applyFont="1" applyAlignment="1">
      <alignment horizontal="right"/>
    </xf>
    <xf numFmtId="0" fontId="44" fillId="4" borderId="0" xfId="0" applyFont="1" applyFill="1" applyProtection="1">
      <protection locked="0"/>
    </xf>
    <xf numFmtId="10" fontId="44" fillId="4" borderId="0" xfId="0" applyNumberFormat="1" applyFont="1" applyFill="1" applyProtection="1">
      <protection locked="0"/>
    </xf>
    <xf numFmtId="169" fontId="43" fillId="0" borderId="0" xfId="0" applyNumberFormat="1" applyFont="1"/>
    <xf numFmtId="0" fontId="52" fillId="0" borderId="0" xfId="0" applyFont="1" applyAlignment="1">
      <alignment horizontal="right"/>
    </xf>
    <xf numFmtId="4" fontId="44" fillId="0" borderId="0" xfId="0" applyNumberFormat="1" applyFont="1" applyProtection="1">
      <protection locked="0"/>
    </xf>
    <xf numFmtId="4" fontId="44" fillId="0" borderId="0" xfId="0" applyNumberFormat="1" applyFont="1"/>
    <xf numFmtId="4" fontId="48" fillId="0" borderId="0" xfId="0" applyNumberFormat="1" applyFont="1"/>
    <xf numFmtId="168" fontId="35" fillId="0" borderId="0" xfId="0" applyNumberFormat="1" applyFont="1"/>
    <xf numFmtId="15" fontId="42" fillId="0" borderId="0" xfId="0" quotePrefix="1" applyNumberFormat="1" applyFont="1"/>
    <xf numFmtId="0" fontId="44" fillId="0" borderId="4" xfId="0" applyFont="1" applyBorder="1"/>
    <xf numFmtId="0" fontId="54" fillId="0" borderId="4" xfId="0" applyFont="1" applyBorder="1" applyAlignment="1">
      <alignment horizontal="center"/>
    </xf>
    <xf numFmtId="0" fontId="54" fillId="0" borderId="4" xfId="0" applyFont="1" applyBorder="1"/>
    <xf numFmtId="39" fontId="44" fillId="0" borderId="0" xfId="1" applyNumberFormat="1" applyFont="1" applyFill="1" applyBorder="1"/>
    <xf numFmtId="179" fontId="51" fillId="0" borderId="0" xfId="1" applyNumberFormat="1" applyFont="1" applyBorder="1"/>
    <xf numFmtId="0" fontId="51" fillId="0" borderId="0" xfId="0" applyFont="1" applyAlignment="1">
      <alignment horizontal="center"/>
    </xf>
    <xf numFmtId="39" fontId="44" fillId="0" borderId="0" xfId="1" applyNumberFormat="1" applyFont="1" applyBorder="1"/>
    <xf numFmtId="1" fontId="44" fillId="0" borderId="0" xfId="0" applyNumberFormat="1" applyFont="1"/>
    <xf numFmtId="0" fontId="44" fillId="0" borderId="0" xfId="0" applyFont="1" applyAlignment="1">
      <alignment horizontal="left" vertical="center"/>
    </xf>
    <xf numFmtId="14" fontId="54" fillId="0" borderId="0" xfId="0" applyNumberFormat="1" applyFont="1" applyAlignment="1">
      <alignment horizontal="left" vertical="center"/>
    </xf>
    <xf numFmtId="14" fontId="44" fillId="0" borderId="0" xfId="0" quotePrefix="1" applyNumberFormat="1" applyFont="1" applyAlignment="1">
      <alignment horizontal="right"/>
    </xf>
    <xf numFmtId="0" fontId="44" fillId="0" borderId="25" xfId="0" applyFont="1" applyBorder="1"/>
    <xf numFmtId="0" fontId="44" fillId="0" borderId="26" xfId="0" applyFont="1" applyBorder="1"/>
    <xf numFmtId="0" fontId="44" fillId="0" borderId="21" xfId="0" applyFont="1" applyBorder="1"/>
    <xf numFmtId="0" fontId="54" fillId="0" borderId="26" xfId="0" applyFont="1" applyBorder="1" applyAlignment="1">
      <alignment horizontal="center"/>
    </xf>
    <xf numFmtId="0" fontId="51" fillId="0" borderId="21" xfId="0" applyFont="1" applyBorder="1"/>
    <xf numFmtId="0" fontId="44" fillId="0" borderId="22" xfId="0" applyFont="1" applyBorder="1"/>
    <xf numFmtId="0" fontId="51" fillId="0" borderId="0" xfId="0" applyFont="1" applyAlignment="1">
      <alignment horizontal="right"/>
    </xf>
    <xf numFmtId="4" fontId="51" fillId="0" borderId="22" xfId="0" applyNumberFormat="1" applyFont="1" applyBorder="1"/>
    <xf numFmtId="39" fontId="44" fillId="0" borderId="22" xfId="1" applyNumberFormat="1" applyFont="1" applyBorder="1"/>
    <xf numFmtId="1" fontId="44" fillId="0" borderId="22" xfId="0" applyNumberFormat="1" applyFont="1" applyBorder="1"/>
    <xf numFmtId="0" fontId="51" fillId="0" borderId="25" xfId="0" applyFont="1" applyBorder="1"/>
    <xf numFmtId="0" fontId="44" fillId="0" borderId="23" xfId="0" applyFont="1" applyBorder="1"/>
    <xf numFmtId="0" fontId="51" fillId="0" borderId="1" xfId="0" applyFont="1" applyBorder="1"/>
    <xf numFmtId="0" fontId="44" fillId="0" borderId="1" xfId="0" applyFont="1" applyBorder="1"/>
    <xf numFmtId="40" fontId="51" fillId="0" borderId="0" xfId="1" applyNumberFormat="1" applyFont="1" applyBorder="1"/>
    <xf numFmtId="40" fontId="44" fillId="0" borderId="0" xfId="1" applyNumberFormat="1" applyFont="1" applyBorder="1"/>
    <xf numFmtId="40" fontId="51" fillId="0" borderId="22" xfId="1" applyNumberFormat="1" applyFont="1" applyBorder="1"/>
    <xf numFmtId="40" fontId="44" fillId="0" borderId="0" xfId="0" applyNumberFormat="1" applyFont="1"/>
    <xf numFmtId="40" fontId="44" fillId="0" borderId="22" xfId="0" applyNumberFormat="1" applyFont="1" applyBorder="1"/>
    <xf numFmtId="40" fontId="51" fillId="0" borderId="4" xfId="1" applyNumberFormat="1" applyFont="1" applyBorder="1"/>
    <xf numFmtId="40" fontId="44" fillId="0" borderId="4" xfId="0" applyNumberFormat="1" applyFont="1" applyBorder="1"/>
    <xf numFmtId="40" fontId="44" fillId="0" borderId="26" xfId="0" applyNumberFormat="1" applyFont="1" applyBorder="1"/>
    <xf numFmtId="40" fontId="51" fillId="0" borderId="1" xfId="1" applyNumberFormat="1" applyFont="1" applyBorder="1"/>
    <xf numFmtId="40" fontId="44" fillId="0" borderId="1" xfId="0" applyNumberFormat="1" applyFont="1" applyBorder="1"/>
    <xf numFmtId="40" fontId="51" fillId="0" borderId="24" xfId="1" applyNumberFormat="1" applyFont="1" applyBorder="1"/>
    <xf numFmtId="0" fontId="51" fillId="0" borderId="0" xfId="0" applyFont="1" applyAlignment="1">
      <alignment horizontal="centerContinuous"/>
    </xf>
    <xf numFmtId="3" fontId="55" fillId="0" borderId="0" xfId="0" applyNumberFormat="1" applyFont="1"/>
    <xf numFmtId="3" fontId="48" fillId="0" borderId="0" xfId="0" applyNumberFormat="1" applyFont="1"/>
    <xf numFmtId="165" fontId="48" fillId="0" borderId="0" xfId="0" applyNumberFormat="1" applyFont="1"/>
    <xf numFmtId="2" fontId="49" fillId="0" borderId="0" xfId="0" applyNumberFormat="1" applyFont="1"/>
    <xf numFmtId="2" fontId="44" fillId="0" borderId="0" xfId="0" applyNumberFormat="1" applyFont="1"/>
    <xf numFmtId="0" fontId="49" fillId="0" borderId="0" xfId="0" applyFont="1"/>
    <xf numFmtId="169" fontId="49" fillId="0" borderId="0" xfId="0" applyNumberFormat="1" applyFont="1"/>
    <xf numFmtId="0" fontId="56" fillId="0" borderId="0" xfId="0" applyFont="1"/>
    <xf numFmtId="170" fontId="57" fillId="0" borderId="0" xfId="0" applyNumberFormat="1" applyFont="1"/>
    <xf numFmtId="170" fontId="49" fillId="0" borderId="0" xfId="0" applyNumberFormat="1" applyFont="1"/>
    <xf numFmtId="175" fontId="44" fillId="0" borderId="0" xfId="0" applyNumberFormat="1" applyFont="1"/>
    <xf numFmtId="176" fontId="48" fillId="0" borderId="0" xfId="0" applyNumberFormat="1" applyFont="1"/>
    <xf numFmtId="170" fontId="44" fillId="0" borderId="0" xfId="0" applyNumberFormat="1" applyFont="1"/>
    <xf numFmtId="0" fontId="55" fillId="0" borderId="0" xfId="0" applyFont="1"/>
    <xf numFmtId="171" fontId="48" fillId="0" borderId="0" xfId="0" applyNumberFormat="1" applyFont="1"/>
    <xf numFmtId="172" fontId="49" fillId="0" borderId="0" xfId="0" applyNumberFormat="1" applyFont="1" applyProtection="1">
      <protection locked="0"/>
    </xf>
    <xf numFmtId="9" fontId="44" fillId="0" borderId="0" xfId="0" applyNumberFormat="1" applyFont="1"/>
    <xf numFmtId="3" fontId="44" fillId="0" borderId="0" xfId="0" applyNumberFormat="1" applyFont="1"/>
    <xf numFmtId="169" fontId="44" fillId="0" borderId="0" xfId="0" applyNumberFormat="1" applyFont="1" applyProtection="1">
      <protection locked="0"/>
    </xf>
    <xf numFmtId="0" fontId="58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0" xfId="0" applyFont="1"/>
    <xf numFmtId="0" fontId="48" fillId="0" borderId="4" xfId="0" applyFont="1" applyBorder="1"/>
    <xf numFmtId="173" fontId="55" fillId="0" borderId="4" xfId="0" applyNumberFormat="1" applyFont="1" applyBorder="1" applyProtection="1">
      <protection hidden="1"/>
    </xf>
    <xf numFmtId="0" fontId="44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2" fontId="44" fillId="0" borderId="0" xfId="0" quotePrefix="1" applyNumberFormat="1" applyFont="1"/>
    <xf numFmtId="2" fontId="48" fillId="0" borderId="0" xfId="0" applyNumberFormat="1" applyFont="1"/>
    <xf numFmtId="172" fontId="49" fillId="0" borderId="4" xfId="0" applyNumberFormat="1" applyFont="1" applyBorder="1" applyProtection="1">
      <protection locked="0"/>
    </xf>
    <xf numFmtId="3" fontId="44" fillId="0" borderId="4" xfId="0" applyNumberFormat="1" applyFont="1" applyBorder="1"/>
    <xf numFmtId="2" fontId="44" fillId="0" borderId="4" xfId="0" quotePrefix="1" applyNumberFormat="1" applyFont="1" applyBorder="1"/>
    <xf numFmtId="2" fontId="48" fillId="0" borderId="4" xfId="0" applyNumberFormat="1" applyFont="1" applyBorder="1"/>
    <xf numFmtId="9" fontId="49" fillId="0" borderId="0" xfId="0" applyNumberFormat="1" applyFont="1"/>
    <xf numFmtId="168" fontId="48" fillId="0" borderId="4" xfId="0" applyNumberFormat="1" applyFont="1" applyBorder="1"/>
    <xf numFmtId="168" fontId="55" fillId="0" borderId="0" xfId="0" applyNumberFormat="1" applyFont="1"/>
    <xf numFmtId="175" fontId="51" fillId="0" borderId="0" xfId="0" applyNumberFormat="1" applyFont="1"/>
    <xf numFmtId="0" fontId="48" fillId="0" borderId="6" xfId="0" applyFont="1" applyBorder="1"/>
    <xf numFmtId="0" fontId="44" fillId="0" borderId="6" xfId="0" applyFont="1" applyBorder="1"/>
    <xf numFmtId="177" fontId="48" fillId="0" borderId="0" xfId="0" applyNumberFormat="1" applyFont="1"/>
    <xf numFmtId="177" fontId="55" fillId="0" borderId="0" xfId="0" applyNumberFormat="1" applyFont="1"/>
    <xf numFmtId="0" fontId="44" fillId="0" borderId="13" xfId="0" applyFont="1" applyBorder="1" applyAlignment="1">
      <alignment horizontal="center"/>
    </xf>
    <xf numFmtId="168" fontId="58" fillId="0" borderId="0" xfId="0" applyNumberFormat="1" applyFont="1" applyAlignment="1">
      <alignment horizontal="center"/>
    </xf>
    <xf numFmtId="0" fontId="44" fillId="0" borderId="0" xfId="0" applyFont="1" applyAlignment="1">
      <alignment horizontal="centerContinuous"/>
    </xf>
    <xf numFmtId="169" fontId="2" fillId="0" borderId="0" xfId="0" applyNumberFormat="1" applyFont="1" applyProtection="1">
      <protection locked="0"/>
    </xf>
    <xf numFmtId="0" fontId="2" fillId="0" borderId="0" xfId="0" applyFont="1"/>
    <xf numFmtId="169" fontId="2" fillId="0" borderId="0" xfId="0" applyNumberFormat="1" applyFont="1"/>
    <xf numFmtId="0" fontId="44" fillId="0" borderId="0" xfId="0" applyFont="1" applyAlignment="1">
      <alignment horizontal="right"/>
    </xf>
    <xf numFmtId="0" fontId="44" fillId="0" borderId="0" xfId="0" quotePrefix="1" applyFont="1" applyAlignment="1">
      <alignment horizontal="left"/>
    </xf>
    <xf numFmtId="15" fontId="44" fillId="0" borderId="0" xfId="0" quotePrefix="1" applyNumberFormat="1" applyFont="1"/>
    <xf numFmtId="3" fontId="58" fillId="0" borderId="0" xfId="0" applyNumberFormat="1" applyFont="1"/>
    <xf numFmtId="4" fontId="48" fillId="0" borderId="0" xfId="0" quotePrefix="1" applyNumberFormat="1" applyFont="1"/>
    <xf numFmtId="170" fontId="53" fillId="0" borderId="0" xfId="0" applyNumberFormat="1" applyFont="1"/>
    <xf numFmtId="3" fontId="44" fillId="4" borderId="0" xfId="0" applyNumberFormat="1" applyFont="1" applyFill="1" applyAlignment="1" applyProtection="1">
      <alignment horizontal="right"/>
      <protection locked="0"/>
    </xf>
    <xf numFmtId="170" fontId="49" fillId="0" borderId="0" xfId="0" applyNumberFormat="1" applyFont="1" applyAlignment="1">
      <alignment horizontal="left"/>
    </xf>
    <xf numFmtId="38" fontId="48" fillId="0" borderId="0" xfId="0" applyNumberFormat="1" applyFont="1"/>
    <xf numFmtId="0" fontId="44" fillId="4" borderId="4" xfId="0" applyFont="1" applyFill="1" applyBorder="1" applyProtection="1">
      <protection locked="0"/>
    </xf>
    <xf numFmtId="169" fontId="44" fillId="4" borderId="4" xfId="0" applyNumberFormat="1" applyFont="1" applyFill="1" applyBorder="1" applyProtection="1">
      <protection locked="0"/>
    </xf>
    <xf numFmtId="3" fontId="44" fillId="4" borderId="4" xfId="0" applyNumberFormat="1" applyFont="1" applyFill="1" applyBorder="1" applyProtection="1">
      <protection locked="0"/>
    </xf>
    <xf numFmtId="3" fontId="48" fillId="0" borderId="4" xfId="0" applyNumberFormat="1" applyFont="1" applyBorder="1"/>
    <xf numFmtId="9" fontId="62" fillId="0" borderId="0" xfId="0" applyNumberFormat="1" applyFont="1"/>
    <xf numFmtId="0" fontId="62" fillId="0" borderId="0" xfId="0" applyFont="1"/>
    <xf numFmtId="169" fontId="62" fillId="0" borderId="0" xfId="0" applyNumberFormat="1" applyFont="1" applyProtection="1">
      <protection locked="0"/>
    </xf>
    <xf numFmtId="181" fontId="48" fillId="0" borderId="0" xfId="0" applyNumberFormat="1" applyFont="1"/>
    <xf numFmtId="3" fontId="44" fillId="0" borderId="0" xfId="0" quotePrefix="1" applyNumberFormat="1" applyFont="1"/>
    <xf numFmtId="3" fontId="44" fillId="0" borderId="4" xfId="0" quotePrefix="1" applyNumberFormat="1" applyFont="1" applyBorder="1"/>
    <xf numFmtId="3" fontId="48" fillId="0" borderId="6" xfId="0" applyNumberFormat="1" applyFont="1" applyBorder="1"/>
    <xf numFmtId="3" fontId="44" fillId="0" borderId="6" xfId="0" applyNumberFormat="1" applyFont="1" applyBorder="1"/>
    <xf numFmtId="0" fontId="46" fillId="0" borderId="0" xfId="0" applyFont="1"/>
    <xf numFmtId="3" fontId="42" fillId="0" borderId="0" xfId="0" applyNumberFormat="1" applyFont="1"/>
    <xf numFmtId="177" fontId="63" fillId="0" borderId="0" xfId="0" applyNumberFormat="1" applyFont="1"/>
    <xf numFmtId="175" fontId="41" fillId="0" borderId="0" xfId="0" applyNumberFormat="1" applyFont="1"/>
    <xf numFmtId="176" fontId="44" fillId="0" borderId="0" xfId="1" applyNumberFormat="1" applyFont="1" applyBorder="1"/>
    <xf numFmtId="44" fontId="44" fillId="0" borderId="0" xfId="1" applyFont="1" applyBorder="1"/>
    <xf numFmtId="2" fontId="44" fillId="0" borderId="4" xfId="1" applyNumberFormat="1" applyFont="1" applyBorder="1"/>
    <xf numFmtId="179" fontId="44" fillId="0" borderId="0" xfId="1" applyNumberFormat="1" applyFont="1" applyBorder="1"/>
    <xf numFmtId="2" fontId="44" fillId="0" borderId="0" xfId="1" applyNumberFormat="1" applyFont="1" applyBorder="1" applyAlignment="1">
      <alignment horizontal="right"/>
    </xf>
    <xf numFmtId="2" fontId="44" fillId="0" borderId="0" xfId="1" applyNumberFormat="1" applyFont="1" applyFill="1" applyBorder="1"/>
    <xf numFmtId="8" fontId="44" fillId="0" borderId="0" xfId="1" applyNumberFormat="1" applyFont="1" applyBorder="1"/>
    <xf numFmtId="40" fontId="44" fillId="0" borderId="0" xfId="1" applyNumberFormat="1" applyFont="1" applyFill="1" applyBorder="1"/>
    <xf numFmtId="40" fontId="44" fillId="0" borderId="22" xfId="1" applyNumberFormat="1" applyFont="1" applyFill="1" applyBorder="1"/>
    <xf numFmtId="40" fontId="44" fillId="0" borderId="4" xfId="1" applyNumberFormat="1" applyFont="1" applyFill="1" applyBorder="1"/>
    <xf numFmtId="40" fontId="44" fillId="0" borderId="26" xfId="1" applyNumberFormat="1" applyFont="1" applyFill="1" applyBorder="1"/>
    <xf numFmtId="40" fontId="51" fillId="0" borderId="0" xfId="0" applyNumberFormat="1" applyFont="1"/>
    <xf numFmtId="40" fontId="51" fillId="0" borderId="22" xfId="0" applyNumberFormat="1" applyFont="1" applyBorder="1"/>
    <xf numFmtId="40" fontId="44" fillId="0" borderId="22" xfId="1" applyNumberFormat="1" applyFont="1" applyBorder="1"/>
    <xf numFmtId="40" fontId="44" fillId="0" borderId="4" xfId="1" applyNumberFormat="1" applyFont="1" applyBorder="1"/>
    <xf numFmtId="2" fontId="44" fillId="0" borderId="4" xfId="1" applyNumberFormat="1" applyFont="1" applyBorder="1" applyAlignment="1">
      <alignment horizontal="right"/>
    </xf>
    <xf numFmtId="0" fontId="51" fillId="0" borderId="6" xfId="0" applyFont="1" applyBorder="1"/>
    <xf numFmtId="0" fontId="44" fillId="0" borderId="27" xfId="0" applyFont="1" applyBorder="1"/>
    <xf numFmtId="0" fontId="54" fillId="0" borderId="22" xfId="0" applyFont="1" applyBorder="1" applyAlignment="1">
      <alignment horizontal="right" indent="1"/>
    </xf>
    <xf numFmtId="2" fontId="44" fillId="0" borderId="26" xfId="1" applyNumberFormat="1" applyFont="1" applyBorder="1"/>
    <xf numFmtId="2" fontId="44" fillId="0" borderId="22" xfId="1" applyNumberFormat="1" applyFont="1" applyFill="1" applyBorder="1"/>
    <xf numFmtId="8" fontId="44" fillId="0" borderId="22" xfId="0" applyNumberFormat="1" applyFont="1" applyBorder="1"/>
    <xf numFmtId="0" fontId="42" fillId="0" borderId="0" xfId="0" applyFont="1" applyAlignment="1">
      <alignment horizontal="center"/>
    </xf>
    <xf numFmtId="4" fontId="44" fillId="0" borderId="0" xfId="1" applyNumberFormat="1" applyFont="1" applyBorder="1" applyAlignment="1">
      <alignment horizontal="right"/>
    </xf>
    <xf numFmtId="4" fontId="44" fillId="0" borderId="0" xfId="1" applyNumberFormat="1" applyFont="1" applyBorder="1"/>
    <xf numFmtId="4" fontId="44" fillId="0" borderId="22" xfId="1" applyNumberFormat="1" applyFont="1" applyBorder="1"/>
    <xf numFmtId="4" fontId="44" fillId="0" borderId="4" xfId="1" applyNumberFormat="1" applyFont="1" applyBorder="1" applyAlignment="1">
      <alignment horizontal="right"/>
    </xf>
    <xf numFmtId="4" fontId="44" fillId="0" borderId="4" xfId="1" applyNumberFormat="1" applyFont="1" applyBorder="1"/>
    <xf numFmtId="4" fontId="44" fillId="0" borderId="26" xfId="1" applyNumberFormat="1" applyFont="1" applyBorder="1"/>
    <xf numFmtId="4" fontId="44" fillId="0" borderId="0" xfId="1" applyNumberFormat="1" applyFont="1" applyFill="1" applyBorder="1"/>
    <xf numFmtId="4" fontId="44" fillId="0" borderId="0" xfId="1" applyNumberFormat="1" applyFont="1" applyFill="1" applyBorder="1" applyAlignment="1">
      <alignment horizontal="right"/>
    </xf>
    <xf numFmtId="4" fontId="44" fillId="0" borderId="22" xfId="1" applyNumberFormat="1" applyFont="1" applyFill="1" applyBorder="1"/>
    <xf numFmtId="4" fontId="44" fillId="0" borderId="4" xfId="1" applyNumberFormat="1" applyFont="1" applyFill="1" applyBorder="1"/>
    <xf numFmtId="4" fontId="44" fillId="0" borderId="26" xfId="1" applyNumberFormat="1" applyFont="1" applyFill="1" applyBorder="1"/>
    <xf numFmtId="4" fontId="51" fillId="0" borderId="0" xfId="1" applyNumberFormat="1" applyFont="1" applyBorder="1"/>
    <xf numFmtId="4" fontId="51" fillId="0" borderId="22" xfId="1" applyNumberFormat="1" applyFont="1" applyBorder="1"/>
    <xf numFmtId="0" fontId="54" fillId="0" borderId="0" xfId="0" applyFont="1" applyAlignment="1">
      <alignment horizontal="right"/>
    </xf>
    <xf numFmtId="0" fontId="54" fillId="0" borderId="0" xfId="0" applyFont="1" applyAlignment="1">
      <alignment horizontal="right" indent="1"/>
    </xf>
    <xf numFmtId="4" fontId="51" fillId="0" borderId="0" xfId="0" applyNumberFormat="1" applyFont="1"/>
    <xf numFmtId="37" fontId="44" fillId="0" borderId="0" xfId="0" applyNumberFormat="1" applyFont="1"/>
    <xf numFmtId="8" fontId="44" fillId="0" borderId="0" xfId="0" applyNumberFormat="1" applyFont="1"/>
    <xf numFmtId="9" fontId="48" fillId="0" borderId="0" xfId="0" applyNumberFormat="1" applyFont="1"/>
    <xf numFmtId="170" fontId="44" fillId="0" borderId="0" xfId="0" applyNumberFormat="1" applyFont="1" applyProtection="1">
      <protection locked="0"/>
    </xf>
    <xf numFmtId="166" fontId="48" fillId="0" borderId="0" xfId="0" quotePrefix="1" applyNumberFormat="1" applyFont="1"/>
    <xf numFmtId="9" fontId="44" fillId="0" borderId="0" xfId="0" applyNumberFormat="1" applyFont="1" applyAlignment="1">
      <alignment horizontal="left"/>
    </xf>
    <xf numFmtId="0" fontId="44" fillId="0" borderId="2" xfId="0" applyFont="1" applyBorder="1"/>
    <xf numFmtId="0" fontId="48" fillId="0" borderId="2" xfId="0" applyFont="1" applyBorder="1"/>
    <xf numFmtId="173" fontId="55" fillId="0" borderId="2" xfId="0" applyNumberFormat="1" applyFont="1" applyBorder="1" applyProtection="1">
      <protection hidden="1"/>
    </xf>
    <xf numFmtId="167" fontId="44" fillId="0" borderId="0" xfId="0" applyNumberFormat="1" applyFont="1"/>
    <xf numFmtId="177" fontId="55" fillId="0" borderId="4" xfId="0" applyNumberFormat="1" applyFont="1" applyBorder="1"/>
    <xf numFmtId="172" fontId="49" fillId="0" borderId="6" xfId="0" applyNumberFormat="1" applyFont="1" applyBorder="1" applyProtection="1">
      <protection locked="0"/>
    </xf>
    <xf numFmtId="168" fontId="48" fillId="0" borderId="6" xfId="0" applyNumberFormat="1" applyFont="1" applyBorder="1"/>
    <xf numFmtId="0" fontId="48" fillId="0" borderId="0" xfId="0" applyFont="1" applyAlignment="1">
      <alignment horizontal="centerContinuous"/>
    </xf>
    <xf numFmtId="168" fontId="58" fillId="0" borderId="0" xfId="0" applyNumberFormat="1" applyFont="1" applyAlignment="1">
      <alignment horizontal="right"/>
    </xf>
    <xf numFmtId="10" fontId="49" fillId="0" borderId="0" xfId="0" applyNumberFormat="1" applyFont="1"/>
    <xf numFmtId="0" fontId="50" fillId="0" borderId="0" xfId="0" applyFont="1"/>
    <xf numFmtId="3" fontId="50" fillId="0" borderId="0" xfId="0" applyNumberFormat="1" applyFont="1"/>
    <xf numFmtId="4" fontId="44" fillId="4" borderId="0" xfId="0" applyNumberFormat="1" applyFont="1" applyFill="1" applyAlignment="1" applyProtection="1">
      <alignment horizontal="right"/>
      <protection locked="0"/>
    </xf>
    <xf numFmtId="0" fontId="64" fillId="0" borderId="2" xfId="0" applyFont="1" applyBorder="1"/>
    <xf numFmtId="0" fontId="64" fillId="0" borderId="4" xfId="0" applyFont="1" applyBorder="1"/>
    <xf numFmtId="3" fontId="61" fillId="0" borderId="0" xfId="0" applyNumberFormat="1" applyFont="1" applyProtection="1">
      <protection locked="0"/>
    </xf>
    <xf numFmtId="0" fontId="46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42" fillId="0" borderId="4" xfId="0" applyFont="1" applyBorder="1"/>
    <xf numFmtId="0" fontId="42" fillId="0" borderId="4" xfId="0" applyFont="1" applyBorder="1" applyAlignment="1">
      <alignment horizontal="right"/>
    </xf>
    <xf numFmtId="0" fontId="42" fillId="0" borderId="4" xfId="0" applyFont="1" applyBorder="1" applyAlignment="1">
      <alignment horizontal="center"/>
    </xf>
    <xf numFmtId="0" fontId="46" fillId="0" borderId="4" xfId="0" applyFont="1" applyBorder="1" applyAlignment="1">
      <alignment horizontal="right"/>
    </xf>
    <xf numFmtId="2" fontId="46" fillId="0" borderId="4" xfId="0" applyNumberFormat="1" applyFont="1" applyBorder="1" applyAlignment="1">
      <alignment horizontal="right"/>
    </xf>
    <xf numFmtId="177" fontId="48" fillId="0" borderId="6" xfId="0" applyNumberFormat="1" applyFont="1" applyBorder="1"/>
    <xf numFmtId="3" fontId="48" fillId="0" borderId="4" xfId="0" applyNumberFormat="1" applyFont="1" applyBorder="1" applyAlignment="1">
      <alignment horizontal="right"/>
    </xf>
    <xf numFmtId="172" fontId="61" fillId="0" borderId="0" xfId="0" applyNumberFormat="1" applyFont="1" applyProtection="1">
      <protection locked="0"/>
    </xf>
    <xf numFmtId="0" fontId="46" fillId="0" borderId="4" xfId="0" applyFont="1" applyBorder="1" applyAlignment="1">
      <alignment horizontal="center"/>
    </xf>
    <xf numFmtId="2" fontId="46" fillId="0" borderId="4" xfId="0" applyNumberFormat="1" applyFont="1" applyBorder="1" applyAlignment="1">
      <alignment horizontal="center"/>
    </xf>
    <xf numFmtId="10" fontId="49" fillId="0" borderId="4" xfId="0" applyNumberFormat="1" applyFont="1" applyBorder="1" applyProtection="1">
      <protection locked="0"/>
    </xf>
    <xf numFmtId="9" fontId="29" fillId="0" borderId="0" xfId="0" applyNumberFormat="1" applyFont="1" applyAlignment="1">
      <alignment horizontal="right"/>
    </xf>
    <xf numFmtId="9" fontId="20" fillId="4" borderId="0" xfId="5" applyFont="1" applyFill="1" applyProtection="1">
      <protection locked="0"/>
    </xf>
    <xf numFmtId="3" fontId="1" fillId="0" borderId="0" xfId="0" applyNumberFormat="1" applyFont="1"/>
    <xf numFmtId="169" fontId="20" fillId="0" borderId="0" xfId="0" applyNumberFormat="1" applyFont="1" applyAlignment="1">
      <alignment horizontal="left"/>
    </xf>
    <xf numFmtId="0" fontId="66" fillId="0" borderId="0" xfId="6"/>
    <xf numFmtId="14" fontId="20" fillId="0" borderId="0" xfId="0" applyNumberFormat="1" applyFont="1"/>
    <xf numFmtId="169" fontId="20" fillId="4" borderId="0" xfId="0" applyNumberFormat="1" applyFont="1" applyFill="1" applyProtection="1">
      <protection locked="0"/>
    </xf>
    <xf numFmtId="10" fontId="20" fillId="4" borderId="0" xfId="0" applyNumberFormat="1" applyFont="1" applyFill="1" applyProtection="1">
      <protection locked="0"/>
    </xf>
    <xf numFmtId="14" fontId="20" fillId="4" borderId="0" xfId="0" applyNumberFormat="1" applyFont="1" applyFill="1" applyProtection="1">
      <protection locked="0"/>
    </xf>
    <xf numFmtId="0" fontId="67" fillId="0" borderId="0" xfId="0" applyFont="1"/>
    <xf numFmtId="0" fontId="16" fillId="3" borderId="15" xfId="3" applyFont="1" applyFill="1" applyBorder="1" applyAlignment="1">
      <alignment horizontal="center"/>
    </xf>
    <xf numFmtId="0" fontId="16" fillId="3" borderId="16" xfId="3" applyFont="1" applyFill="1" applyBorder="1" applyAlignment="1">
      <alignment horizontal="center"/>
    </xf>
    <xf numFmtId="0" fontId="17" fillId="0" borderId="0" xfId="3" applyFont="1" applyAlignment="1">
      <alignment horizontal="right"/>
    </xf>
    <xf numFmtId="0" fontId="17" fillId="0" borderId="0" xfId="3" applyFont="1"/>
    <xf numFmtId="0" fontId="16" fillId="3" borderId="15" xfId="3" applyFont="1" applyFill="1" applyBorder="1"/>
    <xf numFmtId="0" fontId="16" fillId="3" borderId="16" xfId="3" applyFont="1" applyFill="1" applyBorder="1"/>
    <xf numFmtId="0" fontId="16" fillId="3" borderId="15" xfId="3" applyFont="1" applyFill="1" applyBorder="1" applyAlignment="1">
      <alignment horizontal="left"/>
    </xf>
    <xf numFmtId="0" fontId="16" fillId="3" borderId="16" xfId="3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45" fillId="3" borderId="19" xfId="4" applyFont="1" applyFill="1" applyBorder="1" applyAlignment="1">
      <alignment horizontal="center"/>
    </xf>
    <xf numFmtId="0" fontId="45" fillId="3" borderId="12" xfId="4" applyFont="1" applyFill="1" applyBorder="1" applyAlignment="1">
      <alignment horizontal="center"/>
    </xf>
    <xf numFmtId="0" fontId="45" fillId="3" borderId="20" xfId="4" applyFont="1" applyFill="1" applyBorder="1" applyAlignment="1">
      <alignment horizontal="center"/>
    </xf>
    <xf numFmtId="0" fontId="43" fillId="0" borderId="21" xfId="0" applyFont="1" applyBorder="1" applyAlignment="1">
      <alignment horizontal="left" wrapText="1"/>
    </xf>
    <xf numFmtId="0" fontId="43" fillId="0" borderId="0" xfId="0" applyFont="1" applyAlignment="1">
      <alignment horizontal="left"/>
    </xf>
    <xf numFmtId="0" fontId="43" fillId="0" borderId="22" xfId="0" applyFont="1" applyBorder="1" applyAlignment="1">
      <alignment horizontal="left"/>
    </xf>
    <xf numFmtId="0" fontId="48" fillId="0" borderId="13" xfId="0" applyFont="1" applyBorder="1" applyAlignment="1">
      <alignment horizontal="center"/>
    </xf>
    <xf numFmtId="0" fontId="45" fillId="3" borderId="15" xfId="4" applyFont="1" applyFill="1" applyBorder="1" applyAlignment="1">
      <alignment horizontal="center"/>
    </xf>
    <xf numFmtId="0" fontId="45" fillId="3" borderId="16" xfId="4" applyFont="1" applyFill="1" applyBorder="1" applyAlignment="1">
      <alignment horizontal="center"/>
    </xf>
    <xf numFmtId="0" fontId="45" fillId="3" borderId="18" xfId="4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22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4" fillId="0" borderId="0" xfId="0" applyFont="1"/>
    <xf numFmtId="0" fontId="48" fillId="0" borderId="0" xfId="0" applyFont="1" applyAlignment="1">
      <alignment horizontal="center"/>
    </xf>
    <xf numFmtId="0" fontId="51" fillId="0" borderId="0" xfId="0" applyFont="1"/>
    <xf numFmtId="0" fontId="44" fillId="0" borderId="6" xfId="0" applyFont="1" applyBorder="1"/>
    <xf numFmtId="0" fontId="44" fillId="0" borderId="4" xfId="0" applyFont="1" applyBorder="1"/>
    <xf numFmtId="0" fontId="51" fillId="0" borderId="6" xfId="0" applyFont="1" applyBorder="1" applyAlignment="1">
      <alignment horizontal="center"/>
    </xf>
    <xf numFmtId="0" fontId="51" fillId="0" borderId="28" xfId="0" applyFont="1" applyBorder="1" applyAlignment="1">
      <alignment horizontal="center"/>
    </xf>
  </cellXfs>
  <cellStyles count="7">
    <cellStyle name="Currency" xfId="1" builtinId="4"/>
    <cellStyle name="Hyperlink" xfId="6" builtinId="8"/>
    <cellStyle name="Normal" xfId="0" builtinId="0"/>
    <cellStyle name="Normal 2" xfId="3" xr:uid="{368DDACE-A47A-47AA-862D-438951CE1C51}"/>
    <cellStyle name="Normal 2 2" xfId="4" xr:uid="{ABE08F3F-4521-40E7-A93A-154CB8B26BED}"/>
    <cellStyle name="Output" xfId="2" builtinId="21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2762250</xdr:colOff>
      <xdr:row>5</xdr:row>
      <xdr:rowOff>187675</xdr:rowOff>
    </xdr:from>
    <xdr:to>
      <xdr:col>2</xdr:col>
      <xdr:colOff>5057775</xdr:colOff>
      <xdr:row>8</xdr:row>
      <xdr:rowOff>51375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04AAC3-4E93-4160-B10C-E83154C6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1302100"/>
          <a:ext cx="2295525" cy="720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hollinr/Box%20Sync/Crops/Industrial%20Hemp%20-%20MASBDA%20-%202019/Resources%20-%20Proprietary/Budgets/2020%20Industrial%20Hemp%20Budge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ty list"/>
      <sheetName val="Introduction"/>
      <sheetName val="Hemp for Fiber"/>
      <sheetName val="Hemp for Grain"/>
      <sheetName val="Hemp for Fiber &amp; Grain"/>
      <sheetName val="Hemp for CBD"/>
      <sheetName val="Notes"/>
      <sheetName val="2020 Industrial Hemp Budget FIN"/>
    </sheetNames>
    <sheetDataSet>
      <sheetData sheetId="0">
        <row r="4">
          <cell r="W4" t="str">
            <v>Implement</v>
          </cell>
          <cell r="X4" t="str">
            <v>Cost/unit</v>
          </cell>
          <cell r="Y4" t="str">
            <v>Unit</v>
          </cell>
          <cell r="Z4" t="str">
            <v>Hours/acre</v>
          </cell>
          <cell r="AA4" t="str">
            <v>Something Else</v>
          </cell>
        </row>
        <row r="5">
          <cell r="W5" t="str">
            <v>Moving Large Square Bales</v>
          </cell>
          <cell r="X5">
            <v>0.23</v>
          </cell>
          <cell r="Y5" t="str">
            <v>$/bale/loaded mile</v>
          </cell>
        </row>
        <row r="6">
          <cell r="W6" t="str">
            <v>Hauling Hay</v>
          </cell>
          <cell r="X6">
            <v>55</v>
          </cell>
        </row>
        <row r="7">
          <cell r="W7" t="str">
            <v>Fertilizer application</v>
          </cell>
          <cell r="X7">
            <v>6.75</v>
          </cell>
          <cell r="Y7" t="str">
            <v>acre</v>
          </cell>
        </row>
        <row r="8">
          <cell r="W8" t="str">
            <v>Drying Plant</v>
          </cell>
          <cell r="X8">
            <v>1</v>
          </cell>
        </row>
        <row r="9">
          <cell r="W9" t="str">
            <v>Hauling Grain to bin</v>
          </cell>
          <cell r="X9">
            <v>0.25</v>
          </cell>
          <cell r="Y9" t="str">
            <v>cwt hauled</v>
          </cell>
        </row>
        <row r="10">
          <cell r="W10" t="str">
            <v>Grain Drying</v>
          </cell>
          <cell r="X10">
            <v>0.12</v>
          </cell>
          <cell r="Y10" t="str">
            <v>cwt dried/% moisture</v>
          </cell>
        </row>
        <row r="11">
          <cell r="W11" t="str">
            <v>Hauling grain to market</v>
          </cell>
          <cell r="X11">
            <v>0.45</v>
          </cell>
          <cell r="Y11" t="str">
            <v>cwt hauled</v>
          </cell>
        </row>
        <row r="12">
          <cell r="W12" t="str">
            <v>Hauling hemp for CBD to processor</v>
          </cell>
          <cell r="X12">
            <v>0.2</v>
          </cell>
          <cell r="Y12" t="str">
            <v>$/cwt/loaded mile</v>
          </cell>
        </row>
        <row r="13">
          <cell r="W13" t="str">
            <v>Seed cleaning</v>
          </cell>
          <cell r="X13">
            <v>0.04</v>
          </cell>
          <cell r="Y13" t="str">
            <v>pound cleaned</v>
          </cell>
        </row>
        <row r="14">
          <cell r="W14" t="str">
            <v>Large Square bales</v>
          </cell>
          <cell r="X14">
            <v>17</v>
          </cell>
          <cell r="Y14" t="str">
            <v>one ton bale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2">
      <a:majorFont>
        <a:latin typeface="Segoe UI Black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C9F6-01FE-455C-AA5B-6487F3D18062}">
  <dimension ref="B1:D15"/>
  <sheetViews>
    <sheetView showGridLines="0" zoomScaleNormal="100" workbookViewId="0">
      <selection activeCell="E11" sqref="E11"/>
    </sheetView>
  </sheetViews>
  <sheetFormatPr defaultColWidth="8.88671875" defaultRowHeight="16.5" x14ac:dyDescent="0.3"/>
  <cols>
    <col min="1" max="1" width="3" style="17" customWidth="1"/>
    <col min="2" max="2" width="8.88671875" style="17"/>
    <col min="3" max="3" width="72" style="17" customWidth="1"/>
    <col min="4" max="16384" width="8.88671875" style="17"/>
  </cols>
  <sheetData>
    <row r="1" spans="2:4" ht="17.25" thickBot="1" x14ac:dyDescent="0.35"/>
    <row r="2" spans="2:4" ht="21" thickBot="1" x14ac:dyDescent="0.4">
      <c r="B2" s="419" t="s">
        <v>242</v>
      </c>
      <c r="C2" s="420"/>
      <c r="D2" s="420"/>
    </row>
    <row r="3" spans="2:4" x14ac:dyDescent="0.3">
      <c r="B3" s="421" t="s">
        <v>346</v>
      </c>
      <c r="C3" s="421"/>
      <c r="D3" s="421"/>
    </row>
    <row r="4" spans="2:4" x14ac:dyDescent="0.3">
      <c r="B4" s="422"/>
      <c r="C4" s="422"/>
      <c r="D4" s="422"/>
    </row>
    <row r="5" spans="2:4" x14ac:dyDescent="0.3">
      <c r="B5" s="18"/>
      <c r="C5" s="19" t="s">
        <v>243</v>
      </c>
      <c r="D5" s="18"/>
    </row>
    <row r="6" spans="2:4" x14ac:dyDescent="0.3">
      <c r="B6" s="18"/>
      <c r="C6" s="20" t="s">
        <v>345</v>
      </c>
      <c r="D6" s="18"/>
    </row>
    <row r="7" spans="2:4" x14ac:dyDescent="0.3">
      <c r="B7" s="18"/>
      <c r="C7" s="20" t="s">
        <v>244</v>
      </c>
      <c r="D7" s="18"/>
    </row>
    <row r="8" spans="2:4" ht="34.5" customHeight="1" x14ac:dyDescent="0.3">
      <c r="B8" s="18"/>
      <c r="C8" s="18"/>
      <c r="D8" s="18"/>
    </row>
    <row r="9" spans="2:4" ht="50.25" customHeight="1" x14ac:dyDescent="0.3">
      <c r="B9" s="18"/>
      <c r="C9" s="21" t="s">
        <v>245</v>
      </c>
      <c r="D9" s="18"/>
    </row>
    <row r="10" spans="2:4" x14ac:dyDescent="0.3">
      <c r="B10" s="18"/>
      <c r="C10" s="18"/>
      <c r="D10" s="18"/>
    </row>
    <row r="11" spans="2:4" x14ac:dyDescent="0.3">
      <c r="B11" s="18"/>
      <c r="C11" s="18"/>
      <c r="D11" s="18"/>
    </row>
    <row r="12" spans="2:4" x14ac:dyDescent="0.3">
      <c r="B12" s="18"/>
      <c r="C12" s="22" t="s">
        <v>246</v>
      </c>
      <c r="D12" s="18"/>
    </row>
    <row r="13" spans="2:4" ht="15.75" customHeight="1" x14ac:dyDescent="0.3">
      <c r="B13" s="18"/>
      <c r="C13" s="18"/>
      <c r="D13" s="18"/>
    </row>
    <row r="14" spans="2:4" ht="17.25" thickBot="1" x14ac:dyDescent="0.35">
      <c r="B14" s="18"/>
      <c r="C14" s="18"/>
      <c r="D14" s="18"/>
    </row>
    <row r="15" spans="2:4" ht="21" thickBot="1" x14ac:dyDescent="0.4">
      <c r="B15" s="423"/>
      <c r="C15" s="424"/>
      <c r="D15" s="424"/>
    </row>
  </sheetData>
  <sheetProtection sheet="1" objects="1" scenarios="1" selectLockedCells="1" selectUnlockedCells="1"/>
  <mergeCells count="4">
    <mergeCell ref="B2:D2"/>
    <mergeCell ref="B3:D3"/>
    <mergeCell ref="B4:D4"/>
    <mergeCell ref="B15:D1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5"/>
  <sheetViews>
    <sheetView tabSelected="1" showOutlineSymbols="0" topLeftCell="B2" zoomScaleNormal="100" zoomScaleSheetLayoutView="120" workbookViewId="0">
      <selection activeCell="C10" sqref="C10"/>
    </sheetView>
  </sheetViews>
  <sheetFormatPr defaultColWidth="0" defaultRowHeight="13.5" customHeight="1" zeroHeight="1" x14ac:dyDescent="0.3"/>
  <cols>
    <col min="1" max="1" width="2.77734375" style="27" customWidth="1"/>
    <col min="2" max="2" width="33.6640625" style="27" customWidth="1"/>
    <col min="3" max="3" width="10.109375" style="27" customWidth="1"/>
    <col min="4" max="4" width="12.77734375" style="27" customWidth="1"/>
    <col min="5" max="5" width="8.5546875" style="27" customWidth="1"/>
    <col min="6" max="6" width="12.77734375" style="27" customWidth="1"/>
    <col min="7" max="7" width="8.5546875" style="27" customWidth="1"/>
    <col min="8" max="8" width="12.77734375" style="27" customWidth="1"/>
    <col min="9" max="9" width="2.77734375" style="27" customWidth="1"/>
    <col min="10" max="11" width="8.6640625" style="27" hidden="1" customWidth="1"/>
    <col min="12" max="21" width="8.88671875" style="27" hidden="1" customWidth="1"/>
    <col min="22" max="22" width="9.6640625" style="27" hidden="1" customWidth="1"/>
    <col min="23" max="69" width="8.88671875" style="27" hidden="1" customWidth="1"/>
    <col min="70" max="16384" width="8.6640625" style="27" hidden="1"/>
  </cols>
  <sheetData>
    <row r="1" spans="2:15" ht="13.5" customHeight="1" x14ac:dyDescent="0.3"/>
    <row r="2" spans="2:15" ht="19.5" customHeight="1" x14ac:dyDescent="0.35">
      <c r="B2" s="23" t="s">
        <v>204</v>
      </c>
      <c r="C2" s="24" t="s">
        <v>75</v>
      </c>
      <c r="D2" s="24" t="s">
        <v>247</v>
      </c>
      <c r="E2" s="24" t="s">
        <v>75</v>
      </c>
      <c r="F2" s="24" t="s">
        <v>247</v>
      </c>
      <c r="G2" s="24" t="s">
        <v>75</v>
      </c>
      <c r="H2" s="24" t="s">
        <v>247</v>
      </c>
      <c r="I2" s="25"/>
      <c r="J2" s="26"/>
      <c r="K2" s="412"/>
      <c r="L2" s="26"/>
      <c r="M2" s="26"/>
      <c r="N2" s="26"/>
    </row>
    <row r="3" spans="2:15" ht="17.25" customHeight="1" x14ac:dyDescent="0.3">
      <c r="B3" s="35" t="s">
        <v>20</v>
      </c>
      <c r="C3" s="28"/>
      <c r="D3" s="28"/>
      <c r="E3" s="28"/>
      <c r="F3" s="28"/>
      <c r="G3" s="28"/>
      <c r="H3" s="28"/>
      <c r="I3" s="25"/>
      <c r="J3" s="26"/>
      <c r="K3" s="26"/>
      <c r="L3" s="26"/>
      <c r="M3" s="26"/>
      <c r="N3" s="26"/>
    </row>
    <row r="4" spans="2:15" ht="17.25" customHeight="1" x14ac:dyDescent="0.3">
      <c r="B4" s="27" t="s">
        <v>110</v>
      </c>
      <c r="C4" s="36">
        <v>250</v>
      </c>
      <c r="D4" s="37" t="s">
        <v>248</v>
      </c>
      <c r="E4" s="38">
        <f>C4/2000</f>
        <v>0.125</v>
      </c>
      <c r="F4" s="37" t="s">
        <v>251</v>
      </c>
      <c r="G4" s="39">
        <f t="shared" ref="G4:G9" si="0">C4/20</f>
        <v>12.5</v>
      </c>
      <c r="H4" s="37" t="s">
        <v>252</v>
      </c>
      <c r="O4" s="413"/>
    </row>
    <row r="5" spans="2:15" ht="17.25" customHeight="1" x14ac:dyDescent="0.3">
      <c r="B5" s="27" t="s">
        <v>335</v>
      </c>
      <c r="C5" s="36">
        <v>106</v>
      </c>
      <c r="D5" s="37" t="s">
        <v>248</v>
      </c>
      <c r="E5" s="38">
        <f t="shared" ref="E5:E23" si="1">C5/2000</f>
        <v>5.2999999999999999E-2</v>
      </c>
      <c r="F5" s="37" t="s">
        <v>251</v>
      </c>
      <c r="G5" s="39">
        <f t="shared" si="0"/>
        <v>5.3</v>
      </c>
      <c r="H5" s="37" t="s">
        <v>252</v>
      </c>
      <c r="I5" s="29"/>
    </row>
    <row r="6" spans="2:15" ht="17.25" customHeight="1" x14ac:dyDescent="0.3">
      <c r="B6" s="27" t="s">
        <v>126</v>
      </c>
      <c r="C6" s="36">
        <v>400</v>
      </c>
      <c r="D6" s="37" t="s">
        <v>248</v>
      </c>
      <c r="E6" s="38">
        <f t="shared" si="1"/>
        <v>0.2</v>
      </c>
      <c r="F6" s="37" t="s">
        <v>251</v>
      </c>
      <c r="G6" s="39">
        <f t="shared" si="0"/>
        <v>20</v>
      </c>
      <c r="H6" s="37" t="s">
        <v>252</v>
      </c>
      <c r="I6" s="29"/>
    </row>
    <row r="7" spans="2:15" ht="17.25" customHeight="1" x14ac:dyDescent="0.3">
      <c r="B7" s="27" t="s">
        <v>219</v>
      </c>
      <c r="C7" s="36">
        <v>500</v>
      </c>
      <c r="D7" s="37" t="s">
        <v>248</v>
      </c>
      <c r="E7" s="38">
        <f t="shared" si="1"/>
        <v>0.25</v>
      </c>
      <c r="F7" s="37" t="s">
        <v>251</v>
      </c>
      <c r="G7" s="39">
        <f t="shared" si="0"/>
        <v>25</v>
      </c>
      <c r="H7" s="37" t="s">
        <v>252</v>
      </c>
      <c r="I7" s="29"/>
    </row>
    <row r="8" spans="2:15" ht="17.25" customHeight="1" x14ac:dyDescent="0.3">
      <c r="B8" s="27" t="s">
        <v>112</v>
      </c>
      <c r="C8" s="36">
        <v>185</v>
      </c>
      <c r="D8" s="37" t="s">
        <v>248</v>
      </c>
      <c r="E8" s="38">
        <f t="shared" si="1"/>
        <v>9.2499999999999999E-2</v>
      </c>
      <c r="F8" s="37" t="s">
        <v>251</v>
      </c>
      <c r="G8" s="39">
        <f t="shared" si="0"/>
        <v>9.25</v>
      </c>
      <c r="H8" s="37" t="s">
        <v>252</v>
      </c>
      <c r="I8" s="29"/>
      <c r="O8" s="413"/>
    </row>
    <row r="9" spans="2:15" ht="17.25" customHeight="1" x14ac:dyDescent="0.3">
      <c r="B9" s="27" t="s">
        <v>108</v>
      </c>
      <c r="C9" s="36">
        <v>48</v>
      </c>
      <c r="D9" s="37" t="s">
        <v>248</v>
      </c>
      <c r="E9" s="38">
        <f t="shared" si="1"/>
        <v>2.4E-2</v>
      </c>
      <c r="F9" s="37" t="s">
        <v>251</v>
      </c>
      <c r="G9" s="39">
        <f t="shared" si="0"/>
        <v>2.4</v>
      </c>
      <c r="H9" s="37" t="s">
        <v>252</v>
      </c>
      <c r="I9" s="29"/>
    </row>
    <row r="10" spans="2:15" ht="17.25" customHeight="1" x14ac:dyDescent="0.3">
      <c r="B10" s="27" t="s">
        <v>118</v>
      </c>
      <c r="C10" s="36">
        <v>4.5</v>
      </c>
      <c r="D10" s="37" t="s">
        <v>249</v>
      </c>
      <c r="E10" s="38">
        <f>C10/56</f>
        <v>8.0357142857142863E-2</v>
      </c>
      <c r="F10" s="37" t="s">
        <v>251</v>
      </c>
      <c r="G10" s="39">
        <f>C10/56*100</f>
        <v>8.0357142857142865</v>
      </c>
      <c r="H10" s="37" t="s">
        <v>252</v>
      </c>
      <c r="I10" s="29"/>
    </row>
    <row r="11" spans="2:15" ht="17.25" customHeight="1" x14ac:dyDescent="0.3">
      <c r="B11" s="27" t="s">
        <v>164</v>
      </c>
      <c r="C11" s="36">
        <v>4.5</v>
      </c>
      <c r="D11" s="37" t="s">
        <v>249</v>
      </c>
      <c r="E11" s="38">
        <f>C11/56</f>
        <v>8.0357142857142863E-2</v>
      </c>
      <c r="F11" s="37" t="s">
        <v>251</v>
      </c>
      <c r="G11" s="39">
        <f>C11/56*100</f>
        <v>8.0357142857142865</v>
      </c>
      <c r="H11" s="37" t="s">
        <v>252</v>
      </c>
      <c r="I11" s="29"/>
    </row>
    <row r="12" spans="2:15" ht="17.25" customHeight="1" x14ac:dyDescent="0.3">
      <c r="B12" s="27" t="s">
        <v>114</v>
      </c>
      <c r="C12" s="36">
        <v>171</v>
      </c>
      <c r="D12" s="37" t="s">
        <v>248</v>
      </c>
      <c r="E12" s="38">
        <f t="shared" si="1"/>
        <v>8.5500000000000007E-2</v>
      </c>
      <c r="F12" s="37" t="s">
        <v>251</v>
      </c>
      <c r="G12" s="39">
        <f t="shared" ref="G12:G16" si="2">C12/20</f>
        <v>8.5500000000000007</v>
      </c>
      <c r="H12" s="37" t="s">
        <v>252</v>
      </c>
      <c r="I12" s="29"/>
      <c r="O12" s="413"/>
    </row>
    <row r="13" spans="2:15" ht="17.25" customHeight="1" x14ac:dyDescent="0.3">
      <c r="B13" s="27" t="s">
        <v>111</v>
      </c>
      <c r="C13" s="36">
        <v>100</v>
      </c>
      <c r="D13" s="37" t="s">
        <v>248</v>
      </c>
      <c r="E13" s="38">
        <f t="shared" si="1"/>
        <v>0.05</v>
      </c>
      <c r="F13" s="37" t="s">
        <v>251</v>
      </c>
      <c r="G13" s="39">
        <f t="shared" si="2"/>
        <v>5</v>
      </c>
      <c r="H13" s="37" t="s">
        <v>252</v>
      </c>
      <c r="O13" s="413"/>
    </row>
    <row r="14" spans="2:15" ht="17.25" customHeight="1" x14ac:dyDescent="0.3">
      <c r="B14" s="27" t="s">
        <v>125</v>
      </c>
      <c r="C14" s="36">
        <v>3500</v>
      </c>
      <c r="D14" s="37" t="s">
        <v>248</v>
      </c>
      <c r="E14" s="38">
        <f t="shared" si="1"/>
        <v>1.75</v>
      </c>
      <c r="F14" s="37" t="s">
        <v>251</v>
      </c>
      <c r="G14" s="39">
        <f t="shared" si="2"/>
        <v>175</v>
      </c>
      <c r="H14" s="37" t="s">
        <v>252</v>
      </c>
      <c r="I14" s="29"/>
    </row>
    <row r="15" spans="2:15" ht="17.25" customHeight="1" x14ac:dyDescent="0.3">
      <c r="B15" s="27" t="s">
        <v>132</v>
      </c>
      <c r="C15" s="36">
        <v>842</v>
      </c>
      <c r="D15" s="37" t="s">
        <v>248</v>
      </c>
      <c r="E15" s="38">
        <f t="shared" si="1"/>
        <v>0.42099999999999999</v>
      </c>
      <c r="F15" s="37" t="s">
        <v>251</v>
      </c>
      <c r="G15" s="39">
        <f t="shared" si="2"/>
        <v>42.1</v>
      </c>
      <c r="H15" s="37" t="s">
        <v>252</v>
      </c>
      <c r="I15" s="29"/>
    </row>
    <row r="16" spans="2:15" ht="17.25" customHeight="1" x14ac:dyDescent="0.3">
      <c r="B16" s="27" t="s">
        <v>117</v>
      </c>
      <c r="C16" s="36">
        <v>840</v>
      </c>
      <c r="D16" s="37" t="s">
        <v>248</v>
      </c>
      <c r="E16" s="38">
        <f t="shared" si="1"/>
        <v>0.42</v>
      </c>
      <c r="F16" s="37" t="s">
        <v>251</v>
      </c>
      <c r="G16" s="39">
        <f t="shared" si="2"/>
        <v>42</v>
      </c>
      <c r="H16" s="37" t="s">
        <v>252</v>
      </c>
      <c r="I16" s="29"/>
    </row>
    <row r="17" spans="2:22" ht="17.25" customHeight="1" x14ac:dyDescent="0.3">
      <c r="B17" s="27" t="s">
        <v>128</v>
      </c>
      <c r="C17" s="36">
        <v>20</v>
      </c>
      <c r="D17" s="37" t="s">
        <v>250</v>
      </c>
      <c r="E17" s="38">
        <f>C17</f>
        <v>20</v>
      </c>
      <c r="F17" s="37" t="s">
        <v>250</v>
      </c>
      <c r="G17" s="39">
        <f>C17</f>
        <v>20</v>
      </c>
      <c r="H17" s="37" t="s">
        <v>250</v>
      </c>
      <c r="I17" s="29"/>
    </row>
    <row r="18" spans="2:22" ht="17.25" customHeight="1" x14ac:dyDescent="0.3">
      <c r="B18" s="27" t="s">
        <v>169</v>
      </c>
      <c r="C18" s="36">
        <v>100</v>
      </c>
      <c r="D18" s="37" t="s">
        <v>248</v>
      </c>
      <c r="E18" s="38">
        <f>C18/2000</f>
        <v>0.05</v>
      </c>
      <c r="F18" s="37" t="s">
        <v>251</v>
      </c>
      <c r="G18" s="39">
        <f t="shared" ref="G18:G23" si="3">C18/20</f>
        <v>5</v>
      </c>
      <c r="H18" s="37" t="s">
        <v>252</v>
      </c>
    </row>
    <row r="19" spans="2:22" ht="17.25" customHeight="1" x14ac:dyDescent="0.3">
      <c r="B19" s="27" t="s">
        <v>157</v>
      </c>
      <c r="C19" s="36">
        <v>42.75</v>
      </c>
      <c r="D19" s="37" t="s">
        <v>248</v>
      </c>
      <c r="E19" s="38">
        <f>C19/2000</f>
        <v>2.1375000000000002E-2</v>
      </c>
      <c r="F19" s="37" t="s">
        <v>251</v>
      </c>
      <c r="G19" s="39">
        <f t="shared" si="3"/>
        <v>2.1375000000000002</v>
      </c>
      <c r="H19" s="37" t="s">
        <v>252</v>
      </c>
    </row>
    <row r="20" spans="2:22" ht="17.25" customHeight="1" x14ac:dyDescent="0.3">
      <c r="B20" s="27" t="s">
        <v>156</v>
      </c>
      <c r="C20" s="36">
        <v>35</v>
      </c>
      <c r="D20" s="37" t="s">
        <v>248</v>
      </c>
      <c r="E20" s="38">
        <f>C20/2000</f>
        <v>1.7500000000000002E-2</v>
      </c>
      <c r="F20" s="37" t="s">
        <v>251</v>
      </c>
      <c r="G20" s="39">
        <f t="shared" si="3"/>
        <v>1.75</v>
      </c>
      <c r="H20" s="37" t="s">
        <v>252</v>
      </c>
    </row>
    <row r="21" spans="2:22" ht="17.25" customHeight="1" x14ac:dyDescent="0.3">
      <c r="B21" s="27" t="s">
        <v>115</v>
      </c>
      <c r="C21" s="36">
        <v>180</v>
      </c>
      <c r="D21" s="37" t="s">
        <v>248</v>
      </c>
      <c r="E21" s="38">
        <f t="shared" si="1"/>
        <v>0.09</v>
      </c>
      <c r="F21" s="37" t="s">
        <v>251</v>
      </c>
      <c r="G21" s="39">
        <f t="shared" si="3"/>
        <v>9</v>
      </c>
      <c r="H21" s="37" t="s">
        <v>252</v>
      </c>
      <c r="I21" s="29"/>
    </row>
    <row r="22" spans="2:22" ht="17.25" customHeight="1" x14ac:dyDescent="0.3">
      <c r="B22" s="27" t="s">
        <v>113</v>
      </c>
      <c r="C22" s="36">
        <v>370</v>
      </c>
      <c r="D22" s="37" t="s">
        <v>248</v>
      </c>
      <c r="E22" s="38">
        <f t="shared" si="1"/>
        <v>0.185</v>
      </c>
      <c r="F22" s="37" t="s">
        <v>251</v>
      </c>
      <c r="G22" s="39">
        <f t="shared" si="3"/>
        <v>18.5</v>
      </c>
      <c r="H22" s="37" t="s">
        <v>252</v>
      </c>
      <c r="O22" s="413"/>
    </row>
    <row r="23" spans="2:22" ht="17.25" customHeight="1" x14ac:dyDescent="0.3">
      <c r="B23" s="27" t="s">
        <v>116</v>
      </c>
      <c r="C23" s="36">
        <v>260</v>
      </c>
      <c r="D23" s="37" t="s">
        <v>248</v>
      </c>
      <c r="E23" s="38">
        <f t="shared" si="1"/>
        <v>0.13</v>
      </c>
      <c r="F23" s="37" t="s">
        <v>251</v>
      </c>
      <c r="G23" s="39">
        <f t="shared" si="3"/>
        <v>13</v>
      </c>
      <c r="H23" s="37" t="s">
        <v>252</v>
      </c>
      <c r="O23" s="413"/>
      <c r="R23" s="413"/>
    </row>
    <row r="24" spans="2:22" ht="17.25" customHeight="1" x14ac:dyDescent="0.3"/>
    <row r="25" spans="2:22" ht="17.25" customHeight="1" x14ac:dyDescent="0.3">
      <c r="B25" s="35" t="s">
        <v>215</v>
      </c>
    </row>
    <row r="26" spans="2:22" ht="17.25" customHeight="1" x14ac:dyDescent="0.3">
      <c r="B26" s="27" t="s">
        <v>205</v>
      </c>
      <c r="C26" s="36">
        <v>22.5</v>
      </c>
      <c r="D26" s="37" t="s">
        <v>252</v>
      </c>
      <c r="E26" s="30"/>
      <c r="O26" s="413"/>
    </row>
    <row r="27" spans="2:22" ht="17.25" customHeight="1" x14ac:dyDescent="0.3">
      <c r="B27" s="27" t="s">
        <v>338</v>
      </c>
      <c r="C27" s="36">
        <v>300</v>
      </c>
      <c r="D27" s="37" t="s">
        <v>253</v>
      </c>
      <c r="E27" s="410">
        <v>0.5</v>
      </c>
      <c r="F27" s="37" t="s">
        <v>342</v>
      </c>
      <c r="O27" s="413"/>
      <c r="V27" s="414"/>
    </row>
    <row r="28" spans="2:22" ht="17.25" customHeight="1" x14ac:dyDescent="0.3">
      <c r="B28" s="27" t="s">
        <v>339</v>
      </c>
      <c r="C28" s="36">
        <v>600</v>
      </c>
      <c r="D28" s="37" t="s">
        <v>253</v>
      </c>
      <c r="E28" s="410">
        <v>0.5</v>
      </c>
      <c r="F28" s="37" t="s">
        <v>343</v>
      </c>
    </row>
    <row r="29" spans="2:22" ht="17.25" customHeight="1" x14ac:dyDescent="0.3">
      <c r="B29" s="27" t="s">
        <v>337</v>
      </c>
      <c r="C29" s="39">
        <f>(C27*E27)+(C28*E28)</f>
        <v>450</v>
      </c>
      <c r="D29" s="37" t="s">
        <v>253</v>
      </c>
      <c r="E29" s="37"/>
      <c r="F29" s="37"/>
    </row>
    <row r="30" spans="2:22" ht="17.25" customHeight="1" x14ac:dyDescent="0.3">
      <c r="B30" s="27" t="s">
        <v>340</v>
      </c>
      <c r="C30" s="36">
        <v>350</v>
      </c>
      <c r="D30" s="37" t="s">
        <v>253</v>
      </c>
      <c r="E30" s="410">
        <v>0.7</v>
      </c>
      <c r="F30" s="37" t="s">
        <v>336</v>
      </c>
      <c r="G30" s="40">
        <v>90</v>
      </c>
      <c r="H30" s="37" t="s">
        <v>254</v>
      </c>
      <c r="O30" s="413"/>
      <c r="V30" s="414"/>
    </row>
    <row r="31" spans="2:22" ht="17.25" customHeight="1" x14ac:dyDescent="0.3">
      <c r="B31" s="27" t="s">
        <v>341</v>
      </c>
      <c r="C31" s="36">
        <v>350</v>
      </c>
      <c r="D31" s="37" t="s">
        <v>253</v>
      </c>
      <c r="E31" s="410">
        <v>0.3</v>
      </c>
      <c r="F31" s="37" t="s">
        <v>336</v>
      </c>
    </row>
    <row r="32" spans="2:22" ht="17.25" customHeight="1" x14ac:dyDescent="0.3">
      <c r="B32" s="27" t="s">
        <v>344</v>
      </c>
      <c r="C32" s="39">
        <f>(C30*E30)+(C31*E31)</f>
        <v>350</v>
      </c>
      <c r="D32" s="37" t="s">
        <v>253</v>
      </c>
      <c r="F32" s="37"/>
    </row>
    <row r="33" spans="2:22" ht="17.25" customHeight="1" x14ac:dyDescent="0.3">
      <c r="B33" s="27" t="s">
        <v>206</v>
      </c>
      <c r="C33" s="36">
        <v>128</v>
      </c>
      <c r="D33" s="37" t="s">
        <v>252</v>
      </c>
      <c r="F33" s="31"/>
      <c r="O33" s="413"/>
    </row>
    <row r="34" spans="2:22" ht="17.25" customHeight="1" x14ac:dyDescent="0.3">
      <c r="B34" s="27" t="s">
        <v>203</v>
      </c>
      <c r="C34" s="36">
        <v>2250</v>
      </c>
      <c r="D34" s="37" t="s">
        <v>253</v>
      </c>
      <c r="I34" s="32"/>
      <c r="J34" s="26"/>
      <c r="K34" s="412"/>
      <c r="L34" s="26"/>
      <c r="M34" s="26"/>
      <c r="N34" s="26"/>
      <c r="O34" s="413"/>
      <c r="V34" s="414"/>
    </row>
    <row r="35" spans="2:22" ht="17.25" customHeight="1" x14ac:dyDescent="0.3">
      <c r="B35" s="27" t="s">
        <v>214</v>
      </c>
      <c r="C35" s="415">
        <v>0.01</v>
      </c>
      <c r="D35" s="37" t="s">
        <v>255</v>
      </c>
      <c r="I35" s="32"/>
      <c r="J35" s="26"/>
      <c r="L35" s="26"/>
      <c r="M35" s="26"/>
      <c r="N35" s="26"/>
    </row>
    <row r="36" spans="2:22" ht="17.25" customHeight="1" x14ac:dyDescent="0.3">
      <c r="B36" s="27" t="s">
        <v>217</v>
      </c>
      <c r="C36" s="416">
        <v>7.7499999999999999E-2</v>
      </c>
      <c r="D36" s="37" t="s">
        <v>255</v>
      </c>
      <c r="I36" s="32"/>
      <c r="J36" s="26"/>
      <c r="K36" s="412"/>
      <c r="L36" s="26"/>
      <c r="M36" s="26"/>
      <c r="N36" s="26"/>
    </row>
    <row r="37" spans="2:22" ht="17.25" customHeight="1" x14ac:dyDescent="0.3">
      <c r="B37" s="27" t="s">
        <v>207</v>
      </c>
      <c r="C37" s="417">
        <f ca="1">NOW()</f>
        <v>45581.584163425927</v>
      </c>
      <c r="D37" s="37" t="s">
        <v>256</v>
      </c>
      <c r="J37" s="26"/>
      <c r="K37" s="26"/>
      <c r="L37" s="26"/>
      <c r="M37" s="26"/>
      <c r="N37" s="26"/>
    </row>
    <row r="38" spans="2:22" ht="17.25" customHeight="1" x14ac:dyDescent="0.3"/>
    <row r="39" spans="2:22" ht="13.5" hidden="1" customHeight="1" x14ac:dyDescent="0.3">
      <c r="I39" s="33"/>
    </row>
    <row r="41" spans="2:22" ht="13.5" hidden="1" customHeight="1" x14ac:dyDescent="0.3">
      <c r="B41" s="31"/>
    </row>
    <row r="42" spans="2:22" ht="13.5" hidden="1" customHeight="1" x14ac:dyDescent="0.3">
      <c r="B42" s="34"/>
    </row>
    <row r="44" spans="2:22" ht="13.5" hidden="1" customHeight="1" x14ac:dyDescent="0.3">
      <c r="B44" s="32"/>
    </row>
    <row r="45" spans="2:22" ht="13.5" hidden="1" customHeight="1" x14ac:dyDescent="0.3">
      <c r="B45" s="32"/>
    </row>
  </sheetData>
  <sheetProtection sheet="1" objects="1" scenarios="1"/>
  <phoneticPr fontId="0" type="noConversion"/>
  <pageMargins left="0.7" right="0.3" top="0.7" bottom="0.5" header="0" footer="0"/>
  <pageSetup scale="93" orientation="landscape" r:id="rId1"/>
  <headerFooter alignWithMargins="0"/>
  <ignoredErrors>
    <ignoredError sqref="E17 G17" formula="1"/>
    <ignoredError sqref="C37 C32 C2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73"/>
  <sheetViews>
    <sheetView showOutlineSymbols="0" topLeftCell="A54" zoomScaleNormal="100" zoomScaleSheetLayoutView="80" workbookViewId="0">
      <selection activeCell="D26" sqref="D26"/>
    </sheetView>
  </sheetViews>
  <sheetFormatPr defaultColWidth="0" defaultRowHeight="17.25" zeroHeight="1" x14ac:dyDescent="0.3"/>
  <cols>
    <col min="1" max="1" width="2.77734375" style="41" customWidth="1"/>
    <col min="2" max="2" width="32.5546875" style="41" customWidth="1"/>
    <col min="3" max="6" width="10.77734375" style="41" customWidth="1"/>
    <col min="7" max="7" width="16.77734375" style="41" customWidth="1"/>
    <col min="8" max="9" width="9.6640625" style="41" customWidth="1"/>
    <col min="10" max="10" width="3.77734375" style="41" customWidth="1"/>
    <col min="11" max="11" width="16.77734375" style="41" customWidth="1"/>
    <col min="12" max="12" width="6.77734375" style="41" customWidth="1"/>
    <col min="13" max="13" width="9.109375" style="41" customWidth="1"/>
    <col min="14" max="14" width="8.33203125" style="41" customWidth="1"/>
    <col min="15" max="15" width="9" style="41" customWidth="1"/>
    <col min="16" max="16" width="8.77734375" style="41" customWidth="1"/>
    <col min="17" max="17" width="9" style="41" customWidth="1"/>
    <col min="18" max="18" width="2.77734375" style="41" customWidth="1"/>
    <col min="19" max="19" width="16.77734375" style="41" customWidth="1"/>
    <col min="20" max="20" width="6.77734375" style="44" customWidth="1"/>
    <col min="21" max="21" width="9.44140625" style="44" customWidth="1"/>
    <col min="22" max="22" width="8.109375" style="44" customWidth="1"/>
    <col min="23" max="23" width="8.33203125" style="44" customWidth="1"/>
    <col min="24" max="24" width="8.77734375" style="41" customWidth="1"/>
    <col min="25" max="25" width="9.6640625" style="41" customWidth="1"/>
    <col min="26" max="16384" width="9.6640625" style="41" hidden="1"/>
  </cols>
  <sheetData>
    <row r="1" spans="1:26" ht="21" thickBot="1" x14ac:dyDescent="0.4">
      <c r="B1" s="425" t="s">
        <v>258</v>
      </c>
      <c r="C1" s="426"/>
      <c r="D1" s="42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7"/>
      <c r="U1" s="117"/>
      <c r="V1" s="117"/>
      <c r="W1" s="117"/>
      <c r="X1" s="116"/>
      <c r="Y1" s="118"/>
    </row>
    <row r="2" spans="1:26" x14ac:dyDescent="0.3">
      <c r="B2" s="42"/>
      <c r="K2" s="43" t="s">
        <v>170</v>
      </c>
      <c r="L2" s="43" t="s">
        <v>89</v>
      </c>
      <c r="M2" s="44"/>
      <c r="N2" s="44" t="s">
        <v>88</v>
      </c>
      <c r="O2" s="102">
        <v>307</v>
      </c>
      <c r="P2" s="427"/>
      <c r="Q2" s="427"/>
      <c r="R2" s="44"/>
      <c r="S2" s="43" t="s">
        <v>334</v>
      </c>
      <c r="T2" s="43" t="s">
        <v>89</v>
      </c>
      <c r="V2" s="44" t="s">
        <v>88</v>
      </c>
      <c r="W2" s="44">
        <f>O2</f>
        <v>307</v>
      </c>
      <c r="X2" s="427"/>
      <c r="Y2" s="427"/>
    </row>
    <row r="3" spans="1:26" x14ac:dyDescent="0.3">
      <c r="B3" s="160" t="s">
        <v>199</v>
      </c>
      <c r="C3" s="91"/>
      <c r="D3" s="91"/>
      <c r="E3" s="91"/>
      <c r="F3" s="91"/>
      <c r="G3" s="91"/>
      <c r="L3" s="44" t="s">
        <v>92</v>
      </c>
      <c r="M3" s="44" t="s">
        <v>257</v>
      </c>
      <c r="N3" s="44" t="s">
        <v>92</v>
      </c>
      <c r="O3" s="44" t="s">
        <v>93</v>
      </c>
      <c r="P3" s="44" t="s">
        <v>98</v>
      </c>
      <c r="Q3" s="44" t="s">
        <v>97</v>
      </c>
      <c r="R3" s="44"/>
      <c r="T3" s="44" t="s">
        <v>92</v>
      </c>
      <c r="U3" s="44" t="s">
        <v>257</v>
      </c>
      <c r="V3" s="44" t="s">
        <v>92</v>
      </c>
      <c r="W3" s="44" t="s">
        <v>93</v>
      </c>
      <c r="X3" s="44" t="s">
        <v>98</v>
      </c>
      <c r="Y3" s="44" t="s">
        <v>97</v>
      </c>
      <c r="Z3" s="45"/>
    </row>
    <row r="4" spans="1:26" x14ac:dyDescent="0.3">
      <c r="B4" s="161"/>
      <c r="C4" s="162" t="s">
        <v>21</v>
      </c>
      <c r="D4" s="162"/>
      <c r="E4" s="162"/>
      <c r="F4" s="162"/>
      <c r="G4" s="161"/>
      <c r="H4" s="161"/>
      <c r="I4" s="161"/>
      <c r="K4" s="52" t="str">
        <f t="shared" ref="K4:K13" si="0">B23</f>
        <v>Corn silage</v>
      </c>
      <c r="L4" s="97">
        <v>31.788445591080809</v>
      </c>
      <c r="M4" s="98">
        <v>0.15</v>
      </c>
      <c r="N4" s="53">
        <f>L4*(1+M4)</f>
        <v>36.55671242974293</v>
      </c>
      <c r="O4" s="55">
        <f t="shared" ref="O4:O13" si="1">N4*W$2</f>
        <v>11222.910715931079</v>
      </c>
      <c r="P4" s="153">
        <v>0.35</v>
      </c>
      <c r="Q4" s="56">
        <f>+O4*P4</f>
        <v>3928.0187505758772</v>
      </c>
      <c r="R4" s="61"/>
      <c r="S4" s="52" t="str">
        <f t="shared" ref="S4:S13" si="2">B23</f>
        <v>Corn silage</v>
      </c>
      <c r="T4" s="103">
        <v>38</v>
      </c>
      <c r="U4" s="98">
        <v>0.15</v>
      </c>
      <c r="V4" s="53">
        <f>T4*(1+U4)</f>
        <v>43.699999999999996</v>
      </c>
      <c r="W4" s="55">
        <f>V4*W$2</f>
        <v>13415.899999999998</v>
      </c>
      <c r="X4" s="153">
        <v>0.35</v>
      </c>
      <c r="Y4" s="56">
        <f t="shared" ref="Y4:Y13" si="3">+W4*X4</f>
        <v>4695.5649999999987</v>
      </c>
      <c r="Z4" s="45"/>
    </row>
    <row r="5" spans="1:26" x14ac:dyDescent="0.3">
      <c r="C5" s="46"/>
      <c r="D5" s="46"/>
      <c r="E5" s="46"/>
      <c r="F5" s="46"/>
      <c r="G5" s="41" t="s">
        <v>56</v>
      </c>
      <c r="H5" s="46" t="s">
        <v>58</v>
      </c>
      <c r="I5" s="46"/>
      <c r="K5" s="58" t="str">
        <f t="shared" si="0"/>
        <v>Alfalfa baleage</v>
      </c>
      <c r="L5" s="151">
        <v>10.596148530360271</v>
      </c>
      <c r="M5" s="99">
        <v>0.15</v>
      </c>
      <c r="N5" s="59">
        <f t="shared" ref="N5:N13" si="4">L5*(1+M5)</f>
        <v>12.18557080991431</v>
      </c>
      <c r="O5" s="61">
        <f t="shared" si="1"/>
        <v>3740.9702386436934</v>
      </c>
      <c r="P5" s="152">
        <v>0.35</v>
      </c>
      <c r="Q5" s="62">
        <f t="shared" ref="Q5:Q13" si="5">+O5*P5</f>
        <v>1309.3395835252927</v>
      </c>
      <c r="R5" s="61"/>
      <c r="S5" s="58" t="str">
        <f t="shared" si="2"/>
        <v>Alfalfa baleage</v>
      </c>
      <c r="T5" s="102">
        <v>15</v>
      </c>
      <c r="U5" s="99">
        <v>0.15</v>
      </c>
      <c r="V5" s="59">
        <f t="shared" ref="V5:V13" si="6">T5*(1+U5)</f>
        <v>17.25</v>
      </c>
      <c r="W5" s="61">
        <f t="shared" ref="W5:W13" si="7">V5*W$2</f>
        <v>5295.75</v>
      </c>
      <c r="X5" s="152">
        <v>0.35</v>
      </c>
      <c r="Y5" s="62">
        <f t="shared" si="3"/>
        <v>1853.5124999999998</v>
      </c>
    </row>
    <row r="6" spans="1:26" x14ac:dyDescent="0.3">
      <c r="B6" s="41" t="s">
        <v>136</v>
      </c>
      <c r="C6" s="48">
        <f>ConvDairy!H50</f>
        <v>19999.775249999999</v>
      </c>
      <c r="D6" s="46"/>
      <c r="E6" s="48">
        <f>ConvDairy!J50</f>
        <v>25000</v>
      </c>
      <c r="F6" s="46"/>
      <c r="G6" s="49" t="s">
        <v>57</v>
      </c>
      <c r="H6" s="50">
        <f>C6</f>
        <v>19999.775249999999</v>
      </c>
      <c r="I6" s="50">
        <f>E6</f>
        <v>25000</v>
      </c>
      <c r="K6" s="58" t="str">
        <f t="shared" si="0"/>
        <v>Alfalfa hay</v>
      </c>
      <c r="L6" s="151">
        <v>5.2980742651801354</v>
      </c>
      <c r="M6" s="99">
        <v>0.05</v>
      </c>
      <c r="N6" s="59">
        <f t="shared" si="4"/>
        <v>5.5629779784391422</v>
      </c>
      <c r="O6" s="61">
        <f t="shared" si="1"/>
        <v>1707.8342393808166</v>
      </c>
      <c r="P6" s="152">
        <v>0.85</v>
      </c>
      <c r="Q6" s="62">
        <f t="shared" si="5"/>
        <v>1451.6591034736941</v>
      </c>
      <c r="R6" s="61"/>
      <c r="S6" s="58" t="str">
        <f t="shared" si="2"/>
        <v>Alfalfa hay</v>
      </c>
      <c r="T6" s="102">
        <v>6</v>
      </c>
      <c r="U6" s="99">
        <v>0.05</v>
      </c>
      <c r="V6" s="59">
        <f t="shared" si="6"/>
        <v>6.3000000000000007</v>
      </c>
      <c r="W6" s="61">
        <f t="shared" si="7"/>
        <v>1934.1000000000001</v>
      </c>
      <c r="X6" s="152">
        <v>0.85</v>
      </c>
      <c r="Y6" s="62">
        <f t="shared" si="3"/>
        <v>1643.9850000000001</v>
      </c>
    </row>
    <row r="7" spans="1:26" x14ac:dyDescent="0.3">
      <c r="B7" s="47"/>
      <c r="C7" s="47"/>
      <c r="D7" s="47"/>
      <c r="E7" s="47"/>
      <c r="F7" s="47"/>
      <c r="K7" s="58" t="str">
        <f t="shared" si="0"/>
        <v>Grass hay</v>
      </c>
      <c r="L7" s="151">
        <v>0</v>
      </c>
      <c r="M7" s="99">
        <v>0.05</v>
      </c>
      <c r="N7" s="59">
        <f t="shared" si="4"/>
        <v>0</v>
      </c>
      <c r="O7" s="61">
        <f t="shared" si="1"/>
        <v>0</v>
      </c>
      <c r="P7" s="152">
        <v>0.85</v>
      </c>
      <c r="Q7" s="62">
        <f t="shared" si="5"/>
        <v>0</v>
      </c>
      <c r="R7" s="61"/>
      <c r="S7" s="58" t="str">
        <f t="shared" si="2"/>
        <v>Grass hay</v>
      </c>
      <c r="T7" s="102">
        <v>0</v>
      </c>
      <c r="U7" s="99">
        <v>0.05</v>
      </c>
      <c r="V7" s="59">
        <f t="shared" si="6"/>
        <v>0</v>
      </c>
      <c r="W7" s="61">
        <f t="shared" si="7"/>
        <v>0</v>
      </c>
      <c r="X7" s="152">
        <v>0.85</v>
      </c>
      <c r="Y7" s="62">
        <f t="shared" si="3"/>
        <v>0</v>
      </c>
    </row>
    <row r="8" spans="1:26" x14ac:dyDescent="0.3">
      <c r="B8" s="57" t="s">
        <v>20</v>
      </c>
      <c r="C8" s="121" t="s">
        <v>22</v>
      </c>
      <c r="D8" s="121" t="s">
        <v>23</v>
      </c>
      <c r="E8" s="121" t="s">
        <v>22</v>
      </c>
      <c r="F8" s="121" t="s">
        <v>23</v>
      </c>
      <c r="G8" s="44"/>
      <c r="K8" s="58" t="str">
        <f t="shared" si="0"/>
        <v>Corn, ground</v>
      </c>
      <c r="L8" s="151">
        <v>10.596148530360271</v>
      </c>
      <c r="M8" s="99">
        <v>0.03</v>
      </c>
      <c r="N8" s="59">
        <f t="shared" si="4"/>
        <v>10.91403298627108</v>
      </c>
      <c r="O8" s="61">
        <f t="shared" si="1"/>
        <v>3350.6081267852214</v>
      </c>
      <c r="P8" s="152">
        <v>0.85</v>
      </c>
      <c r="Q8" s="62">
        <f t="shared" si="5"/>
        <v>2848.0169077674382</v>
      </c>
      <c r="R8" s="61"/>
      <c r="S8" s="58" t="str">
        <f t="shared" si="2"/>
        <v>Corn, ground</v>
      </c>
      <c r="T8" s="102">
        <v>11</v>
      </c>
      <c r="U8" s="99">
        <v>0.03</v>
      </c>
      <c r="V8" s="59">
        <f t="shared" si="6"/>
        <v>11.33</v>
      </c>
      <c r="W8" s="61">
        <f t="shared" si="7"/>
        <v>3478.31</v>
      </c>
      <c r="X8" s="152">
        <v>0.85</v>
      </c>
      <c r="Y8" s="62">
        <f t="shared" si="3"/>
        <v>2956.5634999999997</v>
      </c>
    </row>
    <row r="9" spans="1:26" x14ac:dyDescent="0.3">
      <c r="B9" s="41" t="str">
        <f t="shared" ref="B9:B18" si="8">B23</f>
        <v>Corn silage</v>
      </c>
      <c r="C9" s="63">
        <f t="shared" ref="C9:C18" si="9">L32</f>
        <v>12223.410715931079</v>
      </c>
      <c r="D9" s="64">
        <f t="shared" ref="D9:D18" si="10">N32</f>
        <v>293.36185718234589</v>
      </c>
      <c r="E9" s="63">
        <f t="shared" ref="E9:E18" si="11">T32</f>
        <v>14416.399999999998</v>
      </c>
      <c r="F9" s="65">
        <f t="shared" ref="F9:F18" si="12">V32</f>
        <v>345.99359999999996</v>
      </c>
      <c r="G9" s="64"/>
      <c r="H9" s="66"/>
      <c r="K9" s="58" t="str">
        <f t="shared" si="0"/>
        <v>Soybean meal</v>
      </c>
      <c r="L9" s="151">
        <v>3.1788445591080809</v>
      </c>
      <c r="M9" s="99">
        <v>0.03</v>
      </c>
      <c r="N9" s="59">
        <f t="shared" si="4"/>
        <v>3.2742098958813233</v>
      </c>
      <c r="O9" s="61">
        <f t="shared" si="1"/>
        <v>1005.1824380355663</v>
      </c>
      <c r="P9" s="152">
        <v>0.9</v>
      </c>
      <c r="Q9" s="62">
        <f t="shared" si="5"/>
        <v>904.66419423200966</v>
      </c>
      <c r="R9" s="61"/>
      <c r="S9" s="58" t="str">
        <f t="shared" si="2"/>
        <v>Soybean meal</v>
      </c>
      <c r="T9" s="102">
        <v>4</v>
      </c>
      <c r="U9" s="99">
        <v>0.03</v>
      </c>
      <c r="V9" s="59">
        <f t="shared" si="6"/>
        <v>4.12</v>
      </c>
      <c r="W9" s="61">
        <f t="shared" si="7"/>
        <v>1264.8400000000001</v>
      </c>
      <c r="X9" s="152">
        <v>0.9</v>
      </c>
      <c r="Y9" s="62">
        <f t="shared" si="3"/>
        <v>1138.3560000000002</v>
      </c>
    </row>
    <row r="10" spans="1:26" x14ac:dyDescent="0.3">
      <c r="A10" s="67"/>
      <c r="B10" s="41" t="str">
        <f t="shared" si="8"/>
        <v>Alfalfa baleage</v>
      </c>
      <c r="C10" s="63">
        <f t="shared" si="9"/>
        <v>3740.9702386436934</v>
      </c>
      <c r="D10" s="64">
        <f t="shared" si="10"/>
        <v>198.27142264811576</v>
      </c>
      <c r="E10" s="63">
        <f t="shared" si="11"/>
        <v>5295.75</v>
      </c>
      <c r="F10" s="65">
        <f t="shared" si="12"/>
        <v>280.67475000000002</v>
      </c>
      <c r="G10" s="68"/>
      <c r="H10" s="69"/>
      <c r="I10" s="69"/>
      <c r="K10" s="58" t="str">
        <f t="shared" si="0"/>
        <v>Dry distillers grain</v>
      </c>
      <c r="L10" s="151">
        <v>3.1788445591080809</v>
      </c>
      <c r="M10" s="99">
        <v>0.03</v>
      </c>
      <c r="N10" s="59">
        <f t="shared" si="4"/>
        <v>3.2742098958813233</v>
      </c>
      <c r="O10" s="61">
        <f t="shared" si="1"/>
        <v>1005.1824380355663</v>
      </c>
      <c r="P10" s="152">
        <v>0.85</v>
      </c>
      <c r="Q10" s="62">
        <f t="shared" si="5"/>
        <v>854.40507233023129</v>
      </c>
      <c r="R10" s="61"/>
      <c r="S10" s="58" t="str">
        <f t="shared" si="2"/>
        <v>Dry distillers grain</v>
      </c>
      <c r="T10" s="102">
        <v>3</v>
      </c>
      <c r="U10" s="99">
        <v>0.03</v>
      </c>
      <c r="V10" s="59">
        <f t="shared" si="6"/>
        <v>3.09</v>
      </c>
      <c r="W10" s="61">
        <f t="shared" si="7"/>
        <v>948.63</v>
      </c>
      <c r="X10" s="152">
        <v>0.85</v>
      </c>
      <c r="Y10" s="62">
        <f t="shared" si="3"/>
        <v>806.33550000000002</v>
      </c>
    </row>
    <row r="11" spans="1:26" x14ac:dyDescent="0.3">
      <c r="A11" s="67"/>
      <c r="B11" s="41" t="str">
        <f t="shared" si="8"/>
        <v>Alfalfa hay</v>
      </c>
      <c r="C11" s="63">
        <f t="shared" si="9"/>
        <v>1707.8342393808166</v>
      </c>
      <c r="D11" s="64">
        <f t="shared" si="10"/>
        <v>213.47927992260207</v>
      </c>
      <c r="E11" s="63">
        <f t="shared" si="11"/>
        <v>1934.1000000000001</v>
      </c>
      <c r="F11" s="65">
        <f t="shared" si="12"/>
        <v>241.76250000000002</v>
      </c>
      <c r="G11" s="68"/>
      <c r="H11" s="69"/>
      <c r="I11" s="69"/>
      <c r="K11" s="58" t="str">
        <f t="shared" si="0"/>
        <v>Soybean hulls</v>
      </c>
      <c r="L11" s="151">
        <v>3.1788445591080809</v>
      </c>
      <c r="M11" s="99">
        <v>0.03</v>
      </c>
      <c r="N11" s="59">
        <f t="shared" si="4"/>
        <v>3.2742098958813233</v>
      </c>
      <c r="O11" s="61">
        <f t="shared" si="1"/>
        <v>1005.1824380355663</v>
      </c>
      <c r="P11" s="152">
        <v>0.85</v>
      </c>
      <c r="Q11" s="62">
        <f t="shared" si="5"/>
        <v>854.40507233023129</v>
      </c>
      <c r="R11" s="61"/>
      <c r="S11" s="58" t="str">
        <f t="shared" si="2"/>
        <v>Soybean hulls</v>
      </c>
      <c r="T11" s="102">
        <v>2</v>
      </c>
      <c r="U11" s="99">
        <v>0.03</v>
      </c>
      <c r="V11" s="59">
        <f t="shared" si="6"/>
        <v>2.06</v>
      </c>
      <c r="W11" s="61">
        <f t="shared" si="7"/>
        <v>632.42000000000007</v>
      </c>
      <c r="X11" s="152">
        <v>0.85</v>
      </c>
      <c r="Y11" s="62">
        <f t="shared" si="3"/>
        <v>537.55700000000002</v>
      </c>
    </row>
    <row r="12" spans="1:26" x14ac:dyDescent="0.3">
      <c r="A12" s="67"/>
      <c r="B12" s="41" t="str">
        <f t="shared" si="8"/>
        <v>Grass hay</v>
      </c>
      <c r="C12" s="63">
        <f t="shared" si="9"/>
        <v>913.5</v>
      </c>
      <c r="D12" s="64">
        <f t="shared" si="10"/>
        <v>45.674999999999997</v>
      </c>
      <c r="E12" s="63">
        <f t="shared" si="11"/>
        <v>913.5</v>
      </c>
      <c r="F12" s="65">
        <f t="shared" si="12"/>
        <v>45.674999999999997</v>
      </c>
      <c r="G12" s="68"/>
      <c r="H12" s="69"/>
      <c r="I12" s="69"/>
      <c r="K12" s="58" t="str">
        <f t="shared" si="0"/>
        <v>Whole cotton seed</v>
      </c>
      <c r="L12" s="151">
        <v>5.2980742651801354</v>
      </c>
      <c r="M12" s="99">
        <v>0.03</v>
      </c>
      <c r="N12" s="59">
        <f t="shared" si="4"/>
        <v>5.4570164931355398</v>
      </c>
      <c r="O12" s="61">
        <f t="shared" si="1"/>
        <v>1675.3040633926107</v>
      </c>
      <c r="P12" s="152">
        <v>0.85</v>
      </c>
      <c r="Q12" s="62">
        <f t="shared" si="5"/>
        <v>1424.0084538837191</v>
      </c>
      <c r="R12" s="61"/>
      <c r="S12" s="58" t="str">
        <f t="shared" si="2"/>
        <v>Whole cotton seed</v>
      </c>
      <c r="T12" s="102">
        <v>6</v>
      </c>
      <c r="U12" s="99">
        <v>0.03</v>
      </c>
      <c r="V12" s="59">
        <f t="shared" si="6"/>
        <v>6.18</v>
      </c>
      <c r="W12" s="61">
        <f t="shared" si="7"/>
        <v>1897.26</v>
      </c>
      <c r="X12" s="152">
        <v>0.85</v>
      </c>
      <c r="Y12" s="62">
        <f t="shared" si="3"/>
        <v>1612.671</v>
      </c>
    </row>
    <row r="13" spans="1:26" x14ac:dyDescent="0.3">
      <c r="A13" s="67"/>
      <c r="B13" s="41" t="str">
        <f t="shared" si="8"/>
        <v>Corn, ground</v>
      </c>
      <c r="C13" s="63">
        <f t="shared" si="9"/>
        <v>3470.0881267852214</v>
      </c>
      <c r="D13" s="64">
        <f t="shared" si="10"/>
        <v>278.84636733095527</v>
      </c>
      <c r="E13" s="63">
        <f t="shared" si="11"/>
        <v>3657.5299999999997</v>
      </c>
      <c r="F13" s="65">
        <f t="shared" si="12"/>
        <v>293.9086607142857</v>
      </c>
      <c r="G13" s="68"/>
      <c r="H13" s="69"/>
      <c r="I13" s="69"/>
      <c r="K13" s="70" t="str">
        <f t="shared" si="0"/>
        <v>Minerals/vitamins</v>
      </c>
      <c r="L13" s="100">
        <v>1.7483645075094445</v>
      </c>
      <c r="M13" s="101">
        <v>0.02</v>
      </c>
      <c r="N13" s="71">
        <f t="shared" si="4"/>
        <v>1.7833317976596335</v>
      </c>
      <c r="O13" s="73">
        <f t="shared" si="1"/>
        <v>547.48286188150746</v>
      </c>
      <c r="P13" s="154">
        <v>1</v>
      </c>
      <c r="Q13" s="74">
        <f t="shared" si="5"/>
        <v>547.48286188150746</v>
      </c>
      <c r="R13" s="61"/>
      <c r="S13" s="70" t="str">
        <f t="shared" si="2"/>
        <v>Minerals/vitamins</v>
      </c>
      <c r="T13" s="104">
        <v>2</v>
      </c>
      <c r="U13" s="101">
        <v>0.02</v>
      </c>
      <c r="V13" s="71">
        <f t="shared" si="6"/>
        <v>2.04</v>
      </c>
      <c r="W13" s="73">
        <f t="shared" si="7"/>
        <v>626.28</v>
      </c>
      <c r="X13" s="154">
        <v>1</v>
      </c>
      <c r="Y13" s="74">
        <f t="shared" si="3"/>
        <v>626.28</v>
      </c>
    </row>
    <row r="14" spans="1:26" x14ac:dyDescent="0.3">
      <c r="A14" s="67"/>
      <c r="B14" s="41" t="str">
        <f t="shared" si="8"/>
        <v>Soybean meal</v>
      </c>
      <c r="C14" s="63">
        <f t="shared" si="9"/>
        <v>1094.7924380355662</v>
      </c>
      <c r="D14" s="64">
        <f t="shared" si="10"/>
        <v>202.53660103657975</v>
      </c>
      <c r="E14" s="63">
        <f t="shared" si="11"/>
        <v>1354.45</v>
      </c>
      <c r="F14" s="65">
        <f t="shared" si="12"/>
        <v>250.57325</v>
      </c>
      <c r="G14" s="68"/>
      <c r="H14" s="69"/>
      <c r="I14" s="69"/>
      <c r="L14" s="44"/>
      <c r="M14" s="44"/>
      <c r="N14" s="59"/>
      <c r="O14" s="61"/>
      <c r="P14" s="41" t="s">
        <v>99</v>
      </c>
      <c r="Q14" s="75">
        <f>SUM(Q4:Q13)</f>
        <v>14122</v>
      </c>
      <c r="R14" s="44"/>
      <c r="U14" s="409"/>
      <c r="X14" s="41" t="s">
        <v>99</v>
      </c>
      <c r="Y14" s="75">
        <f>SUM(Y4:Y13)</f>
        <v>15870.825499999999</v>
      </c>
    </row>
    <row r="15" spans="1:26" x14ac:dyDescent="0.3">
      <c r="A15" s="67"/>
      <c r="B15" s="41" t="str">
        <f t="shared" si="8"/>
        <v>Dry distillers grain</v>
      </c>
      <c r="C15" s="63">
        <f t="shared" si="9"/>
        <v>1005.1824380355663</v>
      </c>
      <c r="D15" s="64">
        <f t="shared" si="10"/>
        <v>85.943098452040914</v>
      </c>
      <c r="E15" s="63">
        <f t="shared" si="11"/>
        <v>948.63</v>
      </c>
      <c r="F15" s="65">
        <f t="shared" si="12"/>
        <v>81.107865000000004</v>
      </c>
      <c r="G15" s="68"/>
      <c r="H15" s="69"/>
      <c r="I15" s="69"/>
      <c r="L15" s="44"/>
      <c r="M15" s="44"/>
      <c r="N15" s="44"/>
      <c r="O15" s="44"/>
      <c r="P15" s="41" t="s">
        <v>100</v>
      </c>
      <c r="Q15" s="76">
        <f>+Q14/O2</f>
        <v>46</v>
      </c>
      <c r="R15" s="44"/>
      <c r="X15" s="41" t="s">
        <v>100</v>
      </c>
      <c r="Y15" s="76">
        <f>+Y14/O2</f>
        <v>51.696499999999993</v>
      </c>
    </row>
    <row r="16" spans="1:26" x14ac:dyDescent="0.3">
      <c r="A16" s="67"/>
      <c r="B16" s="41" t="str">
        <f t="shared" si="8"/>
        <v>Soybean hulls</v>
      </c>
      <c r="C16" s="63">
        <f t="shared" si="9"/>
        <v>1124.6624380355663</v>
      </c>
      <c r="D16" s="64">
        <f t="shared" si="10"/>
        <v>101.21961942320097</v>
      </c>
      <c r="E16" s="63">
        <f t="shared" si="11"/>
        <v>751.90000000000009</v>
      </c>
      <c r="F16" s="65">
        <f t="shared" si="12"/>
        <v>67.671000000000021</v>
      </c>
      <c r="G16" s="68"/>
      <c r="H16" s="69"/>
      <c r="I16" s="69"/>
      <c r="L16" s="44"/>
      <c r="M16" s="44"/>
      <c r="N16" s="44"/>
      <c r="O16" s="44"/>
      <c r="Q16" s="76"/>
      <c r="R16" s="44"/>
      <c r="Y16" s="76"/>
    </row>
    <row r="17" spans="1:26" x14ac:dyDescent="0.3">
      <c r="A17" s="67"/>
      <c r="B17" s="41" t="str">
        <f t="shared" si="8"/>
        <v>Whole cotton seed</v>
      </c>
      <c r="C17" s="63">
        <f t="shared" si="9"/>
        <v>1675.3040633926107</v>
      </c>
      <c r="D17" s="64">
        <f t="shared" si="10"/>
        <v>217.78952824103939</v>
      </c>
      <c r="E17" s="63">
        <f t="shared" si="11"/>
        <v>1897.26</v>
      </c>
      <c r="F17" s="65">
        <f t="shared" si="12"/>
        <v>246.6438</v>
      </c>
      <c r="G17" s="68"/>
      <c r="H17" s="69"/>
      <c r="I17" s="69"/>
      <c r="K17" s="43" t="s">
        <v>170</v>
      </c>
      <c r="L17" s="43" t="s">
        <v>95</v>
      </c>
      <c r="M17" s="44"/>
      <c r="N17" s="44" t="s">
        <v>88</v>
      </c>
      <c r="O17" s="102">
        <v>58</v>
      </c>
      <c r="P17" s="155"/>
      <c r="Q17" s="155"/>
      <c r="R17" s="44"/>
      <c r="S17" s="43" t="s">
        <v>334</v>
      </c>
      <c r="T17" s="43" t="s">
        <v>95</v>
      </c>
      <c r="V17" s="44" t="s">
        <v>88</v>
      </c>
      <c r="W17" s="44">
        <f>O17</f>
        <v>58</v>
      </c>
    </row>
    <row r="18" spans="1:26" x14ac:dyDescent="0.3">
      <c r="A18" s="67"/>
      <c r="B18" s="41" t="str">
        <f t="shared" si="8"/>
        <v>Minerals/vitamins</v>
      </c>
      <c r="C18" s="63">
        <f t="shared" si="9"/>
        <v>577.0628618815075</v>
      </c>
      <c r="D18" s="64">
        <f t="shared" si="10"/>
        <v>242.36640199023316</v>
      </c>
      <c r="E18" s="63">
        <f t="shared" si="11"/>
        <v>655.86</v>
      </c>
      <c r="F18" s="65">
        <f t="shared" si="12"/>
        <v>275.46120000000002</v>
      </c>
      <c r="G18" s="68"/>
      <c r="H18" s="69"/>
      <c r="I18" s="69"/>
      <c r="L18" s="44" t="s">
        <v>92</v>
      </c>
      <c r="M18" s="44" t="s">
        <v>257</v>
      </c>
      <c r="N18" s="44" t="s">
        <v>92</v>
      </c>
      <c r="O18" s="44" t="s">
        <v>93</v>
      </c>
      <c r="P18" s="44" t="s">
        <v>98</v>
      </c>
      <c r="Q18" s="44" t="s">
        <v>97</v>
      </c>
      <c r="R18" s="44"/>
      <c r="T18" s="44" t="s">
        <v>92</v>
      </c>
      <c r="U18" s="44" t="s">
        <v>257</v>
      </c>
      <c r="V18" s="44" t="s">
        <v>92</v>
      </c>
      <c r="W18" s="44" t="s">
        <v>93</v>
      </c>
      <c r="X18" s="44" t="s">
        <v>98</v>
      </c>
      <c r="Y18" s="44" t="s">
        <v>97</v>
      </c>
    </row>
    <row r="19" spans="1:26" ht="18" thickBot="1" x14ac:dyDescent="0.35">
      <c r="A19" s="67"/>
      <c r="B19" s="112" t="s">
        <v>58</v>
      </c>
      <c r="C19" s="77"/>
      <c r="D19" s="78">
        <f>SUM(D9:D18)</f>
        <v>1879.4891762271131</v>
      </c>
      <c r="E19" s="77"/>
      <c r="F19" s="78">
        <f>SUM(F9:F18)</f>
        <v>2129.4716257142859</v>
      </c>
      <c r="G19" s="78">
        <f>'Heifer Feed'!C50</f>
        <v>1019.102938095238</v>
      </c>
      <c r="H19" s="78">
        <f>D19+(G19*ConvDairy!H89)</f>
        <v>2215.7931457985414</v>
      </c>
      <c r="I19" s="78">
        <f>F19+(G19*ConvDairy!H89)</f>
        <v>2465.7755952857142</v>
      </c>
      <c r="K19" s="52" t="str">
        <f t="shared" ref="K19:K28" si="13">B23</f>
        <v>Corn silage</v>
      </c>
      <c r="L19" s="103">
        <v>15</v>
      </c>
      <c r="M19" s="98">
        <v>0.15</v>
      </c>
      <c r="N19" s="53">
        <f>L19*(1+M19)</f>
        <v>17.25</v>
      </c>
      <c r="O19" s="148">
        <f t="shared" ref="O19:O28" si="14">N19*O$17</f>
        <v>1000.5</v>
      </c>
      <c r="P19" s="153">
        <v>0.35</v>
      </c>
      <c r="Q19" s="56">
        <f>+O19*P19</f>
        <v>350.17499999999995</v>
      </c>
      <c r="R19" s="44"/>
      <c r="S19" s="52" t="str">
        <f t="shared" ref="S19:S28" si="15">B23</f>
        <v>Corn silage</v>
      </c>
      <c r="T19" s="103">
        <v>15</v>
      </c>
      <c r="U19" s="98">
        <v>0.15</v>
      </c>
      <c r="V19" s="53">
        <f>T19*(1+U19)</f>
        <v>17.25</v>
      </c>
      <c r="W19" s="81">
        <f t="shared" ref="W19:W28" si="16">V19*W$17</f>
        <v>1000.5</v>
      </c>
      <c r="X19" s="105">
        <v>0.35</v>
      </c>
      <c r="Y19" s="56">
        <f>+W19*X19</f>
        <v>350.17499999999995</v>
      </c>
    </row>
    <row r="20" spans="1:26" x14ac:dyDescent="0.3">
      <c r="A20" s="67"/>
      <c r="K20" s="58" t="str">
        <f t="shared" si="13"/>
        <v>Alfalfa baleage</v>
      </c>
      <c r="L20" s="102">
        <v>0</v>
      </c>
      <c r="M20" s="99">
        <v>0.15</v>
      </c>
      <c r="N20" s="59">
        <f t="shared" ref="N20:N28" si="17">L20*(1+M20)</f>
        <v>0</v>
      </c>
      <c r="O20" s="149">
        <f t="shared" si="14"/>
        <v>0</v>
      </c>
      <c r="P20" s="152">
        <v>0.35</v>
      </c>
      <c r="Q20" s="62">
        <f t="shared" ref="Q20:Q28" si="18">+O20*P20</f>
        <v>0</v>
      </c>
      <c r="R20" s="44"/>
      <c r="S20" s="58" t="str">
        <f t="shared" si="15"/>
        <v>Alfalfa baleage</v>
      </c>
      <c r="T20" s="102">
        <v>0</v>
      </c>
      <c r="U20" s="99">
        <v>0.15</v>
      </c>
      <c r="V20" s="59">
        <f t="shared" ref="V20:V28" si="19">T20*(1+U20)</f>
        <v>0</v>
      </c>
      <c r="W20" s="82">
        <f t="shared" si="16"/>
        <v>0</v>
      </c>
      <c r="X20" s="106">
        <v>0.35</v>
      </c>
      <c r="Y20" s="62">
        <f t="shared" ref="Y20:Y28" si="20">+W20*X20</f>
        <v>0</v>
      </c>
    </row>
    <row r="21" spans="1:26" x14ac:dyDescent="0.3">
      <c r="A21" s="79"/>
      <c r="K21" s="58" t="str">
        <f t="shared" si="13"/>
        <v>Alfalfa hay</v>
      </c>
      <c r="L21" s="102">
        <v>0</v>
      </c>
      <c r="M21" s="99">
        <v>0.05</v>
      </c>
      <c r="N21" s="59">
        <f t="shared" si="17"/>
        <v>0</v>
      </c>
      <c r="O21" s="149">
        <f t="shared" si="14"/>
        <v>0</v>
      </c>
      <c r="P21" s="152">
        <v>0.85</v>
      </c>
      <c r="Q21" s="62">
        <f t="shared" si="18"/>
        <v>0</v>
      </c>
      <c r="R21" s="44"/>
      <c r="S21" s="58" t="str">
        <f t="shared" si="15"/>
        <v>Alfalfa hay</v>
      </c>
      <c r="T21" s="102">
        <v>0</v>
      </c>
      <c r="U21" s="99">
        <v>0.05</v>
      </c>
      <c r="V21" s="59">
        <f t="shared" si="19"/>
        <v>0</v>
      </c>
      <c r="W21" s="82">
        <f t="shared" si="16"/>
        <v>0</v>
      </c>
      <c r="X21" s="106">
        <v>0.85</v>
      </c>
      <c r="Y21" s="62">
        <f t="shared" si="20"/>
        <v>0</v>
      </c>
    </row>
    <row r="22" spans="1:26" x14ac:dyDescent="0.3">
      <c r="B22" s="80" t="s">
        <v>127</v>
      </c>
      <c r="K22" s="58" t="str">
        <f t="shared" si="13"/>
        <v>Grass hay</v>
      </c>
      <c r="L22" s="102">
        <v>15</v>
      </c>
      <c r="M22" s="99">
        <v>0.05</v>
      </c>
      <c r="N22" s="59">
        <f t="shared" si="17"/>
        <v>15.75</v>
      </c>
      <c r="O22" s="149">
        <f t="shared" si="14"/>
        <v>913.5</v>
      </c>
      <c r="P22" s="152">
        <v>0.85</v>
      </c>
      <c r="Q22" s="62">
        <f t="shared" si="18"/>
        <v>776.47500000000002</v>
      </c>
      <c r="R22" s="44"/>
      <c r="S22" s="58" t="str">
        <f t="shared" si="15"/>
        <v>Grass hay</v>
      </c>
      <c r="T22" s="102">
        <v>15</v>
      </c>
      <c r="U22" s="99">
        <v>0.05</v>
      </c>
      <c r="V22" s="59">
        <f t="shared" si="19"/>
        <v>15.75</v>
      </c>
      <c r="W22" s="82">
        <f t="shared" si="16"/>
        <v>913.5</v>
      </c>
      <c r="X22" s="106">
        <v>0.85</v>
      </c>
      <c r="Y22" s="62">
        <f t="shared" si="20"/>
        <v>776.47500000000002</v>
      </c>
      <c r="Z22" s="45"/>
    </row>
    <row r="23" spans="1:26" x14ac:dyDescent="0.3">
      <c r="B23" s="111" t="s">
        <v>108</v>
      </c>
      <c r="K23" s="58" t="str">
        <f t="shared" si="13"/>
        <v>Corn, ground</v>
      </c>
      <c r="L23" s="102">
        <v>2</v>
      </c>
      <c r="M23" s="99">
        <v>0.03</v>
      </c>
      <c r="N23" s="59">
        <f t="shared" si="17"/>
        <v>2.06</v>
      </c>
      <c r="O23" s="149">
        <f t="shared" si="14"/>
        <v>119.48</v>
      </c>
      <c r="P23" s="152">
        <v>0.85</v>
      </c>
      <c r="Q23" s="62">
        <f t="shared" si="18"/>
        <v>101.55800000000001</v>
      </c>
      <c r="R23" s="44"/>
      <c r="S23" s="58" t="str">
        <f t="shared" si="15"/>
        <v>Corn, ground</v>
      </c>
      <c r="T23" s="102">
        <v>3</v>
      </c>
      <c r="U23" s="99">
        <v>0.03</v>
      </c>
      <c r="V23" s="59">
        <f t="shared" si="19"/>
        <v>3.09</v>
      </c>
      <c r="W23" s="82">
        <f t="shared" si="16"/>
        <v>179.22</v>
      </c>
      <c r="X23" s="106">
        <v>0.85</v>
      </c>
      <c r="Y23" s="62">
        <f t="shared" si="20"/>
        <v>152.33699999999999</v>
      </c>
      <c r="Z23" s="45"/>
    </row>
    <row r="24" spans="1:26" x14ac:dyDescent="0.3">
      <c r="B24" s="111" t="s">
        <v>220</v>
      </c>
      <c r="K24" s="58" t="str">
        <f t="shared" si="13"/>
        <v>Soybean meal</v>
      </c>
      <c r="L24" s="102">
        <v>1.5</v>
      </c>
      <c r="M24" s="99">
        <v>0.03</v>
      </c>
      <c r="N24" s="59">
        <f t="shared" si="17"/>
        <v>1.5449999999999999</v>
      </c>
      <c r="O24" s="149">
        <f t="shared" si="14"/>
        <v>89.61</v>
      </c>
      <c r="P24" s="152">
        <v>0.9</v>
      </c>
      <c r="Q24" s="62">
        <f t="shared" si="18"/>
        <v>80.649000000000001</v>
      </c>
      <c r="R24" s="44"/>
      <c r="S24" s="58" t="str">
        <f t="shared" si="15"/>
        <v>Soybean meal</v>
      </c>
      <c r="T24" s="102">
        <v>1.5</v>
      </c>
      <c r="U24" s="99">
        <v>0.03</v>
      </c>
      <c r="V24" s="59">
        <f t="shared" si="19"/>
        <v>1.5449999999999999</v>
      </c>
      <c r="W24" s="82">
        <f t="shared" si="16"/>
        <v>89.61</v>
      </c>
      <c r="X24" s="106">
        <v>0.9</v>
      </c>
      <c r="Y24" s="62">
        <f t="shared" si="20"/>
        <v>80.649000000000001</v>
      </c>
      <c r="Z24" s="45"/>
    </row>
    <row r="25" spans="1:26" x14ac:dyDescent="0.3">
      <c r="B25" s="111" t="s">
        <v>110</v>
      </c>
      <c r="K25" s="58" t="str">
        <f t="shared" si="13"/>
        <v>Dry distillers grain</v>
      </c>
      <c r="L25" s="102">
        <v>0</v>
      </c>
      <c r="M25" s="99">
        <v>0.03</v>
      </c>
      <c r="N25" s="59">
        <f t="shared" si="17"/>
        <v>0</v>
      </c>
      <c r="O25" s="149">
        <f t="shared" si="14"/>
        <v>0</v>
      </c>
      <c r="P25" s="152">
        <v>0.85</v>
      </c>
      <c r="Q25" s="62">
        <f t="shared" si="18"/>
        <v>0</v>
      </c>
      <c r="R25" s="44"/>
      <c r="S25" s="58" t="str">
        <f t="shared" si="15"/>
        <v>Dry distillers grain</v>
      </c>
      <c r="T25" s="102">
        <v>0</v>
      </c>
      <c r="U25" s="99">
        <v>0.03</v>
      </c>
      <c r="V25" s="59">
        <f t="shared" si="19"/>
        <v>0</v>
      </c>
      <c r="W25" s="82">
        <f t="shared" si="16"/>
        <v>0</v>
      </c>
      <c r="X25" s="106">
        <v>0.85</v>
      </c>
      <c r="Y25" s="62">
        <f t="shared" si="20"/>
        <v>0</v>
      </c>
      <c r="Z25" s="45"/>
    </row>
    <row r="26" spans="1:26" x14ac:dyDescent="0.3">
      <c r="B26" s="111" t="s">
        <v>111</v>
      </c>
      <c r="K26" s="58" t="str">
        <f t="shared" si="13"/>
        <v>Soybean hulls</v>
      </c>
      <c r="L26" s="102">
        <v>2</v>
      </c>
      <c r="M26" s="99">
        <v>0.03</v>
      </c>
      <c r="N26" s="59">
        <f t="shared" si="17"/>
        <v>2.06</v>
      </c>
      <c r="O26" s="149">
        <f t="shared" si="14"/>
        <v>119.48</v>
      </c>
      <c r="P26" s="152">
        <v>0.85</v>
      </c>
      <c r="Q26" s="62">
        <f t="shared" si="18"/>
        <v>101.55800000000001</v>
      </c>
      <c r="R26" s="44"/>
      <c r="S26" s="58" t="str">
        <f t="shared" si="15"/>
        <v>Soybean hulls</v>
      </c>
      <c r="T26" s="102">
        <v>2</v>
      </c>
      <c r="U26" s="99">
        <v>0.03</v>
      </c>
      <c r="V26" s="59">
        <f t="shared" si="19"/>
        <v>2.06</v>
      </c>
      <c r="W26" s="82">
        <f t="shared" si="16"/>
        <v>119.48</v>
      </c>
      <c r="X26" s="106">
        <v>0.85</v>
      </c>
      <c r="Y26" s="62">
        <f t="shared" si="20"/>
        <v>101.55800000000001</v>
      </c>
      <c r="Z26" s="45"/>
    </row>
    <row r="27" spans="1:26" x14ac:dyDescent="0.3">
      <c r="B27" s="111" t="s">
        <v>164</v>
      </c>
      <c r="K27" s="58" t="str">
        <f t="shared" si="13"/>
        <v>Whole cotton seed</v>
      </c>
      <c r="L27" s="102">
        <v>0</v>
      </c>
      <c r="M27" s="99">
        <v>0.03</v>
      </c>
      <c r="N27" s="59">
        <f t="shared" si="17"/>
        <v>0</v>
      </c>
      <c r="O27" s="149">
        <f t="shared" si="14"/>
        <v>0</v>
      </c>
      <c r="P27" s="152">
        <v>0.85</v>
      </c>
      <c r="Q27" s="62">
        <f t="shared" si="18"/>
        <v>0</v>
      </c>
      <c r="R27" s="44"/>
      <c r="S27" s="58" t="str">
        <f t="shared" si="15"/>
        <v>Whole cotton seed</v>
      </c>
      <c r="T27" s="102">
        <v>0</v>
      </c>
      <c r="U27" s="99">
        <v>0.03</v>
      </c>
      <c r="V27" s="59">
        <f t="shared" si="19"/>
        <v>0</v>
      </c>
      <c r="W27" s="82">
        <f t="shared" si="16"/>
        <v>0</v>
      </c>
      <c r="X27" s="106">
        <v>0.85</v>
      </c>
      <c r="Y27" s="62">
        <f t="shared" si="20"/>
        <v>0</v>
      </c>
      <c r="Z27" s="45"/>
    </row>
    <row r="28" spans="1:26" x14ac:dyDescent="0.3">
      <c r="B28" s="111" t="s">
        <v>113</v>
      </c>
      <c r="K28" s="70" t="str">
        <f t="shared" si="13"/>
        <v>Minerals/vitamins</v>
      </c>
      <c r="L28" s="104">
        <v>0.5</v>
      </c>
      <c r="M28" s="101">
        <v>0.02</v>
      </c>
      <c r="N28" s="71">
        <f t="shared" si="17"/>
        <v>0.51</v>
      </c>
      <c r="O28" s="150">
        <f t="shared" si="14"/>
        <v>29.580000000000002</v>
      </c>
      <c r="P28" s="154">
        <v>1</v>
      </c>
      <c r="Q28" s="74">
        <f t="shared" si="18"/>
        <v>29.580000000000002</v>
      </c>
      <c r="R28" s="51"/>
      <c r="S28" s="70" t="str">
        <f t="shared" si="15"/>
        <v>Minerals/vitamins</v>
      </c>
      <c r="T28" s="104">
        <v>0.5</v>
      </c>
      <c r="U28" s="101">
        <v>0.02</v>
      </c>
      <c r="V28" s="71">
        <f t="shared" si="19"/>
        <v>0.51</v>
      </c>
      <c r="W28" s="83">
        <f t="shared" si="16"/>
        <v>29.580000000000002</v>
      </c>
      <c r="X28" s="107">
        <v>1</v>
      </c>
      <c r="Y28" s="74">
        <f t="shared" si="20"/>
        <v>29.580000000000002</v>
      </c>
      <c r="Z28" s="45"/>
    </row>
    <row r="29" spans="1:26" x14ac:dyDescent="0.3">
      <c r="B29" s="111" t="s">
        <v>114</v>
      </c>
      <c r="L29" s="44"/>
      <c r="M29" s="44"/>
      <c r="N29" s="44"/>
      <c r="O29" s="44"/>
      <c r="P29" s="41" t="s">
        <v>99</v>
      </c>
      <c r="Q29" s="75">
        <f>SUM(Q19:Q28)</f>
        <v>1439.9949999999999</v>
      </c>
      <c r="R29" s="44"/>
      <c r="X29" s="41" t="s">
        <v>99</v>
      </c>
      <c r="Y29" s="75">
        <f>SUM(Y19:Y28)</f>
        <v>1490.7739999999999</v>
      </c>
      <c r="Z29" s="45"/>
    </row>
    <row r="30" spans="1:26" x14ac:dyDescent="0.3">
      <c r="B30" s="111" t="s">
        <v>115</v>
      </c>
      <c r="K30" s="43" t="s">
        <v>90</v>
      </c>
      <c r="L30" s="45"/>
      <c r="N30" s="44"/>
      <c r="P30" s="41" t="s">
        <v>100</v>
      </c>
      <c r="Q30" s="76">
        <f>+Q29/O17</f>
        <v>24.827499999999997</v>
      </c>
      <c r="R30" s="44"/>
      <c r="S30" s="43" t="s">
        <v>90</v>
      </c>
      <c r="T30" s="45"/>
      <c r="X30" s="41" t="s">
        <v>100</v>
      </c>
      <c r="Y30" s="76">
        <f>+Y29/O17</f>
        <v>25.702999999999999</v>
      </c>
      <c r="Z30" s="45"/>
    </row>
    <row r="31" spans="1:26" x14ac:dyDescent="0.3">
      <c r="B31" s="111" t="s">
        <v>116</v>
      </c>
      <c r="L31" s="84" t="s">
        <v>96</v>
      </c>
      <c r="M31" s="85" t="s">
        <v>30</v>
      </c>
      <c r="N31" s="44" t="s">
        <v>151</v>
      </c>
      <c r="O31" s="44" t="s">
        <v>91</v>
      </c>
      <c r="T31" s="84" t="s">
        <v>96</v>
      </c>
      <c r="U31" s="44" t="s">
        <v>30</v>
      </c>
      <c r="V31" s="44" t="s">
        <v>151</v>
      </c>
      <c r="W31" s="44" t="s">
        <v>91</v>
      </c>
      <c r="Z31" s="45"/>
    </row>
    <row r="32" spans="1:26" x14ac:dyDescent="0.3">
      <c r="B32" s="111" t="s">
        <v>117</v>
      </c>
      <c r="K32" s="52" t="str">
        <f t="shared" ref="K32:K41" si="21">B23</f>
        <v>Corn silage</v>
      </c>
      <c r="L32" s="86">
        <f t="shared" ref="L32:L41" si="22">O4+O19</f>
        <v>12223.410715931079</v>
      </c>
      <c r="M32" s="108">
        <f t="shared" ref="M32:M41" si="23">U32</f>
        <v>48</v>
      </c>
      <c r="N32" s="108">
        <f>L32*M32/2000</f>
        <v>293.36185718234589</v>
      </c>
      <c r="O32" s="87">
        <f>L32/2000</f>
        <v>6.1117053579655396</v>
      </c>
      <c r="P32" s="44"/>
      <c r="Q32" s="44"/>
      <c r="R32" s="44"/>
      <c r="S32" s="52" t="str">
        <f t="shared" ref="S32:S41" si="24">B23</f>
        <v>Corn silage</v>
      </c>
      <c r="T32" s="86">
        <f t="shared" ref="T32:T41" si="25">W4+W19</f>
        <v>14416.399999999998</v>
      </c>
      <c r="U32" s="108">
        <f>Inputs!C9</f>
        <v>48</v>
      </c>
      <c r="V32" s="108">
        <f>T32*U32/2000</f>
        <v>345.99359999999996</v>
      </c>
      <c r="W32" s="87">
        <f>T32/2000</f>
        <v>7.2081999999999988</v>
      </c>
      <c r="X32" s="44"/>
      <c r="Y32" s="44"/>
      <c r="Z32" s="45"/>
    </row>
    <row r="33" spans="2:26" x14ac:dyDescent="0.3">
      <c r="K33" s="58" t="str">
        <f t="shared" si="21"/>
        <v>Alfalfa baleage</v>
      </c>
      <c r="L33" s="75">
        <f t="shared" si="22"/>
        <v>3740.9702386436934</v>
      </c>
      <c r="M33" s="69">
        <f t="shared" si="23"/>
        <v>106</v>
      </c>
      <c r="N33" s="69">
        <f t="shared" ref="N33:N41" si="26">L33*M33/2000</f>
        <v>198.27142264811576</v>
      </c>
      <c r="O33" s="88">
        <f t="shared" ref="O33:O41" si="27">L33/2000</f>
        <v>1.8704851193218468</v>
      </c>
      <c r="P33" s="76"/>
      <c r="Q33" s="76"/>
      <c r="R33" s="76"/>
      <c r="S33" s="58" t="str">
        <f t="shared" si="24"/>
        <v>Alfalfa baleage</v>
      </c>
      <c r="T33" s="75">
        <f t="shared" si="25"/>
        <v>5295.75</v>
      </c>
      <c r="U33" s="69">
        <f>Inputs!C5</f>
        <v>106</v>
      </c>
      <c r="V33" s="69">
        <f t="shared" ref="V33:V41" si="28">T33*U33/2000</f>
        <v>280.67475000000002</v>
      </c>
      <c r="W33" s="88">
        <f t="shared" ref="W33:W41" si="29">T33/2000</f>
        <v>2.647875</v>
      </c>
      <c r="X33" s="156"/>
      <c r="Y33" s="75"/>
      <c r="Z33" s="45"/>
    </row>
    <row r="34" spans="2:26" x14ac:dyDescent="0.3">
      <c r="K34" s="58" t="str">
        <f t="shared" si="21"/>
        <v>Alfalfa hay</v>
      </c>
      <c r="L34" s="75">
        <f t="shared" si="22"/>
        <v>1707.8342393808166</v>
      </c>
      <c r="M34" s="69">
        <f t="shared" si="23"/>
        <v>250</v>
      </c>
      <c r="N34" s="69">
        <f t="shared" si="26"/>
        <v>213.47927992260207</v>
      </c>
      <c r="O34" s="88">
        <f t="shared" si="27"/>
        <v>0.85391711969040829</v>
      </c>
      <c r="P34" s="76"/>
      <c r="Q34" s="76"/>
      <c r="R34" s="76"/>
      <c r="S34" s="58" t="str">
        <f t="shared" si="24"/>
        <v>Alfalfa hay</v>
      </c>
      <c r="T34" s="75">
        <f t="shared" si="25"/>
        <v>1934.1000000000001</v>
      </c>
      <c r="U34" s="69">
        <f>Inputs!C4</f>
        <v>250</v>
      </c>
      <c r="V34" s="69">
        <f t="shared" si="28"/>
        <v>241.76250000000002</v>
      </c>
      <c r="W34" s="88">
        <f t="shared" si="29"/>
        <v>0.96705000000000008</v>
      </c>
      <c r="X34" s="156"/>
      <c r="Y34" s="75"/>
      <c r="Z34" s="45"/>
    </row>
    <row r="35" spans="2:26" x14ac:dyDescent="0.3">
      <c r="K35" s="58" t="str">
        <f t="shared" si="21"/>
        <v>Grass hay</v>
      </c>
      <c r="L35" s="75">
        <f t="shared" si="22"/>
        <v>913.5</v>
      </c>
      <c r="M35" s="69">
        <f t="shared" si="23"/>
        <v>100</v>
      </c>
      <c r="N35" s="69">
        <f t="shared" si="26"/>
        <v>45.674999999999997</v>
      </c>
      <c r="O35" s="88">
        <f t="shared" si="27"/>
        <v>0.45674999999999999</v>
      </c>
      <c r="P35" s="76"/>
      <c r="Q35" s="76"/>
      <c r="R35" s="76"/>
      <c r="S35" s="58" t="str">
        <f t="shared" si="24"/>
        <v>Grass hay</v>
      </c>
      <c r="T35" s="75">
        <f t="shared" si="25"/>
        <v>913.5</v>
      </c>
      <c r="U35" s="69">
        <f>Inputs!C13</f>
        <v>100</v>
      </c>
      <c r="V35" s="69">
        <f t="shared" si="28"/>
        <v>45.674999999999997</v>
      </c>
      <c r="W35" s="88">
        <f t="shared" si="29"/>
        <v>0.45674999999999999</v>
      </c>
      <c r="X35" s="156"/>
      <c r="Y35" s="75"/>
      <c r="Z35" s="45"/>
    </row>
    <row r="36" spans="2:26" x14ac:dyDescent="0.3">
      <c r="K36" s="58" t="str">
        <f t="shared" si="21"/>
        <v>Corn, ground</v>
      </c>
      <c r="L36" s="75">
        <f t="shared" si="22"/>
        <v>3470.0881267852214</v>
      </c>
      <c r="M36" s="69">
        <f t="shared" si="23"/>
        <v>160.71428571428572</v>
      </c>
      <c r="N36" s="69">
        <f t="shared" si="26"/>
        <v>278.84636733095527</v>
      </c>
      <c r="O36" s="88">
        <f t="shared" si="27"/>
        <v>1.7350440633926107</v>
      </c>
      <c r="P36" s="76"/>
      <c r="Q36" s="76"/>
      <c r="R36" s="76"/>
      <c r="S36" s="58" t="str">
        <f t="shared" si="24"/>
        <v>Corn, ground</v>
      </c>
      <c r="T36" s="75">
        <f t="shared" si="25"/>
        <v>3657.5299999999997</v>
      </c>
      <c r="U36" s="69">
        <f>Inputs!G11*20</f>
        <v>160.71428571428572</v>
      </c>
      <c r="V36" s="69">
        <f t="shared" si="28"/>
        <v>293.9086607142857</v>
      </c>
      <c r="W36" s="88">
        <f t="shared" si="29"/>
        <v>1.828765</v>
      </c>
      <c r="X36" s="156"/>
      <c r="Y36" s="75"/>
      <c r="Z36" s="45"/>
    </row>
    <row r="37" spans="2:26" x14ac:dyDescent="0.3">
      <c r="K37" s="58" t="str">
        <f t="shared" si="21"/>
        <v>Soybean meal</v>
      </c>
      <c r="L37" s="75">
        <f t="shared" si="22"/>
        <v>1094.7924380355662</v>
      </c>
      <c r="M37" s="69">
        <f t="shared" si="23"/>
        <v>370</v>
      </c>
      <c r="N37" s="69">
        <f t="shared" si="26"/>
        <v>202.53660103657975</v>
      </c>
      <c r="O37" s="88">
        <f t="shared" si="27"/>
        <v>0.54739621901778313</v>
      </c>
      <c r="P37" s="76"/>
      <c r="Q37" s="76"/>
      <c r="R37" s="76"/>
      <c r="S37" s="58" t="str">
        <f t="shared" si="24"/>
        <v>Soybean meal</v>
      </c>
      <c r="T37" s="75">
        <f t="shared" si="25"/>
        <v>1354.45</v>
      </c>
      <c r="U37" s="69">
        <f>Inputs!C22</f>
        <v>370</v>
      </c>
      <c r="V37" s="69">
        <f t="shared" si="28"/>
        <v>250.57325</v>
      </c>
      <c r="W37" s="88">
        <f t="shared" si="29"/>
        <v>0.67722500000000008</v>
      </c>
      <c r="X37" s="156"/>
      <c r="Y37" s="75"/>
      <c r="Z37" s="45"/>
    </row>
    <row r="38" spans="2:26" x14ac:dyDescent="0.3">
      <c r="K38" s="58" t="str">
        <f t="shared" si="21"/>
        <v>Dry distillers grain</v>
      </c>
      <c r="L38" s="75">
        <f t="shared" si="22"/>
        <v>1005.1824380355663</v>
      </c>
      <c r="M38" s="69">
        <f t="shared" si="23"/>
        <v>171</v>
      </c>
      <c r="N38" s="69">
        <f t="shared" si="26"/>
        <v>85.943098452040914</v>
      </c>
      <c r="O38" s="88">
        <f t="shared" si="27"/>
        <v>0.50259121901778314</v>
      </c>
      <c r="P38" s="76"/>
      <c r="Q38" s="76"/>
      <c r="R38" s="76"/>
      <c r="S38" s="58" t="str">
        <f t="shared" si="24"/>
        <v>Dry distillers grain</v>
      </c>
      <c r="T38" s="75">
        <f t="shared" si="25"/>
        <v>948.63</v>
      </c>
      <c r="U38" s="69">
        <f>Inputs!C12</f>
        <v>171</v>
      </c>
      <c r="V38" s="69">
        <f t="shared" si="28"/>
        <v>81.107865000000004</v>
      </c>
      <c r="W38" s="88">
        <f t="shared" si="29"/>
        <v>0.47431499999999999</v>
      </c>
      <c r="X38" s="156"/>
      <c r="Y38" s="75"/>
      <c r="Z38" s="45"/>
    </row>
    <row r="39" spans="2:26" x14ac:dyDescent="0.3">
      <c r="K39" s="58" t="str">
        <f t="shared" si="21"/>
        <v>Soybean hulls</v>
      </c>
      <c r="L39" s="75">
        <f t="shared" si="22"/>
        <v>1124.6624380355663</v>
      </c>
      <c r="M39" s="69">
        <f t="shared" si="23"/>
        <v>180</v>
      </c>
      <c r="N39" s="69">
        <f t="shared" si="26"/>
        <v>101.21961942320097</v>
      </c>
      <c r="O39" s="88">
        <f t="shared" si="27"/>
        <v>0.56233121901778316</v>
      </c>
      <c r="P39" s="76"/>
      <c r="Q39" s="76"/>
      <c r="R39" s="76"/>
      <c r="S39" s="58" t="str">
        <f t="shared" si="24"/>
        <v>Soybean hulls</v>
      </c>
      <c r="T39" s="75">
        <f t="shared" si="25"/>
        <v>751.90000000000009</v>
      </c>
      <c r="U39" s="69">
        <f>Inputs!C21</f>
        <v>180</v>
      </c>
      <c r="V39" s="69">
        <f t="shared" si="28"/>
        <v>67.671000000000021</v>
      </c>
      <c r="W39" s="88">
        <f t="shared" si="29"/>
        <v>0.37595000000000006</v>
      </c>
      <c r="X39" s="156"/>
      <c r="Y39" s="75"/>
      <c r="Z39" s="45"/>
    </row>
    <row r="40" spans="2:26" x14ac:dyDescent="0.3">
      <c r="K40" s="58" t="str">
        <f t="shared" si="21"/>
        <v>Whole cotton seed</v>
      </c>
      <c r="L40" s="75">
        <f t="shared" si="22"/>
        <v>1675.3040633926107</v>
      </c>
      <c r="M40" s="69">
        <f t="shared" si="23"/>
        <v>260</v>
      </c>
      <c r="N40" s="69">
        <f t="shared" si="26"/>
        <v>217.78952824103939</v>
      </c>
      <c r="O40" s="88">
        <f t="shared" si="27"/>
        <v>0.83765203169630531</v>
      </c>
      <c r="P40" s="76"/>
      <c r="Q40" s="76"/>
      <c r="R40" s="76"/>
      <c r="S40" s="58" t="str">
        <f t="shared" si="24"/>
        <v>Whole cotton seed</v>
      </c>
      <c r="T40" s="75">
        <f t="shared" si="25"/>
        <v>1897.26</v>
      </c>
      <c r="U40" s="69">
        <f>Inputs!C23</f>
        <v>260</v>
      </c>
      <c r="V40" s="69">
        <f t="shared" si="28"/>
        <v>246.6438</v>
      </c>
      <c r="W40" s="88">
        <f t="shared" si="29"/>
        <v>0.94862999999999997</v>
      </c>
      <c r="X40" s="156"/>
      <c r="Y40" s="75"/>
      <c r="Z40" s="45"/>
    </row>
    <row r="41" spans="2:26" x14ac:dyDescent="0.3">
      <c r="K41" s="70" t="str">
        <f t="shared" si="21"/>
        <v>Minerals/vitamins</v>
      </c>
      <c r="L41" s="50">
        <f t="shared" si="22"/>
        <v>577.0628618815075</v>
      </c>
      <c r="M41" s="109">
        <f t="shared" si="23"/>
        <v>840</v>
      </c>
      <c r="N41" s="109">
        <f t="shared" si="26"/>
        <v>242.36640199023316</v>
      </c>
      <c r="O41" s="89">
        <f t="shared" si="27"/>
        <v>0.28853143094075373</v>
      </c>
      <c r="P41" s="76"/>
      <c r="Q41" s="76"/>
      <c r="R41" s="76"/>
      <c r="S41" s="70" t="str">
        <f t="shared" si="24"/>
        <v>Minerals/vitamins</v>
      </c>
      <c r="T41" s="50">
        <f t="shared" si="25"/>
        <v>655.86</v>
      </c>
      <c r="U41" s="109">
        <f>Inputs!C16</f>
        <v>840</v>
      </c>
      <c r="V41" s="109">
        <f t="shared" si="28"/>
        <v>275.46120000000002</v>
      </c>
      <c r="W41" s="89">
        <f t="shared" si="29"/>
        <v>0.32793</v>
      </c>
      <c r="X41" s="156"/>
      <c r="Y41" s="75"/>
      <c r="Z41" s="45"/>
    </row>
    <row r="42" spans="2:26" x14ac:dyDescent="0.3">
      <c r="K42" s="44" t="s">
        <v>94</v>
      </c>
      <c r="L42" s="75">
        <f>SUM(L32:L41)</f>
        <v>27532.807560121622</v>
      </c>
      <c r="M42" s="110"/>
      <c r="N42" s="69">
        <f>SUM(N32:N41)</f>
        <v>1879.4891762271131</v>
      </c>
      <c r="O42" s="69">
        <f>SUM(O32:O41)</f>
        <v>13.766403780060813</v>
      </c>
      <c r="P42" s="76"/>
      <c r="Q42" s="76"/>
      <c r="R42" s="76"/>
      <c r="S42" s="91" t="s">
        <v>94</v>
      </c>
      <c r="T42" s="75">
        <f>SUM(T32:T41)</f>
        <v>31825.379999999997</v>
      </c>
      <c r="U42" s="110"/>
      <c r="V42" s="69">
        <f>SUM(V32:V41)</f>
        <v>2129.4716257142859</v>
      </c>
      <c r="W42" s="69">
        <f>SUM(W32:W41)</f>
        <v>15.91269</v>
      </c>
      <c r="X42" s="156"/>
      <c r="Y42" s="75"/>
      <c r="Z42" s="45"/>
    </row>
    <row r="43" spans="2:26" ht="18" thickBot="1" x14ac:dyDescent="0.35">
      <c r="P43" s="69"/>
      <c r="Q43" s="69"/>
      <c r="R43" s="69"/>
      <c r="Y43" s="75"/>
      <c r="Z43" s="45"/>
    </row>
    <row r="44" spans="2:26" ht="18" thickBot="1" x14ac:dyDescent="0.35">
      <c r="K44" s="116"/>
      <c r="L44" s="119"/>
      <c r="M44" s="116"/>
      <c r="N44" s="116"/>
      <c r="O44" s="116"/>
      <c r="P44" s="116"/>
      <c r="Q44" s="116"/>
      <c r="R44" s="116"/>
      <c r="S44" s="116"/>
      <c r="T44" s="119"/>
      <c r="U44" s="117"/>
      <c r="V44" s="117"/>
      <c r="W44" s="117"/>
      <c r="X44" s="116"/>
      <c r="Y44" s="120"/>
      <c r="Z44" s="45"/>
    </row>
    <row r="45" spans="2:26" ht="21" thickBot="1" x14ac:dyDescent="0.4">
      <c r="B45" s="425" t="s">
        <v>259</v>
      </c>
      <c r="C45" s="426"/>
      <c r="D45" s="426"/>
      <c r="E45" s="116"/>
      <c r="F45" s="116"/>
      <c r="G45" s="116"/>
      <c r="H45" s="116"/>
      <c r="I45" s="116"/>
      <c r="K45" s="43" t="s">
        <v>168</v>
      </c>
      <c r="L45" s="43" t="s">
        <v>89</v>
      </c>
      <c r="M45" s="44"/>
      <c r="N45" s="44" t="s">
        <v>88</v>
      </c>
      <c r="O45" s="102">
        <v>307</v>
      </c>
      <c r="P45" s="155"/>
      <c r="Q45" s="155"/>
      <c r="R45" s="44"/>
      <c r="S45" s="43" t="s">
        <v>167</v>
      </c>
      <c r="T45" s="43" t="s">
        <v>89</v>
      </c>
      <c r="V45" s="44" t="s">
        <v>88</v>
      </c>
      <c r="W45" s="44">
        <f>O45</f>
        <v>307</v>
      </c>
      <c r="Z45" s="45"/>
    </row>
    <row r="46" spans="2:26" ht="18" thickBot="1" x14ac:dyDescent="0.35">
      <c r="B46" s="160" t="s">
        <v>199</v>
      </c>
      <c r="C46" s="91"/>
      <c r="D46" s="91"/>
      <c r="E46" s="91"/>
      <c r="F46" s="91"/>
      <c r="G46" s="91"/>
      <c r="L46" s="44" t="s">
        <v>92</v>
      </c>
      <c r="M46" s="44" t="s">
        <v>257</v>
      </c>
      <c r="N46" s="44" t="s">
        <v>92</v>
      </c>
      <c r="O46" s="44" t="s">
        <v>93</v>
      </c>
      <c r="P46" s="44"/>
      <c r="Q46" s="44"/>
      <c r="R46" s="44"/>
      <c r="T46" s="44" t="s">
        <v>92</v>
      </c>
      <c r="U46" s="44" t="s">
        <v>257</v>
      </c>
      <c r="V46" s="44" t="s">
        <v>92</v>
      </c>
      <c r="W46" s="44" t="s">
        <v>93</v>
      </c>
      <c r="X46" s="44"/>
      <c r="Y46" s="44"/>
      <c r="Z46" s="45"/>
    </row>
    <row r="47" spans="2:26" ht="18" thickBot="1" x14ac:dyDescent="0.35">
      <c r="B47" s="161"/>
      <c r="C47" s="162" t="s">
        <v>21</v>
      </c>
      <c r="D47" s="162"/>
      <c r="E47" s="162"/>
      <c r="F47" s="162"/>
      <c r="G47" s="161"/>
      <c r="H47" s="161"/>
      <c r="I47" s="161"/>
      <c r="J47" s="116"/>
      <c r="K47" s="52" t="str">
        <f t="shared" ref="K47:K57" si="30">B67</f>
        <v>Corn silage</v>
      </c>
      <c r="L47" s="103">
        <v>0</v>
      </c>
      <c r="M47" s="98">
        <v>0.15</v>
      </c>
      <c r="N47" s="53">
        <f>L47*(1+M47)</f>
        <v>0</v>
      </c>
      <c r="O47" s="54">
        <f>N47*O$45</f>
        <v>0</v>
      </c>
      <c r="P47" s="61"/>
      <c r="Q47" s="61"/>
      <c r="R47" s="61"/>
      <c r="S47" s="52" t="str">
        <f t="shared" ref="S47:S57" si="31">B67</f>
        <v>Corn silage</v>
      </c>
      <c r="T47" s="103">
        <v>0</v>
      </c>
      <c r="U47" s="98">
        <v>0.15</v>
      </c>
      <c r="V47" s="53">
        <f>T47*(1+U47)</f>
        <v>0</v>
      </c>
      <c r="W47" s="54">
        <f t="shared" ref="W47:W57" si="32">V47*W$45</f>
        <v>0</v>
      </c>
      <c r="X47" s="44"/>
      <c r="Y47" s="44"/>
      <c r="Z47" s="45"/>
    </row>
    <row r="48" spans="2:26" x14ac:dyDescent="0.3">
      <c r="C48" s="46"/>
      <c r="D48" s="46"/>
      <c r="E48" s="46"/>
      <c r="F48" s="46"/>
      <c r="G48" s="41" t="s">
        <v>56</v>
      </c>
      <c r="H48" s="46" t="s">
        <v>58</v>
      </c>
      <c r="I48" s="46"/>
      <c r="K48" s="58" t="str">
        <f t="shared" si="30"/>
        <v>Alfalfa silage</v>
      </c>
      <c r="L48" s="102">
        <v>0</v>
      </c>
      <c r="M48" s="99">
        <v>0.15</v>
      </c>
      <c r="N48" s="59">
        <f t="shared" ref="N48:N57" si="33">L48*(1+M48)</f>
        <v>0</v>
      </c>
      <c r="O48" s="60">
        <f t="shared" ref="O48:O57" si="34">N48*O$45</f>
        <v>0</v>
      </c>
      <c r="P48" s="61"/>
      <c r="Q48" s="61"/>
      <c r="R48" s="61"/>
      <c r="S48" s="58" t="str">
        <f t="shared" si="31"/>
        <v>Alfalfa silage</v>
      </c>
      <c r="T48" s="102">
        <v>0</v>
      </c>
      <c r="U48" s="99">
        <v>0.15</v>
      </c>
      <c r="V48" s="59">
        <f t="shared" ref="V48:V57" si="35">T48*(1+U48)</f>
        <v>0</v>
      </c>
      <c r="W48" s="60">
        <f t="shared" si="32"/>
        <v>0</v>
      </c>
      <c r="X48" s="156"/>
      <c r="Y48" s="75"/>
      <c r="Z48" s="45"/>
    </row>
    <row r="49" spans="2:26" x14ac:dyDescent="0.3">
      <c r="B49" s="41" t="s">
        <v>136</v>
      </c>
      <c r="C49" s="48">
        <f>RotDairy!H51</f>
        <v>11000.236499999999</v>
      </c>
      <c r="D49" s="46"/>
      <c r="E49" s="48">
        <f>RotDairy!J51</f>
        <v>14000.301000000001</v>
      </c>
      <c r="F49" s="46"/>
      <c r="G49" s="49" t="s">
        <v>57</v>
      </c>
      <c r="H49" s="50">
        <f>C49</f>
        <v>11000.236499999999</v>
      </c>
      <c r="I49" s="50">
        <f>E49</f>
        <v>14000.301000000001</v>
      </c>
      <c r="K49" s="58" t="str">
        <f t="shared" si="30"/>
        <v>Alfalfa hay</v>
      </c>
      <c r="L49" s="102">
        <v>4</v>
      </c>
      <c r="M49" s="99">
        <v>0.05</v>
      </c>
      <c r="N49" s="59">
        <f t="shared" si="33"/>
        <v>4.2</v>
      </c>
      <c r="O49" s="60">
        <f t="shared" si="34"/>
        <v>1289.4000000000001</v>
      </c>
      <c r="P49" s="61"/>
      <c r="Q49" s="61"/>
      <c r="R49" s="61"/>
      <c r="S49" s="58" t="str">
        <f t="shared" si="31"/>
        <v>Alfalfa hay</v>
      </c>
      <c r="T49" s="102">
        <v>4</v>
      </c>
      <c r="U49" s="99">
        <v>0.05</v>
      </c>
      <c r="V49" s="59">
        <f t="shared" si="35"/>
        <v>4.2</v>
      </c>
      <c r="W49" s="60">
        <f t="shared" si="32"/>
        <v>1289.4000000000001</v>
      </c>
      <c r="X49" s="156"/>
      <c r="Y49" s="75"/>
      <c r="Z49" s="45"/>
    </row>
    <row r="50" spans="2:26" x14ac:dyDescent="0.3">
      <c r="B50" s="47"/>
      <c r="C50" s="47"/>
      <c r="D50" s="47"/>
      <c r="E50" s="47"/>
      <c r="F50" s="47"/>
      <c r="K50" s="58" t="str">
        <f t="shared" si="30"/>
        <v>Grass hay</v>
      </c>
      <c r="L50" s="102">
        <v>0</v>
      </c>
      <c r="M50" s="99">
        <v>0.05</v>
      </c>
      <c r="N50" s="59">
        <f t="shared" si="33"/>
        <v>0</v>
      </c>
      <c r="O50" s="60">
        <f t="shared" si="34"/>
        <v>0</v>
      </c>
      <c r="P50" s="61"/>
      <c r="Q50" s="61"/>
      <c r="R50" s="61"/>
      <c r="S50" s="58" t="str">
        <f t="shared" si="31"/>
        <v>Grass hay</v>
      </c>
      <c r="T50" s="102">
        <v>0</v>
      </c>
      <c r="U50" s="99">
        <v>0.05</v>
      </c>
      <c r="V50" s="59">
        <f t="shared" si="35"/>
        <v>0</v>
      </c>
      <c r="W50" s="60">
        <f t="shared" si="32"/>
        <v>0</v>
      </c>
      <c r="X50" s="156"/>
      <c r="Y50" s="75"/>
      <c r="Z50" s="45"/>
    </row>
    <row r="51" spans="2:26" x14ac:dyDescent="0.3">
      <c r="B51" s="57" t="s">
        <v>20</v>
      </c>
      <c r="C51" s="121" t="s">
        <v>22</v>
      </c>
      <c r="D51" s="121" t="s">
        <v>23</v>
      </c>
      <c r="E51" s="121" t="s">
        <v>22</v>
      </c>
      <c r="F51" s="121" t="s">
        <v>23</v>
      </c>
      <c r="G51" s="44"/>
      <c r="K51" s="58" t="str">
        <f t="shared" si="30"/>
        <v>Corn, cracked</v>
      </c>
      <c r="L51" s="102">
        <v>2.5</v>
      </c>
      <c r="M51" s="99">
        <v>0.03</v>
      </c>
      <c r="N51" s="59">
        <f t="shared" si="33"/>
        <v>2.5750000000000002</v>
      </c>
      <c r="O51" s="60">
        <f t="shared" si="34"/>
        <v>790.52500000000009</v>
      </c>
      <c r="P51" s="61"/>
      <c r="Q51" s="61"/>
      <c r="R51" s="61"/>
      <c r="S51" s="58" t="str">
        <f t="shared" si="31"/>
        <v>Corn, cracked</v>
      </c>
      <c r="T51" s="102">
        <v>4</v>
      </c>
      <c r="U51" s="99">
        <v>0.03</v>
      </c>
      <c r="V51" s="59">
        <f t="shared" si="35"/>
        <v>4.12</v>
      </c>
      <c r="W51" s="60">
        <f t="shared" si="32"/>
        <v>1264.8400000000001</v>
      </c>
      <c r="X51" s="156"/>
      <c r="Y51" s="75"/>
      <c r="Z51" s="45"/>
    </row>
    <row r="52" spans="2:26" x14ac:dyDescent="0.3">
      <c r="B52" s="41" t="str">
        <f t="shared" ref="B52:B57" si="36">B67</f>
        <v>Corn silage</v>
      </c>
      <c r="C52" s="63">
        <f>L75</f>
        <v>0</v>
      </c>
      <c r="D52" s="68">
        <f>N75</f>
        <v>0</v>
      </c>
      <c r="E52" s="63">
        <f>T75</f>
        <v>0</v>
      </c>
      <c r="F52" s="68">
        <f>V75</f>
        <v>0</v>
      </c>
      <c r="G52" s="64"/>
      <c r="H52" s="66"/>
      <c r="K52" s="58" t="str">
        <f t="shared" si="30"/>
        <v>Soybean meal</v>
      </c>
      <c r="L52" s="102">
        <v>0</v>
      </c>
      <c r="M52" s="99">
        <v>0.03</v>
      </c>
      <c r="N52" s="59">
        <f t="shared" si="33"/>
        <v>0</v>
      </c>
      <c r="O52" s="60">
        <f t="shared" si="34"/>
        <v>0</v>
      </c>
      <c r="P52" s="61"/>
      <c r="Q52" s="61"/>
      <c r="R52" s="61"/>
      <c r="S52" s="58" t="str">
        <f t="shared" si="31"/>
        <v>Soybean meal</v>
      </c>
      <c r="T52" s="102">
        <v>0</v>
      </c>
      <c r="U52" s="99">
        <v>0.03</v>
      </c>
      <c r="V52" s="59">
        <f t="shared" si="35"/>
        <v>0</v>
      </c>
      <c r="W52" s="60">
        <f t="shared" si="32"/>
        <v>0</v>
      </c>
      <c r="X52" s="156"/>
      <c r="Y52" s="75"/>
      <c r="Z52" s="45"/>
    </row>
    <row r="53" spans="2:26" x14ac:dyDescent="0.3">
      <c r="B53" s="41" t="str">
        <f t="shared" si="36"/>
        <v>Alfalfa silage</v>
      </c>
      <c r="C53" s="63">
        <f>L76</f>
        <v>0</v>
      </c>
      <c r="D53" s="68">
        <f>N76</f>
        <v>0</v>
      </c>
      <c r="E53" s="63">
        <f>T76</f>
        <v>0</v>
      </c>
      <c r="F53" s="68">
        <f>V76</f>
        <v>0</v>
      </c>
      <c r="G53" s="68"/>
      <c r="H53" s="69"/>
      <c r="I53" s="69"/>
      <c r="K53" s="58" t="str">
        <f t="shared" si="30"/>
        <v>Dry distillers grain</v>
      </c>
      <c r="L53" s="102">
        <v>2.5</v>
      </c>
      <c r="M53" s="99">
        <v>0.03</v>
      </c>
      <c r="N53" s="59">
        <f t="shared" si="33"/>
        <v>2.5750000000000002</v>
      </c>
      <c r="O53" s="60">
        <f t="shared" si="34"/>
        <v>790.52500000000009</v>
      </c>
      <c r="P53" s="61"/>
      <c r="Q53" s="61"/>
      <c r="R53" s="61"/>
      <c r="S53" s="58" t="str">
        <f t="shared" si="31"/>
        <v>Dry distillers grain</v>
      </c>
      <c r="T53" s="102">
        <v>3</v>
      </c>
      <c r="U53" s="99">
        <v>0.03</v>
      </c>
      <c r="V53" s="59">
        <f t="shared" si="35"/>
        <v>3.09</v>
      </c>
      <c r="W53" s="60">
        <f t="shared" si="32"/>
        <v>948.63</v>
      </c>
      <c r="X53" s="156"/>
      <c r="Y53" s="75"/>
      <c r="Z53" s="45"/>
    </row>
    <row r="54" spans="2:26" x14ac:dyDescent="0.3">
      <c r="B54" s="41" t="str">
        <f t="shared" si="36"/>
        <v>Alfalfa hay</v>
      </c>
      <c r="C54" s="63">
        <f>L77</f>
        <v>1289.4000000000001</v>
      </c>
      <c r="D54" s="68">
        <f>N77</f>
        <v>161.17500000000001</v>
      </c>
      <c r="E54" s="63">
        <f>T77</f>
        <v>1289.4000000000001</v>
      </c>
      <c r="F54" s="68">
        <f>V77</f>
        <v>161.17500000000001</v>
      </c>
      <c r="G54" s="68"/>
      <c r="H54" s="69"/>
      <c r="I54" s="69"/>
      <c r="K54" s="58" t="str">
        <f t="shared" si="30"/>
        <v>Soybean hulls</v>
      </c>
      <c r="L54" s="102">
        <v>2.5</v>
      </c>
      <c r="M54" s="99">
        <v>0.03</v>
      </c>
      <c r="N54" s="59">
        <f t="shared" si="33"/>
        <v>2.5750000000000002</v>
      </c>
      <c r="O54" s="60">
        <f t="shared" si="34"/>
        <v>790.52500000000009</v>
      </c>
      <c r="P54" s="61"/>
      <c r="Q54" s="61"/>
      <c r="R54" s="61"/>
      <c r="S54" s="58" t="str">
        <f t="shared" si="31"/>
        <v>Soybean hulls</v>
      </c>
      <c r="T54" s="102">
        <v>3</v>
      </c>
      <c r="U54" s="99">
        <v>0.03</v>
      </c>
      <c r="V54" s="59">
        <f t="shared" si="35"/>
        <v>3.09</v>
      </c>
      <c r="W54" s="60">
        <f t="shared" si="32"/>
        <v>948.63</v>
      </c>
      <c r="X54" s="156"/>
      <c r="Y54" s="75"/>
      <c r="Z54" s="45"/>
    </row>
    <row r="55" spans="2:26" x14ac:dyDescent="0.3">
      <c r="B55" s="41" t="str">
        <f t="shared" si="36"/>
        <v>Grass hay</v>
      </c>
      <c r="C55" s="63">
        <f>L78</f>
        <v>669.90000000000009</v>
      </c>
      <c r="D55" s="68">
        <f>N78</f>
        <v>33.495000000000005</v>
      </c>
      <c r="E55" s="63">
        <f>T78</f>
        <v>639.45000000000005</v>
      </c>
      <c r="F55" s="68">
        <f>V78</f>
        <v>31.972500000000004</v>
      </c>
      <c r="G55" s="68"/>
      <c r="H55" s="69"/>
      <c r="I55" s="69"/>
      <c r="K55" s="58" t="str">
        <f t="shared" si="30"/>
        <v>Sorghum silage</v>
      </c>
      <c r="L55" s="102">
        <v>0</v>
      </c>
      <c r="M55" s="99">
        <v>0.02</v>
      </c>
      <c r="N55" s="59">
        <f t="shared" si="33"/>
        <v>0</v>
      </c>
      <c r="O55" s="60">
        <f t="shared" si="34"/>
        <v>0</v>
      </c>
      <c r="P55" s="61"/>
      <c r="Q55" s="61"/>
      <c r="R55" s="61"/>
      <c r="S55" s="58" t="str">
        <f t="shared" si="31"/>
        <v>Sorghum silage</v>
      </c>
      <c r="T55" s="102">
        <v>0</v>
      </c>
      <c r="U55" s="99">
        <v>0.02</v>
      </c>
      <c r="V55" s="59">
        <f t="shared" si="35"/>
        <v>0</v>
      </c>
      <c r="W55" s="60">
        <f t="shared" si="32"/>
        <v>0</v>
      </c>
      <c r="X55" s="156"/>
      <c r="Y55" s="75"/>
      <c r="Z55" s="45"/>
    </row>
    <row r="56" spans="2:26" x14ac:dyDescent="0.3">
      <c r="B56" s="41" t="str">
        <f t="shared" si="36"/>
        <v>Corn, cracked</v>
      </c>
      <c r="C56" s="63">
        <f t="shared" ref="C56:C57" si="37">L79</f>
        <v>910.00500000000011</v>
      </c>
      <c r="D56" s="68">
        <f t="shared" ref="D56:D57" si="38">N79</f>
        <v>73.125401785714303</v>
      </c>
      <c r="E56" s="63">
        <f t="shared" ref="E56:E57" si="39">T79</f>
        <v>1384.3200000000002</v>
      </c>
      <c r="F56" s="68">
        <f t="shared" ref="F56:F57" si="40">V79</f>
        <v>111.24000000000001</v>
      </c>
      <c r="G56" s="68"/>
      <c r="H56" s="69"/>
      <c r="I56" s="69"/>
      <c r="K56" s="58" t="str">
        <f t="shared" si="30"/>
        <v>Pasture (dry matter)</v>
      </c>
      <c r="L56" s="102">
        <v>22</v>
      </c>
      <c r="M56" s="99">
        <v>0.05</v>
      </c>
      <c r="N56" s="59">
        <f t="shared" si="33"/>
        <v>23.1</v>
      </c>
      <c r="O56" s="60">
        <f t="shared" si="34"/>
        <v>7091.7000000000007</v>
      </c>
      <c r="P56" s="61"/>
      <c r="Q56" s="61"/>
      <c r="R56" s="61"/>
      <c r="S56" s="58" t="str">
        <f t="shared" si="31"/>
        <v>Pasture (dry matter)</v>
      </c>
      <c r="T56" s="102">
        <v>23</v>
      </c>
      <c r="U56" s="99">
        <v>0.05</v>
      </c>
      <c r="V56" s="59">
        <f t="shared" si="35"/>
        <v>24.150000000000002</v>
      </c>
      <c r="W56" s="60">
        <f t="shared" si="32"/>
        <v>7414.0500000000011</v>
      </c>
      <c r="X56" s="156"/>
      <c r="Y56" s="75"/>
      <c r="Z56" s="45"/>
    </row>
    <row r="57" spans="2:26" x14ac:dyDescent="0.3">
      <c r="B57" s="41" t="str">
        <f t="shared" si="36"/>
        <v>Soybean meal</v>
      </c>
      <c r="C57" s="63">
        <f t="shared" si="37"/>
        <v>0</v>
      </c>
      <c r="D57" s="68">
        <f t="shared" si="38"/>
        <v>0</v>
      </c>
      <c r="E57" s="63">
        <f t="shared" si="39"/>
        <v>0</v>
      </c>
      <c r="F57" s="68">
        <f t="shared" si="40"/>
        <v>0</v>
      </c>
      <c r="G57" s="68"/>
      <c r="H57" s="69"/>
      <c r="I57" s="69"/>
      <c r="K57" s="70" t="str">
        <f t="shared" si="30"/>
        <v>Minerals/vitamins</v>
      </c>
      <c r="L57" s="104">
        <v>0.5</v>
      </c>
      <c r="M57" s="101">
        <v>0.02</v>
      </c>
      <c r="N57" s="71">
        <f t="shared" si="33"/>
        <v>0.51</v>
      </c>
      <c r="O57" s="73">
        <f t="shared" si="34"/>
        <v>156.57</v>
      </c>
      <c r="P57" s="61"/>
      <c r="Q57" s="61"/>
      <c r="R57" s="61"/>
      <c r="S57" s="70" t="str">
        <f t="shared" si="31"/>
        <v>Minerals/vitamins</v>
      </c>
      <c r="T57" s="104">
        <v>0.5</v>
      </c>
      <c r="U57" s="101">
        <v>0.02</v>
      </c>
      <c r="V57" s="71">
        <f t="shared" si="35"/>
        <v>0.51</v>
      </c>
      <c r="W57" s="72">
        <f t="shared" si="32"/>
        <v>156.57</v>
      </c>
      <c r="X57" s="156"/>
      <c r="Y57" s="75"/>
      <c r="Z57" s="45"/>
    </row>
    <row r="58" spans="2:26" x14ac:dyDescent="0.3">
      <c r="B58" s="41" t="str">
        <f t="shared" ref="B58:B62" si="41">B73</f>
        <v>Dry distillers grain</v>
      </c>
      <c r="C58" s="63">
        <f>L81</f>
        <v>790.52500000000009</v>
      </c>
      <c r="D58" s="68">
        <f>N81</f>
        <v>67.589887500000017</v>
      </c>
      <c r="E58" s="63">
        <f>T81</f>
        <v>948.63</v>
      </c>
      <c r="F58" s="68">
        <f>V81</f>
        <v>81.107865000000004</v>
      </c>
      <c r="G58" s="68"/>
      <c r="H58" s="69"/>
      <c r="I58" s="69"/>
      <c r="L58" s="44"/>
      <c r="M58" s="44"/>
      <c r="N58" s="44"/>
      <c r="O58" s="44"/>
      <c r="P58" s="44"/>
      <c r="Q58" s="44"/>
      <c r="R58" s="44"/>
      <c r="Y58" s="75"/>
      <c r="Z58" s="45"/>
    </row>
    <row r="59" spans="2:26" x14ac:dyDescent="0.3">
      <c r="B59" s="41" t="str">
        <f t="shared" si="41"/>
        <v>Soybean hulls</v>
      </c>
      <c r="C59" s="63">
        <f>L82</f>
        <v>910.00500000000011</v>
      </c>
      <c r="D59" s="68">
        <f>N82</f>
        <v>81.900450000000006</v>
      </c>
      <c r="E59" s="63">
        <f>T82</f>
        <v>1068.1099999999999</v>
      </c>
      <c r="F59" s="68">
        <f>V82</f>
        <v>96.129899999999992</v>
      </c>
      <c r="G59" s="68"/>
      <c r="H59" s="69"/>
      <c r="I59" s="69"/>
      <c r="K59" s="43" t="str">
        <f>K45</f>
        <v>11,000 Pound Herd</v>
      </c>
      <c r="L59" s="43" t="s">
        <v>95</v>
      </c>
      <c r="M59" s="44"/>
      <c r="N59" s="44" t="s">
        <v>88</v>
      </c>
      <c r="O59" s="102">
        <v>58</v>
      </c>
      <c r="P59" s="44"/>
      <c r="Q59" s="44"/>
      <c r="R59" s="44"/>
      <c r="S59" s="43" t="str">
        <f>S45</f>
        <v>14,000 Pound Herd</v>
      </c>
      <c r="T59" s="43" t="s">
        <v>95</v>
      </c>
      <c r="V59" s="44" t="s">
        <v>88</v>
      </c>
      <c r="W59" s="44">
        <f>O59</f>
        <v>58</v>
      </c>
      <c r="Z59" s="45"/>
    </row>
    <row r="60" spans="2:26" x14ac:dyDescent="0.3">
      <c r="B60" s="41" t="str">
        <f t="shared" si="41"/>
        <v>Sorghum silage</v>
      </c>
      <c r="C60" s="63">
        <f>L83</f>
        <v>0</v>
      </c>
      <c r="D60" s="68">
        <f>N83</f>
        <v>0</v>
      </c>
      <c r="E60" s="63">
        <f>T83</f>
        <v>0</v>
      </c>
      <c r="F60" s="68">
        <f>V83</f>
        <v>0</v>
      </c>
      <c r="G60" s="68"/>
      <c r="H60" s="69"/>
      <c r="I60" s="69"/>
      <c r="L60" s="44" t="s">
        <v>92</v>
      </c>
      <c r="M60" s="44" t="s">
        <v>257</v>
      </c>
      <c r="N60" s="44" t="s">
        <v>92</v>
      </c>
      <c r="O60" s="44" t="s">
        <v>93</v>
      </c>
      <c r="P60" s="44"/>
      <c r="Q60" s="44"/>
      <c r="R60" s="44"/>
      <c r="T60" s="44" t="s">
        <v>92</v>
      </c>
      <c r="U60" s="44" t="s">
        <v>257</v>
      </c>
      <c r="V60" s="44" t="s">
        <v>92</v>
      </c>
      <c r="W60" s="44" t="s">
        <v>93</v>
      </c>
      <c r="X60" s="44"/>
      <c r="Y60" s="44"/>
      <c r="Z60" s="45"/>
    </row>
    <row r="61" spans="2:26" x14ac:dyDescent="0.3">
      <c r="B61" s="41" t="str">
        <f t="shared" si="41"/>
        <v>Pasture (dry matter)</v>
      </c>
      <c r="C61" s="63">
        <f>L84</f>
        <v>7335.3000000000011</v>
      </c>
      <c r="D61" s="68">
        <f>N84</f>
        <v>366.76500000000004</v>
      </c>
      <c r="E61" s="63">
        <f>T84</f>
        <v>7657.6500000000015</v>
      </c>
      <c r="F61" s="68">
        <f>V84</f>
        <v>382.88250000000005</v>
      </c>
      <c r="G61" s="68"/>
      <c r="H61" s="69"/>
      <c r="I61" s="69"/>
      <c r="K61" s="52" t="str">
        <f t="shared" ref="K61:K71" si="42">B67</f>
        <v>Corn silage</v>
      </c>
      <c r="L61" s="103">
        <v>0</v>
      </c>
      <c r="M61" s="98">
        <v>0.15</v>
      </c>
      <c r="N61" s="53">
        <f>L61*(1+M61)</f>
        <v>0</v>
      </c>
      <c r="O61" s="81">
        <f>N61*O$59</f>
        <v>0</v>
      </c>
      <c r="P61" s="149"/>
      <c r="Q61" s="149"/>
      <c r="R61" s="44"/>
      <c r="S61" s="52" t="str">
        <f t="shared" ref="S61:S71" si="43">B67</f>
        <v>Corn silage</v>
      </c>
      <c r="T61" s="103">
        <v>0</v>
      </c>
      <c r="U61" s="98">
        <v>0.15</v>
      </c>
      <c r="V61" s="53">
        <f>T61*(1+U61)</f>
        <v>0</v>
      </c>
      <c r="W61" s="81">
        <f t="shared" ref="W61:W71" si="44">V61*W$59</f>
        <v>0</v>
      </c>
      <c r="X61" s="157"/>
      <c r="Y61" s="62"/>
      <c r="Z61" s="45"/>
    </row>
    <row r="62" spans="2:26" x14ac:dyDescent="0.3">
      <c r="B62" s="41" t="str">
        <f t="shared" si="41"/>
        <v>Minerals/vitamins</v>
      </c>
      <c r="C62" s="63">
        <f>L85</f>
        <v>186.15</v>
      </c>
      <c r="D62" s="68">
        <f>N85</f>
        <v>78.183000000000007</v>
      </c>
      <c r="E62" s="63">
        <f>T85</f>
        <v>186.15</v>
      </c>
      <c r="F62" s="68">
        <f>V85</f>
        <v>78.183000000000007</v>
      </c>
      <c r="G62" s="68"/>
      <c r="H62" s="69"/>
      <c r="I62" s="69"/>
      <c r="K62" s="58" t="str">
        <f t="shared" si="42"/>
        <v>Alfalfa silage</v>
      </c>
      <c r="L62" s="102">
        <v>0</v>
      </c>
      <c r="M62" s="99">
        <v>0.15</v>
      </c>
      <c r="N62" s="59">
        <f t="shared" ref="N62:N71" si="45">L62*(1+M62)</f>
        <v>0</v>
      </c>
      <c r="O62" s="82">
        <f t="shared" ref="O62:O71" si="46">N62*O$59</f>
        <v>0</v>
      </c>
      <c r="P62" s="149"/>
      <c r="Q62" s="149"/>
      <c r="R62" s="44"/>
      <c r="S62" s="58" t="str">
        <f t="shared" si="43"/>
        <v>Alfalfa silage</v>
      </c>
      <c r="T62" s="102">
        <v>0</v>
      </c>
      <c r="U62" s="99">
        <v>0.15</v>
      </c>
      <c r="V62" s="59">
        <f t="shared" ref="V62:V71" si="47">T62*(1+U62)</f>
        <v>0</v>
      </c>
      <c r="W62" s="82">
        <f t="shared" si="44"/>
        <v>0</v>
      </c>
      <c r="X62" s="157"/>
      <c r="Y62" s="62"/>
      <c r="Z62" s="45"/>
    </row>
    <row r="63" spans="2:26" ht="18" thickBot="1" x14ac:dyDescent="0.35">
      <c r="B63" s="112" t="s">
        <v>58</v>
      </c>
      <c r="C63" s="77"/>
      <c r="D63" s="113">
        <f>SUM(D52:D62)</f>
        <v>862.23373928571436</v>
      </c>
      <c r="E63" s="77"/>
      <c r="F63" s="113">
        <f>SUM(F52:F62)</f>
        <v>942.69076500000006</v>
      </c>
      <c r="G63" s="113">
        <f>'Heifer Feed'!C50</f>
        <v>1019.102938095238</v>
      </c>
      <c r="H63" s="113">
        <f>D63+(G63*RotDairy!H91)</f>
        <v>1066.0543269047619</v>
      </c>
      <c r="I63" s="113">
        <f>F63+(G63*RotDairy!H91)</f>
        <v>1146.5113526190476</v>
      </c>
      <c r="K63" s="58" t="str">
        <f t="shared" si="42"/>
        <v>Alfalfa hay</v>
      </c>
      <c r="L63" s="102">
        <v>0</v>
      </c>
      <c r="M63" s="99">
        <v>0.05</v>
      </c>
      <c r="N63" s="59">
        <f t="shared" si="45"/>
        <v>0</v>
      </c>
      <c r="O63" s="82">
        <f t="shared" si="46"/>
        <v>0</v>
      </c>
      <c r="P63" s="149"/>
      <c r="Q63" s="149"/>
      <c r="R63" s="44"/>
      <c r="S63" s="58" t="str">
        <f t="shared" si="43"/>
        <v>Alfalfa hay</v>
      </c>
      <c r="T63" s="102">
        <v>0</v>
      </c>
      <c r="U63" s="99">
        <v>0.05</v>
      </c>
      <c r="V63" s="59">
        <f t="shared" si="47"/>
        <v>0</v>
      </c>
      <c r="W63" s="82">
        <f t="shared" si="44"/>
        <v>0</v>
      </c>
      <c r="X63" s="157"/>
      <c r="Y63" s="62"/>
      <c r="Z63" s="45"/>
    </row>
    <row r="64" spans="2:26" x14ac:dyDescent="0.3">
      <c r="B64" s="92"/>
      <c r="G64" s="93"/>
      <c r="K64" s="58" t="str">
        <f t="shared" si="42"/>
        <v>Grass hay</v>
      </c>
      <c r="L64" s="102">
        <v>10.5</v>
      </c>
      <c r="M64" s="99">
        <v>0.1</v>
      </c>
      <c r="N64" s="59">
        <f t="shared" si="45"/>
        <v>11.55</v>
      </c>
      <c r="O64" s="82">
        <f t="shared" si="46"/>
        <v>669.90000000000009</v>
      </c>
      <c r="P64" s="149"/>
      <c r="Q64" s="149"/>
      <c r="R64" s="44"/>
      <c r="S64" s="58" t="str">
        <f t="shared" si="43"/>
        <v>Grass hay</v>
      </c>
      <c r="T64" s="102">
        <v>10.5</v>
      </c>
      <c r="U64" s="99">
        <v>0.05</v>
      </c>
      <c r="V64" s="59">
        <f t="shared" si="47"/>
        <v>11.025</v>
      </c>
      <c r="W64" s="82">
        <f t="shared" si="44"/>
        <v>639.45000000000005</v>
      </c>
      <c r="X64" s="157"/>
      <c r="Y64" s="62"/>
      <c r="Z64" s="45"/>
    </row>
    <row r="65" spans="2:26" x14ac:dyDescent="0.3">
      <c r="K65" s="58" t="str">
        <f t="shared" si="42"/>
        <v>Corn, cracked</v>
      </c>
      <c r="L65" s="102">
        <v>2</v>
      </c>
      <c r="M65" s="99">
        <v>0.03</v>
      </c>
      <c r="N65" s="59">
        <f t="shared" si="45"/>
        <v>2.06</v>
      </c>
      <c r="O65" s="82">
        <f t="shared" si="46"/>
        <v>119.48</v>
      </c>
      <c r="P65" s="149"/>
      <c r="Q65" s="149"/>
      <c r="R65" s="44"/>
      <c r="S65" s="58" t="str">
        <f t="shared" si="43"/>
        <v>Corn, cracked</v>
      </c>
      <c r="T65" s="102">
        <v>2</v>
      </c>
      <c r="U65" s="99">
        <v>0.03</v>
      </c>
      <c r="V65" s="59">
        <f t="shared" si="47"/>
        <v>2.06</v>
      </c>
      <c r="W65" s="82">
        <f t="shared" si="44"/>
        <v>119.48</v>
      </c>
      <c r="X65" s="157"/>
      <c r="Y65" s="62"/>
      <c r="Z65" s="45"/>
    </row>
    <row r="66" spans="2:26" x14ac:dyDescent="0.3">
      <c r="B66" s="80" t="s">
        <v>127</v>
      </c>
      <c r="C66" s="44"/>
      <c r="D66" s="44"/>
      <c r="K66" s="58" t="str">
        <f t="shared" si="42"/>
        <v>Soybean meal</v>
      </c>
      <c r="L66" s="102">
        <v>0</v>
      </c>
      <c r="M66" s="99">
        <v>0.03</v>
      </c>
      <c r="N66" s="59">
        <f t="shared" si="45"/>
        <v>0</v>
      </c>
      <c r="O66" s="82">
        <f t="shared" si="46"/>
        <v>0</v>
      </c>
      <c r="P66" s="149"/>
      <c r="Q66" s="149"/>
      <c r="R66" s="44"/>
      <c r="S66" s="58" t="str">
        <f t="shared" si="43"/>
        <v>Soybean meal</v>
      </c>
      <c r="T66" s="102">
        <v>0</v>
      </c>
      <c r="U66" s="99">
        <v>0.03</v>
      </c>
      <c r="V66" s="59">
        <f t="shared" si="47"/>
        <v>0</v>
      </c>
      <c r="W66" s="82">
        <f t="shared" si="44"/>
        <v>0</v>
      </c>
      <c r="X66" s="157"/>
      <c r="Y66" s="62"/>
      <c r="Z66" s="45"/>
    </row>
    <row r="67" spans="2:26" x14ac:dyDescent="0.3">
      <c r="B67" s="111" t="s">
        <v>108</v>
      </c>
      <c r="C67" s="94"/>
      <c r="K67" s="58" t="str">
        <f t="shared" si="42"/>
        <v>Dry distillers grain</v>
      </c>
      <c r="L67" s="102">
        <v>0</v>
      </c>
      <c r="M67" s="99">
        <v>0.03</v>
      </c>
      <c r="N67" s="59">
        <f t="shared" si="45"/>
        <v>0</v>
      </c>
      <c r="O67" s="82">
        <f t="shared" si="46"/>
        <v>0</v>
      </c>
      <c r="P67" s="149"/>
      <c r="Q67" s="149"/>
      <c r="R67" s="44"/>
      <c r="S67" s="58" t="str">
        <f t="shared" si="43"/>
        <v>Dry distillers grain</v>
      </c>
      <c r="T67" s="102">
        <v>0</v>
      </c>
      <c r="U67" s="99">
        <v>0.03</v>
      </c>
      <c r="V67" s="59">
        <f t="shared" si="47"/>
        <v>0</v>
      </c>
      <c r="W67" s="82">
        <f t="shared" si="44"/>
        <v>0</v>
      </c>
      <c r="X67" s="157"/>
      <c r="Y67" s="62"/>
      <c r="Z67" s="45"/>
    </row>
    <row r="68" spans="2:26" x14ac:dyDescent="0.3">
      <c r="B68" s="111" t="s">
        <v>109</v>
      </c>
      <c r="C68" s="94"/>
      <c r="K68" s="58" t="str">
        <f t="shared" si="42"/>
        <v>Soybean hulls</v>
      </c>
      <c r="L68" s="102">
        <v>2</v>
      </c>
      <c r="M68" s="99">
        <v>0.03</v>
      </c>
      <c r="N68" s="59">
        <f t="shared" si="45"/>
        <v>2.06</v>
      </c>
      <c r="O68" s="82">
        <f t="shared" si="46"/>
        <v>119.48</v>
      </c>
      <c r="P68" s="149"/>
      <c r="Q68" s="149"/>
      <c r="R68" s="44"/>
      <c r="S68" s="58" t="str">
        <f t="shared" si="43"/>
        <v>Soybean hulls</v>
      </c>
      <c r="T68" s="102">
        <v>2</v>
      </c>
      <c r="U68" s="99">
        <v>0.03</v>
      </c>
      <c r="V68" s="59">
        <f t="shared" si="47"/>
        <v>2.06</v>
      </c>
      <c r="W68" s="82">
        <f t="shared" si="44"/>
        <v>119.48</v>
      </c>
      <c r="X68" s="157"/>
      <c r="Y68" s="62"/>
      <c r="Z68" s="45"/>
    </row>
    <row r="69" spans="2:26" x14ac:dyDescent="0.3">
      <c r="B69" s="111" t="s">
        <v>110</v>
      </c>
      <c r="C69" s="94"/>
      <c r="K69" s="58" t="str">
        <f t="shared" si="42"/>
        <v>Sorghum silage</v>
      </c>
      <c r="L69" s="102">
        <v>0</v>
      </c>
      <c r="M69" s="99">
        <v>0.02</v>
      </c>
      <c r="N69" s="59">
        <f t="shared" si="45"/>
        <v>0</v>
      </c>
      <c r="O69" s="82">
        <f t="shared" si="46"/>
        <v>0</v>
      </c>
      <c r="P69" s="149"/>
      <c r="Q69" s="149"/>
      <c r="R69" s="44"/>
      <c r="S69" s="58" t="str">
        <f t="shared" si="43"/>
        <v>Sorghum silage</v>
      </c>
      <c r="T69" s="102">
        <v>0</v>
      </c>
      <c r="U69" s="99">
        <v>0.02</v>
      </c>
      <c r="V69" s="59">
        <f t="shared" si="47"/>
        <v>0</v>
      </c>
      <c r="W69" s="82">
        <f t="shared" si="44"/>
        <v>0</v>
      </c>
      <c r="X69" s="157"/>
      <c r="Y69" s="62"/>
      <c r="Z69" s="45"/>
    </row>
    <row r="70" spans="2:26" x14ac:dyDescent="0.3">
      <c r="B70" s="111" t="s">
        <v>111</v>
      </c>
      <c r="C70" s="94"/>
      <c r="K70" s="58" t="str">
        <f t="shared" si="42"/>
        <v>Pasture (dry matter)</v>
      </c>
      <c r="L70" s="102">
        <v>4</v>
      </c>
      <c r="M70" s="99">
        <v>0.05</v>
      </c>
      <c r="N70" s="59">
        <f t="shared" si="45"/>
        <v>4.2</v>
      </c>
      <c r="O70" s="82">
        <f t="shared" si="46"/>
        <v>243.60000000000002</v>
      </c>
      <c r="P70" s="149"/>
      <c r="Q70" s="149"/>
      <c r="R70" s="44"/>
      <c r="S70" s="58" t="str">
        <f t="shared" si="43"/>
        <v>Pasture (dry matter)</v>
      </c>
      <c r="T70" s="102">
        <v>4</v>
      </c>
      <c r="U70" s="99">
        <v>0.05</v>
      </c>
      <c r="V70" s="59">
        <f t="shared" si="47"/>
        <v>4.2</v>
      </c>
      <c r="W70" s="82">
        <f t="shared" si="44"/>
        <v>243.60000000000002</v>
      </c>
      <c r="X70" s="157"/>
      <c r="Y70" s="62"/>
      <c r="Z70" s="45"/>
    </row>
    <row r="71" spans="2:26" x14ac:dyDescent="0.3">
      <c r="B71" s="111" t="s">
        <v>118</v>
      </c>
      <c r="C71" s="94"/>
      <c r="K71" s="70" t="str">
        <f t="shared" si="42"/>
        <v>Minerals/vitamins</v>
      </c>
      <c r="L71" s="104">
        <v>0.5</v>
      </c>
      <c r="M71" s="101">
        <v>0.02</v>
      </c>
      <c r="N71" s="71">
        <f t="shared" si="45"/>
        <v>0.51</v>
      </c>
      <c r="O71" s="83">
        <f t="shared" si="46"/>
        <v>29.580000000000002</v>
      </c>
      <c r="P71" s="149"/>
      <c r="Q71" s="149"/>
      <c r="R71" s="44"/>
      <c r="S71" s="70" t="str">
        <f t="shared" si="43"/>
        <v>Minerals/vitamins</v>
      </c>
      <c r="T71" s="104">
        <v>0.5</v>
      </c>
      <c r="U71" s="101">
        <v>0.02</v>
      </c>
      <c r="V71" s="71">
        <f t="shared" si="47"/>
        <v>0.51</v>
      </c>
      <c r="W71" s="83">
        <f t="shared" si="44"/>
        <v>29.580000000000002</v>
      </c>
      <c r="X71" s="157"/>
      <c r="Y71" s="75"/>
    </row>
    <row r="72" spans="2:26" x14ac:dyDescent="0.3">
      <c r="B72" s="111" t="s">
        <v>113</v>
      </c>
      <c r="C72" s="94"/>
      <c r="L72" s="44"/>
      <c r="M72" s="44"/>
      <c r="N72" s="44"/>
      <c r="O72" s="44"/>
      <c r="P72" s="44"/>
      <c r="Q72" s="44"/>
      <c r="R72" s="44"/>
      <c r="Y72" s="75"/>
    </row>
    <row r="73" spans="2:26" x14ac:dyDescent="0.3">
      <c r="B73" s="111" t="s">
        <v>114</v>
      </c>
      <c r="C73" s="94"/>
      <c r="K73" s="43" t="s">
        <v>90</v>
      </c>
      <c r="L73" s="45"/>
      <c r="N73" s="44"/>
      <c r="S73" s="43" t="s">
        <v>90</v>
      </c>
      <c r="T73" s="45"/>
      <c r="Y73" s="76"/>
    </row>
    <row r="74" spans="2:26" x14ac:dyDescent="0.3">
      <c r="B74" s="111" t="s">
        <v>115</v>
      </c>
      <c r="C74" s="94"/>
      <c r="L74" s="84" t="s">
        <v>96</v>
      </c>
      <c r="M74" s="85" t="s">
        <v>30</v>
      </c>
      <c r="N74" s="44" t="s">
        <v>151</v>
      </c>
      <c r="O74" s="44" t="s">
        <v>91</v>
      </c>
      <c r="P74" s="44"/>
      <c r="Q74" s="44"/>
      <c r="R74" s="44"/>
      <c r="T74" s="84" t="s">
        <v>96</v>
      </c>
      <c r="U74" s="44" t="s">
        <v>30</v>
      </c>
      <c r="V74" s="44" t="s">
        <v>151</v>
      </c>
      <c r="W74" s="44" t="s">
        <v>91</v>
      </c>
    </row>
    <row r="75" spans="2:26" x14ac:dyDescent="0.3">
      <c r="B75" s="111" t="s">
        <v>156</v>
      </c>
      <c r="C75" s="94"/>
      <c r="K75" s="52" t="str">
        <f t="shared" ref="K75:K85" si="48">B67</f>
        <v>Corn silage</v>
      </c>
      <c r="L75" s="86">
        <f t="shared" ref="L75:L85" si="49">O47+O61</f>
        <v>0</v>
      </c>
      <c r="M75" s="108">
        <f t="shared" ref="M75:M85" si="50">U75</f>
        <v>48</v>
      </c>
      <c r="N75" s="108">
        <f>L75*M75/2000</f>
        <v>0</v>
      </c>
      <c r="O75" s="87">
        <f>L75/2000</f>
        <v>0</v>
      </c>
      <c r="P75" s="76"/>
      <c r="Q75" s="76"/>
      <c r="R75" s="76"/>
      <c r="S75" s="52" t="str">
        <f t="shared" ref="S75:S85" si="51">S61</f>
        <v>Corn silage</v>
      </c>
      <c r="T75" s="86">
        <f t="shared" ref="T75:T83" si="52">W47+W61</f>
        <v>0</v>
      </c>
      <c r="U75" s="108">
        <f>Inputs!C9</f>
        <v>48</v>
      </c>
      <c r="V75" s="108">
        <f>T75*U75/2000</f>
        <v>0</v>
      </c>
      <c r="W75" s="87">
        <f>T75/2000</f>
        <v>0</v>
      </c>
      <c r="X75" s="44"/>
      <c r="Y75" s="44"/>
    </row>
    <row r="76" spans="2:26" x14ac:dyDescent="0.3">
      <c r="B76" s="111" t="s">
        <v>221</v>
      </c>
      <c r="C76" s="94"/>
      <c r="K76" s="58" t="str">
        <f t="shared" si="48"/>
        <v>Alfalfa silage</v>
      </c>
      <c r="L76" s="75">
        <f t="shared" si="49"/>
        <v>0</v>
      </c>
      <c r="M76" s="69">
        <f t="shared" si="50"/>
        <v>106</v>
      </c>
      <c r="N76" s="69">
        <f t="shared" ref="N76:N85" si="53">L76*M76/2000</f>
        <v>0</v>
      </c>
      <c r="O76" s="88">
        <f t="shared" ref="O76:O85" si="54">L76/2000</f>
        <v>0</v>
      </c>
      <c r="P76" s="76"/>
      <c r="Q76" s="76"/>
      <c r="R76" s="76"/>
      <c r="S76" s="58" t="str">
        <f t="shared" si="51"/>
        <v>Alfalfa silage</v>
      </c>
      <c r="T76" s="75">
        <f t="shared" si="52"/>
        <v>0</v>
      </c>
      <c r="U76" s="69">
        <f>Inputs!C5</f>
        <v>106</v>
      </c>
      <c r="V76" s="69">
        <f t="shared" ref="V76:V85" si="55">T76*U76/2000</f>
        <v>0</v>
      </c>
      <c r="W76" s="88">
        <f t="shared" ref="W76:W85" si="56">T76/2000</f>
        <v>0</v>
      </c>
      <c r="X76" s="157"/>
      <c r="Y76" s="75"/>
    </row>
    <row r="77" spans="2:26" x14ac:dyDescent="0.3">
      <c r="B77" s="111" t="s">
        <v>117</v>
      </c>
      <c r="C77" s="94"/>
      <c r="K77" s="58" t="str">
        <f t="shared" si="48"/>
        <v>Alfalfa hay</v>
      </c>
      <c r="L77" s="75">
        <f t="shared" si="49"/>
        <v>1289.4000000000001</v>
      </c>
      <c r="M77" s="69">
        <f t="shared" si="50"/>
        <v>250</v>
      </c>
      <c r="N77" s="69">
        <f t="shared" si="53"/>
        <v>161.17500000000001</v>
      </c>
      <c r="O77" s="88">
        <f t="shared" si="54"/>
        <v>0.64470000000000005</v>
      </c>
      <c r="P77" s="76"/>
      <c r="Q77" s="76"/>
      <c r="R77" s="76"/>
      <c r="S77" s="58" t="str">
        <f t="shared" si="51"/>
        <v>Alfalfa hay</v>
      </c>
      <c r="T77" s="75">
        <f t="shared" si="52"/>
        <v>1289.4000000000001</v>
      </c>
      <c r="U77" s="69">
        <f>Inputs!C4</f>
        <v>250</v>
      </c>
      <c r="V77" s="69">
        <f t="shared" si="55"/>
        <v>161.17500000000001</v>
      </c>
      <c r="W77" s="88">
        <f t="shared" si="56"/>
        <v>0.64470000000000005</v>
      </c>
      <c r="X77" s="157"/>
      <c r="Y77" s="75"/>
    </row>
    <row r="78" spans="2:26" x14ac:dyDescent="0.3">
      <c r="K78" s="58" t="str">
        <f t="shared" si="48"/>
        <v>Grass hay</v>
      </c>
      <c r="L78" s="75">
        <f t="shared" si="49"/>
        <v>669.90000000000009</v>
      </c>
      <c r="M78" s="69">
        <f t="shared" si="50"/>
        <v>100</v>
      </c>
      <c r="N78" s="69">
        <f t="shared" si="53"/>
        <v>33.495000000000005</v>
      </c>
      <c r="O78" s="88">
        <f t="shared" si="54"/>
        <v>0.33495000000000003</v>
      </c>
      <c r="P78" s="76"/>
      <c r="Q78" s="76"/>
      <c r="R78" s="76"/>
      <c r="S78" s="58" t="str">
        <f t="shared" si="51"/>
        <v>Grass hay</v>
      </c>
      <c r="T78" s="75">
        <f t="shared" si="52"/>
        <v>639.45000000000005</v>
      </c>
      <c r="U78" s="69">
        <f>Inputs!C13</f>
        <v>100</v>
      </c>
      <c r="V78" s="69">
        <f t="shared" si="55"/>
        <v>31.972500000000004</v>
      </c>
      <c r="W78" s="88">
        <f t="shared" si="56"/>
        <v>0.31972500000000004</v>
      </c>
      <c r="X78" s="157"/>
      <c r="Y78" s="75"/>
    </row>
    <row r="79" spans="2:26" x14ac:dyDescent="0.3">
      <c r="K79" s="58" t="str">
        <f t="shared" si="48"/>
        <v>Corn, cracked</v>
      </c>
      <c r="L79" s="75">
        <f t="shared" si="49"/>
        <v>910.00500000000011</v>
      </c>
      <c r="M79" s="69">
        <f t="shared" si="50"/>
        <v>160.71428571428572</v>
      </c>
      <c r="N79" s="69">
        <f t="shared" si="53"/>
        <v>73.125401785714303</v>
      </c>
      <c r="O79" s="88">
        <f t="shared" si="54"/>
        <v>0.45500250000000003</v>
      </c>
      <c r="P79" s="76"/>
      <c r="Q79" s="76"/>
      <c r="R79" s="76"/>
      <c r="S79" s="58" t="str">
        <f t="shared" si="51"/>
        <v>Corn, cracked</v>
      </c>
      <c r="T79" s="75">
        <f t="shared" si="52"/>
        <v>1384.3200000000002</v>
      </c>
      <c r="U79" s="69">
        <f>Inputs!G10*20</f>
        <v>160.71428571428572</v>
      </c>
      <c r="V79" s="69">
        <f t="shared" si="55"/>
        <v>111.24000000000001</v>
      </c>
      <c r="W79" s="88">
        <f t="shared" si="56"/>
        <v>0.69216000000000011</v>
      </c>
      <c r="X79" s="157"/>
      <c r="Y79" s="75"/>
    </row>
    <row r="80" spans="2:26" x14ac:dyDescent="0.3">
      <c r="K80" s="58" t="str">
        <f t="shared" si="48"/>
        <v>Soybean meal</v>
      </c>
      <c r="L80" s="75">
        <f t="shared" si="49"/>
        <v>0</v>
      </c>
      <c r="M80" s="69">
        <f t="shared" si="50"/>
        <v>370</v>
      </c>
      <c r="N80" s="69">
        <f t="shared" si="53"/>
        <v>0</v>
      </c>
      <c r="O80" s="88">
        <f t="shared" si="54"/>
        <v>0</v>
      </c>
      <c r="P80" s="76"/>
      <c r="Q80" s="76"/>
      <c r="R80" s="76"/>
      <c r="S80" s="58" t="str">
        <f t="shared" si="51"/>
        <v>Soybean meal</v>
      </c>
      <c r="T80" s="75">
        <f t="shared" si="52"/>
        <v>0</v>
      </c>
      <c r="U80" s="69">
        <f>Inputs!C22</f>
        <v>370</v>
      </c>
      <c r="V80" s="69">
        <f t="shared" si="55"/>
        <v>0</v>
      </c>
      <c r="W80" s="88">
        <f t="shared" si="56"/>
        <v>0</v>
      </c>
      <c r="X80" s="157"/>
      <c r="Y80" s="75"/>
    </row>
    <row r="81" spans="11:26" x14ac:dyDescent="0.3">
      <c r="K81" s="58" t="str">
        <f t="shared" si="48"/>
        <v>Dry distillers grain</v>
      </c>
      <c r="L81" s="75">
        <f t="shared" si="49"/>
        <v>790.52500000000009</v>
      </c>
      <c r="M81" s="69">
        <f t="shared" si="50"/>
        <v>171</v>
      </c>
      <c r="N81" s="69">
        <f t="shared" si="53"/>
        <v>67.589887500000017</v>
      </c>
      <c r="O81" s="88">
        <f t="shared" si="54"/>
        <v>0.39526250000000007</v>
      </c>
      <c r="P81" s="76"/>
      <c r="Q81" s="76"/>
      <c r="R81" s="76"/>
      <c r="S81" s="58" t="str">
        <f t="shared" si="51"/>
        <v>Dry distillers grain</v>
      </c>
      <c r="T81" s="75">
        <f t="shared" si="52"/>
        <v>948.63</v>
      </c>
      <c r="U81" s="69">
        <f>Inputs!C12</f>
        <v>171</v>
      </c>
      <c r="V81" s="69">
        <f t="shared" si="55"/>
        <v>81.107865000000004</v>
      </c>
      <c r="W81" s="88">
        <f t="shared" si="56"/>
        <v>0.47431499999999999</v>
      </c>
      <c r="X81" s="157"/>
      <c r="Y81" s="75"/>
    </row>
    <row r="82" spans="11:26" x14ac:dyDescent="0.3">
      <c r="K82" s="58" t="str">
        <f t="shared" si="48"/>
        <v>Soybean hulls</v>
      </c>
      <c r="L82" s="75">
        <f t="shared" si="49"/>
        <v>910.00500000000011</v>
      </c>
      <c r="M82" s="69">
        <f t="shared" si="50"/>
        <v>180</v>
      </c>
      <c r="N82" s="69">
        <f t="shared" si="53"/>
        <v>81.900450000000006</v>
      </c>
      <c r="O82" s="88">
        <f t="shared" si="54"/>
        <v>0.45500250000000003</v>
      </c>
      <c r="P82" s="76"/>
      <c r="Q82" s="76"/>
      <c r="R82" s="76"/>
      <c r="S82" s="58" t="str">
        <f t="shared" si="51"/>
        <v>Soybean hulls</v>
      </c>
      <c r="T82" s="75">
        <f t="shared" si="52"/>
        <v>1068.1099999999999</v>
      </c>
      <c r="U82" s="69">
        <f>Inputs!C21</f>
        <v>180</v>
      </c>
      <c r="V82" s="69">
        <f t="shared" si="55"/>
        <v>96.129899999999992</v>
      </c>
      <c r="W82" s="88">
        <f t="shared" si="56"/>
        <v>0.53405499999999995</v>
      </c>
      <c r="X82" s="157"/>
      <c r="Y82" s="75"/>
    </row>
    <row r="83" spans="11:26" x14ac:dyDescent="0.3">
      <c r="K83" s="58" t="str">
        <f t="shared" si="48"/>
        <v>Sorghum silage</v>
      </c>
      <c r="L83" s="75">
        <f t="shared" si="49"/>
        <v>0</v>
      </c>
      <c r="M83" s="69">
        <f t="shared" si="50"/>
        <v>35</v>
      </c>
      <c r="N83" s="69">
        <f t="shared" si="53"/>
        <v>0</v>
      </c>
      <c r="O83" s="88">
        <f t="shared" si="54"/>
        <v>0</v>
      </c>
      <c r="P83" s="76"/>
      <c r="Q83" s="76"/>
      <c r="R83" s="76"/>
      <c r="S83" s="58" t="str">
        <f t="shared" si="51"/>
        <v>Sorghum silage</v>
      </c>
      <c r="T83" s="75">
        <f t="shared" si="52"/>
        <v>0</v>
      </c>
      <c r="U83" s="69">
        <f>Inputs!C20</f>
        <v>35</v>
      </c>
      <c r="V83" s="69">
        <f t="shared" si="55"/>
        <v>0</v>
      </c>
      <c r="W83" s="88">
        <f t="shared" si="56"/>
        <v>0</v>
      </c>
      <c r="X83" s="157"/>
      <c r="Y83" s="75"/>
    </row>
    <row r="84" spans="11:26" x14ac:dyDescent="0.3">
      <c r="K84" s="58" t="str">
        <f t="shared" si="48"/>
        <v>Pasture (dry matter)</v>
      </c>
      <c r="L84" s="75">
        <f t="shared" si="49"/>
        <v>7335.3000000000011</v>
      </c>
      <c r="M84" s="69">
        <f t="shared" si="50"/>
        <v>100</v>
      </c>
      <c r="N84" s="69">
        <f t="shared" si="53"/>
        <v>366.76500000000004</v>
      </c>
      <c r="O84" s="88">
        <f t="shared" si="54"/>
        <v>3.6676500000000005</v>
      </c>
      <c r="P84" s="76"/>
      <c r="Q84" s="76"/>
      <c r="R84" s="76"/>
      <c r="S84" s="58" t="str">
        <f t="shared" si="51"/>
        <v>Pasture (dry matter)</v>
      </c>
      <c r="T84" s="75">
        <f>W70+W56</f>
        <v>7657.6500000000015</v>
      </c>
      <c r="U84" s="69">
        <f>Inputs!C18</f>
        <v>100</v>
      </c>
      <c r="V84" s="69">
        <f t="shared" si="55"/>
        <v>382.88250000000005</v>
      </c>
      <c r="W84" s="88">
        <f t="shared" si="56"/>
        <v>3.8288250000000006</v>
      </c>
      <c r="X84" s="157"/>
      <c r="Y84" s="75"/>
    </row>
    <row r="85" spans="11:26" x14ac:dyDescent="0.3">
      <c r="K85" s="70" t="str">
        <f t="shared" si="48"/>
        <v>Minerals/vitamins</v>
      </c>
      <c r="L85" s="50">
        <f t="shared" si="49"/>
        <v>186.15</v>
      </c>
      <c r="M85" s="109">
        <f t="shared" si="50"/>
        <v>840</v>
      </c>
      <c r="N85" s="109">
        <f t="shared" si="53"/>
        <v>78.183000000000007</v>
      </c>
      <c r="O85" s="89">
        <f t="shared" si="54"/>
        <v>9.3075000000000005E-2</v>
      </c>
      <c r="P85" s="90"/>
      <c r="Q85" s="90"/>
      <c r="R85" s="90"/>
      <c r="S85" s="70" t="str">
        <f t="shared" si="51"/>
        <v>Minerals/vitamins</v>
      </c>
      <c r="T85" s="50">
        <f>W57+W71</f>
        <v>186.15</v>
      </c>
      <c r="U85" s="109">
        <f>Inputs!C16</f>
        <v>840</v>
      </c>
      <c r="V85" s="109">
        <f t="shared" si="55"/>
        <v>78.183000000000007</v>
      </c>
      <c r="W85" s="89">
        <f t="shared" si="56"/>
        <v>9.3075000000000005E-2</v>
      </c>
      <c r="X85" s="157"/>
      <c r="Y85" s="75"/>
    </row>
    <row r="86" spans="11:26" x14ac:dyDescent="0.3">
      <c r="K86" s="44" t="s">
        <v>94</v>
      </c>
      <c r="L86" s="75">
        <f>SUM(L75:L85)</f>
        <v>12091.285000000002</v>
      </c>
      <c r="M86" s="110"/>
      <c r="N86" s="69">
        <f>SUM(N75:N85)</f>
        <v>862.23373928571436</v>
      </c>
      <c r="O86" s="69">
        <f>SUM(O75:O85)</f>
        <v>6.0456425000000005</v>
      </c>
      <c r="P86" s="69"/>
      <c r="Q86" s="69"/>
      <c r="R86" s="69"/>
      <c r="S86" s="91" t="s">
        <v>94</v>
      </c>
      <c r="T86" s="75">
        <f>SUM(T75:T85)</f>
        <v>13173.710000000001</v>
      </c>
      <c r="U86" s="110"/>
      <c r="V86" s="69">
        <f>SUM(V75:V85)</f>
        <v>942.69076500000006</v>
      </c>
      <c r="W86" s="69">
        <f>SUM(W75:W85)</f>
        <v>6.5868550000000008</v>
      </c>
      <c r="X86" s="157"/>
      <c r="Y86" s="75"/>
    </row>
    <row r="87" spans="11:26" x14ac:dyDescent="0.3">
      <c r="L87" s="45"/>
      <c r="T87" s="45"/>
      <c r="Y87" s="75"/>
    </row>
    <row r="88" spans="11:26" x14ac:dyDescent="0.3">
      <c r="L88" s="45"/>
      <c r="Y88" s="76"/>
      <c r="Z88" s="45"/>
    </row>
    <row r="89" spans="11:26" x14ac:dyDescent="0.3">
      <c r="L89" s="45"/>
      <c r="T89" s="91"/>
      <c r="Z89" s="45"/>
    </row>
    <row r="90" spans="11:26" hidden="1" x14ac:dyDescent="0.3">
      <c r="L90" s="44"/>
      <c r="M90" s="44"/>
      <c r="N90" s="44"/>
      <c r="O90" s="44"/>
      <c r="P90" s="44"/>
      <c r="Q90" s="44"/>
      <c r="R90" s="44"/>
      <c r="Z90" s="45"/>
    </row>
    <row r="91" spans="11:26" hidden="1" x14ac:dyDescent="0.3">
      <c r="L91" s="44"/>
      <c r="M91" s="44"/>
      <c r="N91" s="44"/>
      <c r="O91" s="44"/>
      <c r="P91" s="44"/>
      <c r="Q91" s="44"/>
      <c r="R91" s="44"/>
      <c r="Z91" s="45"/>
    </row>
    <row r="92" spans="11:26" hidden="1" x14ac:dyDescent="0.3">
      <c r="L92" s="44"/>
      <c r="M92" s="44"/>
      <c r="N92" s="44"/>
      <c r="O92" s="44"/>
      <c r="P92" s="44"/>
      <c r="Q92" s="44"/>
      <c r="R92" s="44"/>
      <c r="Z92" s="45"/>
    </row>
    <row r="93" spans="11:26" hidden="1" x14ac:dyDescent="0.3">
      <c r="L93" s="44"/>
      <c r="M93" s="44"/>
      <c r="N93" s="44"/>
      <c r="O93" s="44"/>
      <c r="P93" s="44"/>
      <c r="Q93" s="44"/>
      <c r="R93" s="44"/>
      <c r="U93" s="95"/>
      <c r="V93" s="95"/>
      <c r="W93" s="95"/>
      <c r="Z93" s="45"/>
    </row>
    <row r="94" spans="11:26" hidden="1" x14ac:dyDescent="0.3">
      <c r="L94" s="44"/>
      <c r="M94" s="44"/>
      <c r="N94" s="44"/>
      <c r="O94" s="44"/>
      <c r="P94" s="44"/>
      <c r="Q94" s="44"/>
      <c r="R94" s="44"/>
      <c r="U94" s="95"/>
      <c r="V94" s="95"/>
      <c r="W94" s="95"/>
      <c r="Z94" s="45"/>
    </row>
    <row r="95" spans="11:26" hidden="1" x14ac:dyDescent="0.3">
      <c r="L95" s="44"/>
      <c r="M95" s="44"/>
      <c r="N95" s="44"/>
      <c r="O95" s="44"/>
      <c r="P95" s="44"/>
      <c r="Q95" s="44"/>
      <c r="R95" s="44"/>
      <c r="U95" s="95"/>
      <c r="V95" s="95"/>
      <c r="W95" s="95"/>
      <c r="Z95" s="45"/>
    </row>
    <row r="96" spans="11:26" hidden="1" x14ac:dyDescent="0.3">
      <c r="L96" s="44"/>
      <c r="M96" s="44"/>
      <c r="N96" s="44"/>
      <c r="O96" s="44"/>
      <c r="P96" s="44"/>
      <c r="Q96" s="44"/>
      <c r="R96" s="44"/>
      <c r="U96" s="95"/>
      <c r="V96" s="95"/>
      <c r="W96" s="95"/>
      <c r="Z96" s="45"/>
    </row>
    <row r="97" spans="9:26" hidden="1" x14ac:dyDescent="0.3">
      <c r="L97" s="44"/>
      <c r="M97" s="44"/>
      <c r="N97" s="44"/>
      <c r="O97" s="44"/>
      <c r="P97" s="44"/>
      <c r="Q97" s="44"/>
      <c r="R97" s="44"/>
      <c r="U97" s="95"/>
      <c r="V97" s="95"/>
      <c r="W97" s="95"/>
      <c r="Z97" s="45"/>
    </row>
    <row r="98" spans="9:26" hidden="1" x14ac:dyDescent="0.3">
      <c r="L98" s="44"/>
      <c r="M98" s="44"/>
      <c r="N98" s="44"/>
      <c r="O98" s="44"/>
      <c r="P98" s="44"/>
      <c r="Q98" s="44"/>
      <c r="R98" s="44"/>
      <c r="U98" s="95"/>
      <c r="V98" s="95"/>
      <c r="W98" s="95"/>
      <c r="Z98" s="45"/>
    </row>
    <row r="99" spans="9:26" hidden="1" x14ac:dyDescent="0.3">
      <c r="L99" s="44"/>
      <c r="M99" s="44"/>
      <c r="N99" s="44"/>
      <c r="O99" s="44"/>
      <c r="P99" s="44"/>
      <c r="Q99" s="44"/>
      <c r="R99" s="44"/>
      <c r="U99" s="95"/>
      <c r="V99" s="95"/>
      <c r="W99" s="95"/>
      <c r="Z99" s="45"/>
    </row>
    <row r="100" spans="9:26" hidden="1" x14ac:dyDescent="0.3">
      <c r="L100" s="44"/>
      <c r="M100" s="44"/>
      <c r="N100" s="44"/>
      <c r="O100" s="44"/>
      <c r="P100" s="44"/>
      <c r="Q100" s="44"/>
      <c r="R100" s="44"/>
      <c r="U100" s="95"/>
      <c r="V100" s="95"/>
      <c r="W100" s="95"/>
      <c r="Z100" s="45"/>
    </row>
    <row r="101" spans="9:26" hidden="1" x14ac:dyDescent="0.3">
      <c r="L101" s="44"/>
      <c r="M101" s="44"/>
      <c r="N101" s="44"/>
      <c r="O101" s="44"/>
      <c r="P101" s="44"/>
      <c r="Q101" s="44"/>
      <c r="R101" s="44"/>
      <c r="U101" s="95"/>
      <c r="V101" s="95"/>
      <c r="W101" s="95"/>
      <c r="Z101" s="45"/>
    </row>
    <row r="102" spans="9:26" hidden="1" x14ac:dyDescent="0.3">
      <c r="L102" s="44"/>
      <c r="M102" s="44"/>
      <c r="N102" s="44"/>
      <c r="O102" s="44"/>
      <c r="P102" s="44"/>
      <c r="Q102" s="44"/>
      <c r="R102" s="44"/>
      <c r="U102" s="95"/>
      <c r="V102" s="95"/>
      <c r="W102" s="95"/>
      <c r="Z102" s="45"/>
    </row>
    <row r="103" spans="9:26" hidden="1" x14ac:dyDescent="0.3">
      <c r="L103" s="44"/>
      <c r="M103" s="44"/>
      <c r="N103" s="44"/>
      <c r="O103" s="44"/>
      <c r="P103" s="44"/>
      <c r="Q103" s="44"/>
      <c r="R103" s="44"/>
      <c r="U103" s="95"/>
      <c r="V103" s="95"/>
      <c r="W103" s="95"/>
      <c r="Z103" s="45"/>
    </row>
    <row r="104" spans="9:26" hidden="1" x14ac:dyDescent="0.3">
      <c r="L104" s="44"/>
      <c r="M104" s="44"/>
      <c r="N104" s="44"/>
      <c r="O104" s="44"/>
      <c r="P104" s="44"/>
      <c r="Q104" s="44"/>
      <c r="R104" s="44"/>
      <c r="Z104" s="45"/>
    </row>
    <row r="105" spans="9:26" hidden="1" x14ac:dyDescent="0.3">
      <c r="I105" s="64"/>
      <c r="L105" s="44"/>
      <c r="M105" s="44"/>
      <c r="N105" s="44"/>
      <c r="O105" s="44"/>
      <c r="P105" s="44"/>
      <c r="Q105" s="44"/>
      <c r="R105" s="44"/>
      <c r="Z105" s="45"/>
    </row>
    <row r="106" spans="9:26" hidden="1" x14ac:dyDescent="0.3">
      <c r="I106" s="68"/>
      <c r="L106" s="44"/>
      <c r="M106" s="44"/>
      <c r="N106" s="44"/>
      <c r="O106" s="44"/>
      <c r="P106" s="44"/>
      <c r="Q106" s="44"/>
      <c r="R106" s="44"/>
      <c r="Z106" s="45"/>
    </row>
    <row r="107" spans="9:26" hidden="1" x14ac:dyDescent="0.3">
      <c r="I107" s="68"/>
      <c r="L107" s="44"/>
      <c r="M107" s="44"/>
      <c r="N107" s="44"/>
      <c r="O107" s="44"/>
      <c r="P107" s="44"/>
      <c r="Q107" s="44"/>
      <c r="R107" s="44"/>
      <c r="Z107" s="45"/>
    </row>
    <row r="108" spans="9:26" hidden="1" x14ac:dyDescent="0.3">
      <c r="I108" s="68"/>
      <c r="L108" s="44"/>
      <c r="M108" s="44"/>
      <c r="N108" s="44"/>
      <c r="O108" s="44"/>
      <c r="P108" s="44"/>
      <c r="Q108" s="44"/>
      <c r="R108" s="44"/>
      <c r="Z108" s="45"/>
    </row>
    <row r="109" spans="9:26" hidden="1" x14ac:dyDescent="0.3">
      <c r="I109" s="68"/>
      <c r="K109" s="96"/>
      <c r="L109" s="44"/>
      <c r="M109" s="44"/>
      <c r="N109" s="44"/>
      <c r="O109" s="44"/>
      <c r="P109" s="44"/>
      <c r="Q109" s="44"/>
      <c r="R109" s="44"/>
      <c r="Z109" s="45"/>
    </row>
    <row r="110" spans="9:26" hidden="1" x14ac:dyDescent="0.3">
      <c r="I110" s="68"/>
      <c r="K110" s="96"/>
      <c r="L110" s="44"/>
      <c r="M110" s="44"/>
      <c r="N110" s="44"/>
      <c r="O110" s="44"/>
      <c r="P110" s="44"/>
      <c r="Q110" s="44"/>
      <c r="R110" s="44"/>
      <c r="Z110" s="45"/>
    </row>
    <row r="111" spans="9:26" hidden="1" x14ac:dyDescent="0.3">
      <c r="I111" s="68"/>
      <c r="L111" s="44"/>
      <c r="M111" s="44"/>
      <c r="N111" s="44"/>
      <c r="O111" s="44"/>
      <c r="P111" s="44"/>
      <c r="Q111" s="44"/>
      <c r="R111" s="44"/>
      <c r="Z111" s="45"/>
    </row>
    <row r="112" spans="9:26" hidden="1" x14ac:dyDescent="0.3">
      <c r="I112" s="68"/>
      <c r="L112" s="44"/>
      <c r="M112" s="44"/>
      <c r="N112" s="44"/>
      <c r="O112" s="44"/>
      <c r="P112" s="44"/>
      <c r="Q112" s="44"/>
      <c r="R112" s="44"/>
      <c r="Z112" s="45"/>
    </row>
    <row r="113" spans="9:26" hidden="1" x14ac:dyDescent="0.3">
      <c r="I113" s="68"/>
      <c r="L113" s="44"/>
      <c r="M113" s="44"/>
      <c r="N113" s="44"/>
      <c r="O113" s="44"/>
      <c r="P113" s="44"/>
      <c r="Q113" s="44"/>
      <c r="R113" s="44"/>
      <c r="Z113" s="45"/>
    </row>
    <row r="114" spans="9:26" hidden="1" x14ac:dyDescent="0.3">
      <c r="I114" s="68"/>
      <c r="L114" s="44"/>
      <c r="M114" s="44"/>
      <c r="N114" s="44"/>
      <c r="O114" s="44"/>
      <c r="P114" s="44"/>
      <c r="Q114" s="44"/>
      <c r="R114" s="44"/>
      <c r="Z114" s="45"/>
    </row>
    <row r="115" spans="9:26" hidden="1" x14ac:dyDescent="0.3">
      <c r="I115" s="68"/>
      <c r="L115" s="44"/>
      <c r="M115" s="44"/>
      <c r="N115" s="44"/>
      <c r="O115" s="44"/>
      <c r="P115" s="44"/>
      <c r="Q115" s="44"/>
      <c r="R115" s="44"/>
      <c r="Z115" s="45"/>
    </row>
    <row r="116" spans="9:26" hidden="1" x14ac:dyDescent="0.3">
      <c r="I116" s="66"/>
      <c r="L116" s="44"/>
      <c r="M116" s="44"/>
      <c r="N116" s="44"/>
      <c r="O116" s="44"/>
      <c r="P116" s="44"/>
      <c r="Q116" s="44"/>
      <c r="R116" s="44"/>
      <c r="Z116" s="45"/>
    </row>
    <row r="117" spans="9:26" hidden="1" x14ac:dyDescent="0.3">
      <c r="L117" s="44"/>
      <c r="M117" s="44"/>
      <c r="N117" s="44"/>
      <c r="O117" s="44"/>
      <c r="P117" s="44"/>
      <c r="Q117" s="44"/>
      <c r="R117" s="44"/>
      <c r="Z117" s="45"/>
    </row>
    <row r="118" spans="9:26" hidden="1" x14ac:dyDescent="0.3">
      <c r="L118" s="44"/>
      <c r="M118" s="44"/>
      <c r="N118" s="44"/>
      <c r="O118" s="44"/>
      <c r="P118" s="44"/>
      <c r="Q118" s="44"/>
      <c r="R118" s="44"/>
      <c r="Z118" s="45"/>
    </row>
    <row r="119" spans="9:26" hidden="1" x14ac:dyDescent="0.3">
      <c r="L119" s="44"/>
      <c r="M119" s="44"/>
      <c r="N119" s="44"/>
      <c r="O119" s="44"/>
      <c r="P119" s="44"/>
      <c r="Q119" s="44"/>
      <c r="R119" s="44"/>
      <c r="Z119" s="45"/>
    </row>
    <row r="120" spans="9:26" hidden="1" x14ac:dyDescent="0.3">
      <c r="L120" s="44"/>
      <c r="M120" s="44"/>
      <c r="N120" s="44"/>
      <c r="O120" s="44"/>
      <c r="P120" s="44"/>
      <c r="Q120" s="44"/>
      <c r="R120" s="44"/>
      <c r="Z120" s="45"/>
    </row>
    <row r="121" spans="9:26" hidden="1" x14ac:dyDescent="0.3">
      <c r="L121" s="44"/>
      <c r="M121" s="44"/>
      <c r="N121" s="44"/>
      <c r="O121" s="44"/>
      <c r="P121" s="44"/>
      <c r="Q121" s="44"/>
      <c r="R121" s="44"/>
      <c r="Z121" s="45"/>
    </row>
    <row r="122" spans="9:26" hidden="1" x14ac:dyDescent="0.3">
      <c r="L122" s="44"/>
      <c r="M122" s="44"/>
      <c r="N122" s="44"/>
      <c r="O122" s="44"/>
      <c r="P122" s="44"/>
      <c r="Q122" s="44"/>
      <c r="R122" s="44"/>
      <c r="Z122" s="45"/>
    </row>
    <row r="123" spans="9:26" hidden="1" x14ac:dyDescent="0.3">
      <c r="L123" s="44"/>
      <c r="M123" s="44"/>
      <c r="N123" s="44"/>
      <c r="O123" s="44"/>
      <c r="P123" s="44"/>
      <c r="Q123" s="44"/>
      <c r="R123" s="44"/>
      <c r="Z123" s="45"/>
    </row>
    <row r="124" spans="9:26" hidden="1" x14ac:dyDescent="0.3">
      <c r="L124" s="44"/>
      <c r="M124" s="44"/>
      <c r="N124" s="44"/>
      <c r="O124" s="44"/>
      <c r="P124" s="44"/>
      <c r="Q124" s="44"/>
      <c r="R124" s="44"/>
      <c r="Z124" s="45"/>
    </row>
    <row r="125" spans="9:26" hidden="1" x14ac:dyDescent="0.3">
      <c r="L125" s="44"/>
      <c r="M125" s="44"/>
      <c r="N125" s="44"/>
      <c r="O125" s="44"/>
      <c r="P125" s="44"/>
      <c r="Q125" s="44"/>
      <c r="R125" s="44"/>
      <c r="Z125" s="45"/>
    </row>
    <row r="126" spans="9:26" hidden="1" x14ac:dyDescent="0.3">
      <c r="L126" s="44"/>
      <c r="M126" s="44"/>
      <c r="N126" s="44"/>
      <c r="O126" s="44"/>
      <c r="P126" s="44"/>
      <c r="Q126" s="44"/>
      <c r="R126" s="44"/>
      <c r="Z126" s="45"/>
    </row>
    <row r="127" spans="9:26" hidden="1" x14ac:dyDescent="0.3">
      <c r="L127" s="44"/>
      <c r="M127" s="44"/>
      <c r="N127" s="44"/>
      <c r="O127" s="44"/>
      <c r="P127" s="44"/>
      <c r="Q127" s="44"/>
      <c r="R127" s="44"/>
      <c r="Z127" s="45"/>
    </row>
    <row r="128" spans="9:26" hidden="1" x14ac:dyDescent="0.3">
      <c r="L128" s="44"/>
      <c r="M128" s="44"/>
      <c r="N128" s="44"/>
      <c r="O128" s="44"/>
      <c r="P128" s="44"/>
      <c r="Q128" s="44"/>
      <c r="R128" s="44"/>
      <c r="Z128" s="45"/>
    </row>
    <row r="129" spans="12:26" hidden="1" x14ac:dyDescent="0.3">
      <c r="L129" s="44"/>
      <c r="M129" s="44"/>
      <c r="N129" s="44"/>
      <c r="O129" s="44"/>
      <c r="P129" s="44"/>
      <c r="Q129" s="44"/>
      <c r="R129" s="44"/>
      <c r="Z129" s="45"/>
    </row>
    <row r="130" spans="12:26" hidden="1" x14ac:dyDescent="0.3">
      <c r="L130" s="44"/>
      <c r="M130" s="44"/>
      <c r="N130" s="44"/>
      <c r="O130" s="44"/>
      <c r="P130" s="44"/>
      <c r="Q130" s="44"/>
      <c r="R130" s="44"/>
      <c r="Z130" s="45"/>
    </row>
    <row r="131" spans="12:26" hidden="1" x14ac:dyDescent="0.3">
      <c r="L131" s="44"/>
      <c r="M131" s="44"/>
      <c r="N131" s="44"/>
      <c r="O131" s="44"/>
      <c r="P131" s="44"/>
      <c r="Q131" s="44"/>
      <c r="R131" s="44"/>
      <c r="Z131" s="45"/>
    </row>
    <row r="132" spans="12:26" hidden="1" x14ac:dyDescent="0.3">
      <c r="L132" s="44"/>
      <c r="M132" s="44"/>
      <c r="N132" s="44"/>
      <c r="O132" s="44"/>
      <c r="P132" s="44"/>
      <c r="Q132" s="44"/>
      <c r="R132" s="44"/>
      <c r="Z132" s="45"/>
    </row>
    <row r="133" spans="12:26" hidden="1" x14ac:dyDescent="0.3">
      <c r="L133" s="44"/>
      <c r="M133" s="44"/>
      <c r="N133" s="44"/>
      <c r="O133" s="44"/>
      <c r="P133" s="44"/>
      <c r="Q133" s="44"/>
      <c r="R133" s="44"/>
      <c r="Z133" s="45"/>
    </row>
    <row r="134" spans="12:26" hidden="1" x14ac:dyDescent="0.3">
      <c r="L134" s="44"/>
      <c r="M134" s="44"/>
      <c r="N134" s="44"/>
      <c r="O134" s="44"/>
      <c r="P134" s="44"/>
      <c r="Q134" s="44"/>
      <c r="R134" s="44"/>
      <c r="Z134" s="45"/>
    </row>
    <row r="135" spans="12:26" hidden="1" x14ac:dyDescent="0.3">
      <c r="L135" s="44"/>
      <c r="M135" s="44"/>
      <c r="N135" s="44"/>
      <c r="O135" s="44"/>
      <c r="P135" s="44"/>
      <c r="Q135" s="44"/>
      <c r="R135" s="44"/>
      <c r="Z135" s="45"/>
    </row>
    <row r="136" spans="12:26" hidden="1" x14ac:dyDescent="0.3">
      <c r="L136" s="44"/>
      <c r="M136" s="44"/>
      <c r="N136" s="44"/>
      <c r="O136" s="44"/>
      <c r="P136" s="44"/>
      <c r="Q136" s="44"/>
      <c r="R136" s="44"/>
      <c r="Z136" s="45"/>
    </row>
    <row r="137" spans="12:26" hidden="1" x14ac:dyDescent="0.3">
      <c r="L137" s="44"/>
      <c r="M137" s="44"/>
      <c r="N137" s="44"/>
      <c r="O137" s="44"/>
      <c r="P137" s="44"/>
      <c r="Q137" s="44"/>
      <c r="R137" s="44"/>
      <c r="Z137" s="45"/>
    </row>
    <row r="138" spans="12:26" hidden="1" x14ac:dyDescent="0.3">
      <c r="L138" s="44"/>
      <c r="M138" s="44"/>
      <c r="N138" s="44"/>
      <c r="O138" s="44"/>
      <c r="P138" s="44"/>
      <c r="Q138" s="44"/>
      <c r="R138" s="44"/>
      <c r="Z138" s="45"/>
    </row>
    <row r="139" spans="12:26" hidden="1" x14ac:dyDescent="0.3">
      <c r="L139" s="44"/>
      <c r="M139" s="44"/>
      <c r="N139" s="44"/>
      <c r="O139" s="44"/>
      <c r="P139" s="44"/>
      <c r="Q139" s="44"/>
      <c r="R139" s="44"/>
      <c r="Z139" s="45"/>
    </row>
    <row r="140" spans="12:26" hidden="1" x14ac:dyDescent="0.3">
      <c r="L140" s="44"/>
      <c r="M140" s="44"/>
      <c r="N140" s="44"/>
      <c r="O140" s="44"/>
      <c r="P140" s="44"/>
      <c r="Q140" s="44"/>
      <c r="R140" s="44"/>
      <c r="Z140" s="45"/>
    </row>
    <row r="141" spans="12:26" hidden="1" x14ac:dyDescent="0.3">
      <c r="L141" s="44"/>
      <c r="M141" s="44"/>
      <c r="N141" s="44"/>
      <c r="O141" s="44"/>
      <c r="P141" s="44"/>
      <c r="Q141" s="44"/>
      <c r="R141" s="44"/>
      <c r="Z141" s="45"/>
    </row>
    <row r="142" spans="12:26" hidden="1" x14ac:dyDescent="0.3">
      <c r="L142" s="44"/>
      <c r="M142" s="44"/>
      <c r="N142" s="44"/>
      <c r="O142" s="44"/>
      <c r="P142" s="44"/>
      <c r="Q142" s="44"/>
      <c r="R142" s="44"/>
      <c r="Z142" s="45"/>
    </row>
    <row r="143" spans="12:26" hidden="1" x14ac:dyDescent="0.3">
      <c r="L143" s="44"/>
      <c r="M143" s="44"/>
      <c r="N143" s="44"/>
      <c r="O143" s="44"/>
      <c r="P143" s="44"/>
      <c r="Q143" s="44"/>
      <c r="R143" s="44"/>
      <c r="Z143" s="45"/>
    </row>
    <row r="144" spans="12:26" hidden="1" x14ac:dyDescent="0.3">
      <c r="L144" s="44"/>
      <c r="M144" s="44"/>
      <c r="N144" s="44"/>
      <c r="O144" s="44"/>
      <c r="P144" s="44"/>
      <c r="Q144" s="44"/>
      <c r="R144" s="44"/>
      <c r="Z144" s="45"/>
    </row>
    <row r="145" spans="12:26" hidden="1" x14ac:dyDescent="0.3">
      <c r="L145" s="44"/>
      <c r="M145" s="44"/>
      <c r="N145" s="44"/>
      <c r="O145" s="44"/>
      <c r="P145" s="44"/>
      <c r="Q145" s="44"/>
      <c r="R145" s="44"/>
      <c r="Z145" s="45"/>
    </row>
    <row r="146" spans="12:26" hidden="1" x14ac:dyDescent="0.3">
      <c r="L146" s="44"/>
      <c r="M146" s="44"/>
      <c r="N146" s="44"/>
      <c r="O146" s="44"/>
      <c r="P146" s="44"/>
      <c r="Q146" s="44"/>
      <c r="R146" s="44"/>
      <c r="Z146" s="45"/>
    </row>
    <row r="147" spans="12:26" hidden="1" x14ac:dyDescent="0.3">
      <c r="L147" s="44"/>
      <c r="M147" s="44"/>
      <c r="N147" s="44"/>
      <c r="O147" s="44"/>
      <c r="P147" s="44"/>
      <c r="Q147" s="44"/>
      <c r="R147" s="44"/>
      <c r="Z147" s="45"/>
    </row>
    <row r="148" spans="12:26" hidden="1" x14ac:dyDescent="0.3">
      <c r="L148" s="44"/>
      <c r="M148" s="44"/>
      <c r="N148" s="44"/>
      <c r="O148" s="44"/>
      <c r="P148" s="44"/>
      <c r="Q148" s="44"/>
      <c r="R148" s="44"/>
      <c r="Z148" s="45"/>
    </row>
    <row r="149" spans="12:26" hidden="1" x14ac:dyDescent="0.3">
      <c r="L149" s="44"/>
      <c r="M149" s="44"/>
      <c r="N149" s="44"/>
      <c r="O149" s="44"/>
      <c r="P149" s="44"/>
      <c r="Q149" s="44"/>
      <c r="R149" s="44"/>
      <c r="Z149" s="45"/>
    </row>
    <row r="150" spans="12:26" hidden="1" x14ac:dyDescent="0.3">
      <c r="L150" s="44"/>
      <c r="M150" s="44"/>
      <c r="N150" s="44"/>
      <c r="O150" s="44"/>
      <c r="P150" s="44"/>
      <c r="Q150" s="44"/>
      <c r="R150" s="44"/>
      <c r="Z150" s="45"/>
    </row>
    <row r="151" spans="12:26" hidden="1" x14ac:dyDescent="0.3">
      <c r="L151" s="44"/>
      <c r="M151" s="44"/>
      <c r="N151" s="44"/>
      <c r="O151" s="44"/>
      <c r="P151" s="44"/>
      <c r="Q151" s="44"/>
      <c r="R151" s="44"/>
      <c r="Z151" s="45"/>
    </row>
    <row r="152" spans="12:26" hidden="1" x14ac:dyDescent="0.3">
      <c r="L152" s="44"/>
      <c r="M152" s="44"/>
      <c r="N152" s="44"/>
      <c r="O152" s="44"/>
      <c r="P152" s="44"/>
      <c r="Q152" s="44"/>
      <c r="R152" s="44"/>
      <c r="Z152" s="45"/>
    </row>
    <row r="153" spans="12:26" hidden="1" x14ac:dyDescent="0.3">
      <c r="L153" s="44"/>
      <c r="M153" s="44"/>
      <c r="N153" s="44"/>
      <c r="O153" s="44"/>
      <c r="P153" s="44"/>
      <c r="Q153" s="44"/>
      <c r="R153" s="44"/>
      <c r="Z153" s="45"/>
    </row>
    <row r="154" spans="12:26" hidden="1" x14ac:dyDescent="0.3">
      <c r="L154" s="44"/>
      <c r="M154" s="44"/>
      <c r="N154" s="44"/>
      <c r="O154" s="44"/>
      <c r="P154" s="44"/>
      <c r="Q154" s="44"/>
      <c r="R154" s="44"/>
      <c r="Z154" s="45"/>
    </row>
    <row r="155" spans="12:26" hidden="1" x14ac:dyDescent="0.3">
      <c r="L155" s="44"/>
      <c r="M155" s="44"/>
      <c r="N155" s="44"/>
      <c r="O155" s="44"/>
      <c r="P155" s="44"/>
      <c r="Q155" s="44"/>
      <c r="R155" s="44"/>
      <c r="Z155" s="45"/>
    </row>
    <row r="156" spans="12:26" hidden="1" x14ac:dyDescent="0.3">
      <c r="L156" s="44"/>
      <c r="M156" s="44"/>
      <c r="N156" s="44"/>
      <c r="O156" s="44"/>
      <c r="P156" s="44"/>
      <c r="Q156" s="44"/>
      <c r="R156" s="44"/>
      <c r="Z156" s="45"/>
    </row>
    <row r="157" spans="12:26" hidden="1" x14ac:dyDescent="0.3">
      <c r="L157" s="44"/>
      <c r="M157" s="44"/>
      <c r="N157" s="44"/>
      <c r="O157" s="44"/>
      <c r="P157" s="44"/>
      <c r="Q157" s="44"/>
      <c r="R157" s="44"/>
      <c r="Z157" s="45"/>
    </row>
    <row r="158" spans="12:26" hidden="1" x14ac:dyDescent="0.3">
      <c r="L158" s="44"/>
      <c r="M158" s="44"/>
      <c r="N158" s="44"/>
      <c r="O158" s="44"/>
      <c r="P158" s="44"/>
      <c r="Q158" s="44"/>
      <c r="R158" s="44"/>
      <c r="Z158" s="45"/>
    </row>
    <row r="159" spans="12:26" hidden="1" x14ac:dyDescent="0.3">
      <c r="L159" s="44"/>
      <c r="M159" s="44"/>
      <c r="N159" s="44"/>
      <c r="O159" s="44"/>
      <c r="P159" s="44"/>
      <c r="Q159" s="44"/>
      <c r="R159" s="44"/>
      <c r="Z159" s="45"/>
    </row>
    <row r="160" spans="12:26" hidden="1" x14ac:dyDescent="0.3">
      <c r="L160" s="44"/>
      <c r="M160" s="44"/>
      <c r="N160" s="44"/>
      <c r="O160" s="44"/>
      <c r="P160" s="44"/>
      <c r="Q160" s="44"/>
      <c r="R160" s="44"/>
      <c r="Z160" s="45"/>
    </row>
    <row r="161" spans="12:26" hidden="1" x14ac:dyDescent="0.3">
      <c r="L161" s="44"/>
      <c r="M161" s="44"/>
      <c r="N161" s="44"/>
      <c r="O161" s="44"/>
      <c r="P161" s="44"/>
      <c r="Q161" s="44"/>
      <c r="R161" s="44"/>
      <c r="Z161" s="45"/>
    </row>
    <row r="162" spans="12:26" hidden="1" x14ac:dyDescent="0.3">
      <c r="L162" s="44"/>
      <c r="M162" s="44"/>
      <c r="N162" s="44"/>
      <c r="O162" s="44"/>
      <c r="P162" s="44"/>
      <c r="Q162" s="44"/>
      <c r="R162" s="44"/>
      <c r="Z162" s="45"/>
    </row>
    <row r="163" spans="12:26" hidden="1" x14ac:dyDescent="0.3">
      <c r="L163" s="44"/>
      <c r="M163" s="44"/>
      <c r="N163" s="44"/>
      <c r="O163" s="44"/>
      <c r="P163" s="44"/>
      <c r="Q163" s="44"/>
      <c r="R163" s="44"/>
      <c r="Z163" s="45"/>
    </row>
    <row r="164" spans="12:26" hidden="1" x14ac:dyDescent="0.3">
      <c r="L164" s="44"/>
      <c r="M164" s="44"/>
      <c r="N164" s="44"/>
      <c r="O164" s="44"/>
      <c r="P164" s="44"/>
      <c r="Q164" s="44"/>
      <c r="R164" s="44"/>
      <c r="Z164" s="45"/>
    </row>
    <row r="165" spans="12:26" hidden="1" x14ac:dyDescent="0.3">
      <c r="L165" s="44"/>
      <c r="M165" s="44"/>
      <c r="N165" s="44"/>
      <c r="O165" s="44"/>
      <c r="P165" s="44"/>
      <c r="Q165" s="44"/>
      <c r="R165" s="44"/>
      <c r="Z165" s="45"/>
    </row>
    <row r="166" spans="12:26" hidden="1" x14ac:dyDescent="0.3">
      <c r="L166" s="44"/>
      <c r="M166" s="44"/>
      <c r="N166" s="44"/>
      <c r="O166" s="44"/>
      <c r="P166" s="44"/>
      <c r="Q166" s="44"/>
      <c r="R166" s="44"/>
      <c r="Z166" s="45"/>
    </row>
    <row r="167" spans="12:26" hidden="1" x14ac:dyDescent="0.3">
      <c r="L167" s="44"/>
      <c r="M167" s="44"/>
      <c r="N167" s="44"/>
      <c r="O167" s="44"/>
      <c r="P167" s="44"/>
      <c r="Q167" s="44"/>
      <c r="R167" s="44"/>
      <c r="Z167" s="45"/>
    </row>
    <row r="168" spans="12:26" hidden="1" x14ac:dyDescent="0.3">
      <c r="L168" s="44"/>
      <c r="M168" s="44"/>
      <c r="N168" s="44"/>
      <c r="O168" s="44"/>
      <c r="P168" s="44"/>
      <c r="Q168" s="44"/>
      <c r="R168" s="44"/>
      <c r="Z168" s="45"/>
    </row>
    <row r="169" spans="12:26" hidden="1" x14ac:dyDescent="0.3">
      <c r="L169" s="44"/>
      <c r="M169" s="44"/>
      <c r="N169" s="44"/>
      <c r="O169" s="44"/>
      <c r="P169" s="44"/>
      <c r="Q169" s="44"/>
      <c r="R169" s="44"/>
      <c r="Z169" s="45"/>
    </row>
    <row r="170" spans="12:26" hidden="1" x14ac:dyDescent="0.3">
      <c r="L170" s="44"/>
      <c r="M170" s="44"/>
      <c r="N170" s="44"/>
      <c r="O170" s="44"/>
      <c r="P170" s="44"/>
      <c r="Q170" s="44"/>
      <c r="R170" s="44"/>
      <c r="Z170" s="45"/>
    </row>
    <row r="171" spans="12:26" hidden="1" x14ac:dyDescent="0.3">
      <c r="L171" s="44"/>
      <c r="M171" s="44"/>
      <c r="N171" s="44"/>
      <c r="O171" s="44"/>
      <c r="P171" s="44"/>
      <c r="Q171" s="44"/>
      <c r="R171" s="44"/>
      <c r="Z171" s="45"/>
    </row>
    <row r="172" spans="12:26" hidden="1" x14ac:dyDescent="0.3">
      <c r="L172" s="44"/>
      <c r="M172" s="44"/>
      <c r="N172" s="44"/>
      <c r="O172" s="44"/>
      <c r="P172" s="44"/>
      <c r="Q172" s="44"/>
      <c r="R172" s="44"/>
      <c r="Z172" s="45"/>
    </row>
    <row r="173" spans="12:26" hidden="1" x14ac:dyDescent="0.3">
      <c r="L173" s="44"/>
      <c r="M173" s="44"/>
      <c r="N173" s="44"/>
      <c r="O173" s="44"/>
      <c r="P173" s="44"/>
      <c r="Q173" s="44"/>
      <c r="R173" s="44"/>
      <c r="Z173" s="45"/>
    </row>
    <row r="174" spans="12:26" hidden="1" x14ac:dyDescent="0.3">
      <c r="L174" s="44"/>
      <c r="M174" s="44"/>
      <c r="N174" s="44"/>
      <c r="O174" s="44"/>
      <c r="P174" s="44"/>
      <c r="Q174" s="44"/>
      <c r="R174" s="44"/>
      <c r="Z174" s="45"/>
    </row>
    <row r="175" spans="12:26" hidden="1" x14ac:dyDescent="0.3">
      <c r="L175" s="44"/>
      <c r="M175" s="44"/>
      <c r="N175" s="44"/>
      <c r="O175" s="44"/>
      <c r="P175" s="44"/>
      <c r="Q175" s="44"/>
      <c r="R175" s="44"/>
      <c r="Z175" s="45"/>
    </row>
    <row r="176" spans="12:26" hidden="1" x14ac:dyDescent="0.3">
      <c r="L176" s="44"/>
      <c r="M176" s="44"/>
      <c r="N176" s="44"/>
      <c r="O176" s="44"/>
      <c r="P176" s="44"/>
      <c r="Q176" s="44"/>
      <c r="R176" s="44"/>
      <c r="Z176" s="45"/>
    </row>
    <row r="177" spans="12:26" hidden="1" x14ac:dyDescent="0.3">
      <c r="L177" s="44"/>
      <c r="M177" s="44"/>
      <c r="N177" s="44"/>
      <c r="O177" s="44"/>
      <c r="P177" s="44"/>
      <c r="Q177" s="44"/>
      <c r="R177" s="44"/>
      <c r="Z177" s="45"/>
    </row>
    <row r="178" spans="12:26" hidden="1" x14ac:dyDescent="0.3">
      <c r="L178" s="44"/>
      <c r="M178" s="44"/>
      <c r="N178" s="44"/>
      <c r="O178" s="44"/>
      <c r="P178" s="44"/>
      <c r="Q178" s="44"/>
      <c r="R178" s="44"/>
      <c r="Z178" s="45"/>
    </row>
    <row r="179" spans="12:26" hidden="1" x14ac:dyDescent="0.3">
      <c r="L179" s="44"/>
      <c r="M179" s="44"/>
      <c r="N179" s="44"/>
      <c r="O179" s="44"/>
      <c r="P179" s="44"/>
      <c r="Q179" s="44"/>
      <c r="R179" s="44"/>
      <c r="Z179" s="45"/>
    </row>
    <row r="180" spans="12:26" hidden="1" x14ac:dyDescent="0.3">
      <c r="L180" s="44"/>
      <c r="M180" s="44"/>
      <c r="N180" s="44"/>
      <c r="O180" s="44"/>
      <c r="P180" s="44"/>
      <c r="Q180" s="44"/>
      <c r="R180" s="44"/>
      <c r="Z180" s="45"/>
    </row>
    <row r="181" spans="12:26" hidden="1" x14ac:dyDescent="0.3">
      <c r="L181" s="44"/>
      <c r="M181" s="44"/>
      <c r="N181" s="44"/>
      <c r="O181" s="44"/>
      <c r="P181" s="44"/>
      <c r="Q181" s="44"/>
      <c r="R181" s="44"/>
      <c r="Z181" s="45"/>
    </row>
    <row r="182" spans="12:26" hidden="1" x14ac:dyDescent="0.3">
      <c r="L182" s="44"/>
      <c r="M182" s="44"/>
      <c r="N182" s="44"/>
      <c r="O182" s="44"/>
      <c r="P182" s="44"/>
      <c r="Q182" s="44"/>
      <c r="R182" s="44"/>
      <c r="Z182" s="45"/>
    </row>
    <row r="183" spans="12:26" hidden="1" x14ac:dyDescent="0.3">
      <c r="L183" s="44"/>
      <c r="M183" s="44"/>
      <c r="N183" s="44"/>
      <c r="O183" s="44"/>
      <c r="P183" s="44"/>
      <c r="Q183" s="44"/>
      <c r="R183" s="44"/>
      <c r="Z183" s="45"/>
    </row>
    <row r="184" spans="12:26" hidden="1" x14ac:dyDescent="0.3">
      <c r="L184" s="44"/>
      <c r="M184" s="44"/>
      <c r="N184" s="44"/>
      <c r="O184" s="44"/>
      <c r="P184" s="44"/>
      <c r="Q184" s="44"/>
      <c r="R184" s="44"/>
      <c r="Z184" s="45"/>
    </row>
    <row r="185" spans="12:26" hidden="1" x14ac:dyDescent="0.3">
      <c r="L185" s="44"/>
      <c r="M185" s="44"/>
      <c r="N185" s="44"/>
      <c r="O185" s="44"/>
      <c r="P185" s="44"/>
      <c r="Q185" s="44"/>
      <c r="R185" s="44"/>
      <c r="Z185" s="45"/>
    </row>
    <row r="186" spans="12:26" hidden="1" x14ac:dyDescent="0.3">
      <c r="L186" s="44"/>
      <c r="M186" s="44"/>
      <c r="N186" s="44"/>
      <c r="O186" s="44"/>
      <c r="P186" s="44"/>
      <c r="Q186" s="44"/>
      <c r="R186" s="44"/>
      <c r="Z186" s="45"/>
    </row>
    <row r="187" spans="12:26" hidden="1" x14ac:dyDescent="0.3">
      <c r="L187" s="44"/>
      <c r="M187" s="44"/>
      <c r="N187" s="44"/>
      <c r="O187" s="44"/>
      <c r="P187" s="44"/>
      <c r="Q187" s="44"/>
      <c r="R187" s="44"/>
      <c r="Z187" s="45"/>
    </row>
    <row r="188" spans="12:26" hidden="1" x14ac:dyDescent="0.3">
      <c r="L188" s="44"/>
      <c r="M188" s="44"/>
      <c r="N188" s="44"/>
      <c r="O188" s="44"/>
      <c r="P188" s="44"/>
      <c r="Q188" s="44"/>
      <c r="R188" s="44"/>
      <c r="Z188" s="45"/>
    </row>
    <row r="189" spans="12:26" hidden="1" x14ac:dyDescent="0.3">
      <c r="L189" s="44"/>
      <c r="M189" s="44"/>
      <c r="N189" s="44"/>
      <c r="O189" s="44"/>
      <c r="P189" s="44"/>
      <c r="Q189" s="44"/>
      <c r="R189" s="44"/>
      <c r="Z189" s="45"/>
    </row>
    <row r="190" spans="12:26" hidden="1" x14ac:dyDescent="0.3">
      <c r="L190" s="44"/>
      <c r="M190" s="44"/>
      <c r="N190" s="44"/>
      <c r="O190" s="44"/>
      <c r="P190" s="44"/>
      <c r="Q190" s="44"/>
      <c r="R190" s="44"/>
      <c r="Z190" s="45"/>
    </row>
    <row r="191" spans="12:26" hidden="1" x14ac:dyDescent="0.3">
      <c r="L191" s="44"/>
      <c r="M191" s="44"/>
      <c r="N191" s="44"/>
      <c r="O191" s="44"/>
      <c r="P191" s="44"/>
      <c r="Q191" s="44"/>
      <c r="R191" s="44"/>
      <c r="Z191" s="45"/>
    </row>
    <row r="192" spans="12:26" hidden="1" x14ac:dyDescent="0.3">
      <c r="L192" s="44"/>
      <c r="M192" s="44"/>
      <c r="N192" s="44"/>
      <c r="O192" s="44"/>
      <c r="P192" s="44"/>
      <c r="Q192" s="44"/>
      <c r="R192" s="44"/>
      <c r="Z192" s="45"/>
    </row>
    <row r="193" spans="12:26" hidden="1" x14ac:dyDescent="0.3">
      <c r="L193" s="44"/>
      <c r="M193" s="44"/>
      <c r="N193" s="44"/>
      <c r="O193" s="44"/>
      <c r="P193" s="44"/>
      <c r="Q193" s="44"/>
      <c r="R193" s="44"/>
      <c r="Z193" s="45"/>
    </row>
    <row r="194" spans="12:26" hidden="1" x14ac:dyDescent="0.3">
      <c r="L194" s="44"/>
      <c r="M194" s="44"/>
      <c r="N194" s="44"/>
      <c r="O194" s="44"/>
      <c r="P194" s="44"/>
      <c r="Q194" s="44"/>
      <c r="R194" s="44"/>
      <c r="Z194" s="45"/>
    </row>
    <row r="195" spans="12:26" hidden="1" x14ac:dyDescent="0.3">
      <c r="L195" s="44"/>
      <c r="M195" s="44"/>
      <c r="N195" s="44"/>
      <c r="O195" s="44"/>
      <c r="P195" s="44"/>
      <c r="Q195" s="44"/>
      <c r="R195" s="44"/>
      <c r="Z195" s="45"/>
    </row>
    <row r="196" spans="12:26" hidden="1" x14ac:dyDescent="0.3">
      <c r="L196" s="44"/>
      <c r="M196" s="44"/>
      <c r="N196" s="44"/>
      <c r="O196" s="44"/>
      <c r="P196" s="44"/>
      <c r="Q196" s="44"/>
      <c r="R196" s="44"/>
      <c r="Z196" s="45"/>
    </row>
    <row r="197" spans="12:26" hidden="1" x14ac:dyDescent="0.3">
      <c r="L197" s="44"/>
      <c r="M197" s="44"/>
      <c r="N197" s="44"/>
      <c r="O197" s="44"/>
      <c r="P197" s="44"/>
      <c r="Q197" s="44"/>
      <c r="R197" s="44"/>
      <c r="Z197" s="45"/>
    </row>
    <row r="198" spans="12:26" hidden="1" x14ac:dyDescent="0.3">
      <c r="L198" s="44"/>
      <c r="M198" s="44"/>
      <c r="N198" s="44"/>
      <c r="O198" s="44"/>
      <c r="P198" s="44"/>
      <c r="Q198" s="44"/>
      <c r="R198" s="44"/>
      <c r="Z198" s="45"/>
    </row>
    <row r="199" spans="12:26" hidden="1" x14ac:dyDescent="0.3">
      <c r="L199" s="44"/>
      <c r="M199" s="44"/>
      <c r="N199" s="44"/>
      <c r="O199" s="44"/>
      <c r="P199" s="44"/>
      <c r="Q199" s="44"/>
      <c r="R199" s="44"/>
      <c r="Z199" s="45"/>
    </row>
    <row r="200" spans="12:26" hidden="1" x14ac:dyDescent="0.3">
      <c r="L200" s="44"/>
      <c r="M200" s="44"/>
      <c r="N200" s="44"/>
      <c r="O200" s="44"/>
      <c r="P200" s="44"/>
      <c r="Q200" s="44"/>
      <c r="R200" s="44"/>
      <c r="Z200" s="45"/>
    </row>
    <row r="201" spans="12:26" hidden="1" x14ac:dyDescent="0.3">
      <c r="L201" s="44"/>
      <c r="M201" s="44"/>
      <c r="N201" s="44"/>
      <c r="O201" s="44"/>
      <c r="P201" s="44"/>
      <c r="Q201" s="44"/>
      <c r="R201" s="44"/>
      <c r="Z201" s="45"/>
    </row>
    <row r="202" spans="12:26" hidden="1" x14ac:dyDescent="0.3">
      <c r="L202" s="44"/>
      <c r="M202" s="44"/>
      <c r="N202" s="44"/>
      <c r="O202" s="44"/>
      <c r="P202" s="44"/>
      <c r="Q202" s="44"/>
      <c r="R202" s="44"/>
      <c r="Z202" s="45"/>
    </row>
    <row r="203" spans="12:26" hidden="1" x14ac:dyDescent="0.3">
      <c r="L203" s="44"/>
      <c r="M203" s="44"/>
      <c r="N203" s="44"/>
      <c r="O203" s="44"/>
      <c r="P203" s="44"/>
      <c r="Q203" s="44"/>
      <c r="R203" s="44"/>
      <c r="Z203" s="45"/>
    </row>
    <row r="204" spans="12:26" hidden="1" x14ac:dyDescent="0.3">
      <c r="L204" s="44"/>
      <c r="M204" s="44"/>
      <c r="N204" s="44"/>
      <c r="O204" s="44"/>
      <c r="P204" s="44"/>
      <c r="Q204" s="44"/>
      <c r="R204" s="44"/>
      <c r="Z204" s="45"/>
    </row>
    <row r="205" spans="12:26" hidden="1" x14ac:dyDescent="0.3">
      <c r="L205" s="44"/>
      <c r="M205" s="44"/>
      <c r="N205" s="44"/>
      <c r="O205" s="44"/>
      <c r="P205" s="44"/>
      <c r="Q205" s="44"/>
      <c r="R205" s="44"/>
      <c r="Z205" s="45"/>
    </row>
    <row r="206" spans="12:26" hidden="1" x14ac:dyDescent="0.3">
      <c r="L206" s="44"/>
      <c r="M206" s="44"/>
      <c r="N206" s="44"/>
      <c r="O206" s="44"/>
      <c r="P206" s="44"/>
      <c r="Q206" s="44"/>
      <c r="R206" s="44"/>
      <c r="Z206" s="45"/>
    </row>
    <row r="207" spans="12:26" hidden="1" x14ac:dyDescent="0.3">
      <c r="L207" s="44"/>
      <c r="M207" s="44"/>
      <c r="N207" s="44"/>
      <c r="O207" s="44"/>
      <c r="P207" s="44"/>
      <c r="Q207" s="44"/>
      <c r="R207" s="44"/>
      <c r="Z207" s="45"/>
    </row>
    <row r="208" spans="12:26" hidden="1" x14ac:dyDescent="0.3">
      <c r="L208" s="44"/>
      <c r="M208" s="44"/>
      <c r="N208" s="44"/>
      <c r="O208" s="44"/>
      <c r="P208" s="44"/>
      <c r="Q208" s="44"/>
      <c r="R208" s="44"/>
      <c r="Z208" s="45"/>
    </row>
    <row r="209" spans="12:26" hidden="1" x14ac:dyDescent="0.3">
      <c r="L209" s="44"/>
      <c r="M209" s="44"/>
      <c r="N209" s="44"/>
      <c r="O209" s="44"/>
      <c r="P209" s="44"/>
      <c r="Q209" s="44"/>
      <c r="R209" s="44"/>
      <c r="Z209" s="45"/>
    </row>
    <row r="210" spans="12:26" hidden="1" x14ac:dyDescent="0.3">
      <c r="L210" s="44"/>
      <c r="M210" s="44"/>
      <c r="N210" s="44"/>
      <c r="O210" s="44"/>
      <c r="P210" s="44"/>
      <c r="Q210" s="44"/>
      <c r="R210" s="44"/>
      <c r="Z210" s="45"/>
    </row>
    <row r="211" spans="12:26" hidden="1" x14ac:dyDescent="0.3">
      <c r="L211" s="44"/>
      <c r="M211" s="44"/>
      <c r="N211" s="44"/>
      <c r="O211" s="44"/>
      <c r="P211" s="44"/>
      <c r="Q211" s="44"/>
      <c r="R211" s="44"/>
      <c r="Z211" s="45"/>
    </row>
    <row r="212" spans="12:26" hidden="1" x14ac:dyDescent="0.3">
      <c r="L212" s="44"/>
      <c r="M212" s="44"/>
      <c r="N212" s="44"/>
      <c r="O212" s="44"/>
      <c r="P212" s="44"/>
      <c r="Q212" s="44"/>
      <c r="R212" s="44"/>
      <c r="Z212" s="45"/>
    </row>
    <row r="213" spans="12:26" hidden="1" x14ac:dyDescent="0.3">
      <c r="L213" s="44"/>
      <c r="M213" s="44"/>
      <c r="N213" s="44"/>
      <c r="O213" s="44"/>
      <c r="P213" s="44"/>
      <c r="Q213" s="44"/>
      <c r="R213" s="44"/>
      <c r="Z213" s="45"/>
    </row>
    <row r="214" spans="12:26" hidden="1" x14ac:dyDescent="0.3">
      <c r="L214" s="44"/>
      <c r="M214" s="44"/>
      <c r="N214" s="44"/>
      <c r="O214" s="44"/>
      <c r="P214" s="44"/>
      <c r="Q214" s="44"/>
      <c r="R214" s="44"/>
      <c r="Z214" s="45"/>
    </row>
    <row r="215" spans="12:26" hidden="1" x14ac:dyDescent="0.3">
      <c r="L215" s="44"/>
      <c r="M215" s="44"/>
      <c r="N215" s="44"/>
      <c r="O215" s="44"/>
      <c r="P215" s="44"/>
      <c r="Q215" s="44"/>
      <c r="R215" s="44"/>
      <c r="Z215" s="45"/>
    </row>
    <row r="216" spans="12:26" hidden="1" x14ac:dyDescent="0.3">
      <c r="L216" s="44"/>
      <c r="M216" s="44"/>
      <c r="N216" s="44"/>
      <c r="O216" s="44"/>
      <c r="P216" s="44"/>
      <c r="Q216" s="44"/>
      <c r="R216" s="44"/>
      <c r="Z216" s="45"/>
    </row>
    <row r="217" spans="12:26" hidden="1" x14ac:dyDescent="0.3">
      <c r="L217" s="44"/>
      <c r="M217" s="44"/>
      <c r="N217" s="44"/>
      <c r="O217" s="44"/>
      <c r="P217" s="44"/>
      <c r="Q217" s="44"/>
      <c r="R217" s="44"/>
      <c r="Z217" s="45"/>
    </row>
    <row r="218" spans="12:26" hidden="1" x14ac:dyDescent="0.3">
      <c r="L218" s="44"/>
      <c r="M218" s="44"/>
      <c r="N218" s="44"/>
      <c r="O218" s="44"/>
      <c r="P218" s="44"/>
      <c r="Q218" s="44"/>
      <c r="R218" s="44"/>
      <c r="Z218" s="45"/>
    </row>
    <row r="219" spans="12:26" hidden="1" x14ac:dyDescent="0.3">
      <c r="L219" s="44"/>
      <c r="M219" s="44"/>
      <c r="N219" s="44"/>
      <c r="O219" s="44"/>
      <c r="P219" s="44"/>
      <c r="Q219" s="44"/>
      <c r="R219" s="44"/>
      <c r="Z219" s="45"/>
    </row>
    <row r="220" spans="12:26" hidden="1" x14ac:dyDescent="0.3">
      <c r="L220" s="44"/>
      <c r="M220" s="44"/>
      <c r="N220" s="44"/>
      <c r="O220" s="44"/>
      <c r="P220" s="44"/>
      <c r="Q220" s="44"/>
      <c r="R220" s="44"/>
      <c r="Z220" s="45"/>
    </row>
    <row r="221" spans="12:26" hidden="1" x14ac:dyDescent="0.3">
      <c r="L221" s="44"/>
      <c r="M221" s="44"/>
      <c r="N221" s="44"/>
      <c r="O221" s="44"/>
      <c r="P221" s="44"/>
      <c r="Q221" s="44"/>
      <c r="R221" s="44"/>
      <c r="Z221" s="45"/>
    </row>
    <row r="222" spans="12:26" hidden="1" x14ac:dyDescent="0.3">
      <c r="L222" s="44"/>
      <c r="M222" s="44"/>
      <c r="N222" s="44"/>
      <c r="O222" s="44"/>
      <c r="P222" s="44"/>
      <c r="Q222" s="44"/>
      <c r="R222" s="44"/>
      <c r="Z222" s="45"/>
    </row>
    <row r="223" spans="12:26" hidden="1" x14ac:dyDescent="0.3">
      <c r="L223" s="44"/>
      <c r="M223" s="44"/>
      <c r="N223" s="44"/>
      <c r="O223" s="44"/>
      <c r="P223" s="44"/>
      <c r="Q223" s="44"/>
      <c r="R223" s="44"/>
      <c r="Z223" s="45"/>
    </row>
    <row r="224" spans="12:26" hidden="1" x14ac:dyDescent="0.3">
      <c r="L224" s="44"/>
      <c r="M224" s="44"/>
      <c r="N224" s="44"/>
      <c r="O224" s="44"/>
      <c r="P224" s="44"/>
      <c r="Q224" s="44"/>
      <c r="R224" s="44"/>
      <c r="Z224" s="45"/>
    </row>
    <row r="225" spans="12:26" hidden="1" x14ac:dyDescent="0.3">
      <c r="L225" s="44"/>
      <c r="M225" s="44"/>
      <c r="N225" s="44"/>
      <c r="O225" s="44"/>
      <c r="P225" s="44"/>
      <c r="Q225" s="44"/>
      <c r="R225" s="44"/>
      <c r="Z225" s="45"/>
    </row>
    <row r="226" spans="12:26" hidden="1" x14ac:dyDescent="0.3">
      <c r="L226" s="44"/>
      <c r="M226" s="44"/>
      <c r="N226" s="44"/>
      <c r="O226" s="44"/>
      <c r="P226" s="44"/>
      <c r="Q226" s="44"/>
      <c r="R226" s="44"/>
      <c r="Z226" s="45"/>
    </row>
    <row r="227" spans="12:26" hidden="1" x14ac:dyDescent="0.3">
      <c r="L227" s="44"/>
      <c r="M227" s="44"/>
      <c r="N227" s="44"/>
      <c r="O227" s="44"/>
      <c r="P227" s="44"/>
      <c r="Q227" s="44"/>
      <c r="R227" s="44"/>
      <c r="Z227" s="45"/>
    </row>
    <row r="228" spans="12:26" hidden="1" x14ac:dyDescent="0.3">
      <c r="L228" s="44"/>
      <c r="M228" s="44"/>
      <c r="N228" s="44"/>
      <c r="O228" s="44"/>
      <c r="P228" s="44"/>
      <c r="Q228" s="44"/>
      <c r="R228" s="44"/>
      <c r="Z228" s="45"/>
    </row>
    <row r="229" spans="12:26" hidden="1" x14ac:dyDescent="0.3">
      <c r="L229" s="44"/>
      <c r="M229" s="44"/>
      <c r="N229" s="44"/>
      <c r="O229" s="44"/>
      <c r="P229" s="44"/>
      <c r="Q229" s="44"/>
      <c r="R229" s="44"/>
      <c r="Z229" s="45"/>
    </row>
    <row r="230" spans="12:26" hidden="1" x14ac:dyDescent="0.3">
      <c r="L230" s="44"/>
      <c r="M230" s="44"/>
      <c r="N230" s="44"/>
      <c r="O230" s="44"/>
      <c r="P230" s="44"/>
      <c r="Q230" s="44"/>
      <c r="R230" s="44"/>
      <c r="Z230" s="45"/>
    </row>
    <row r="231" spans="12:26" hidden="1" x14ac:dyDescent="0.3">
      <c r="L231" s="44"/>
      <c r="M231" s="44"/>
      <c r="N231" s="44"/>
      <c r="O231" s="44"/>
      <c r="P231" s="44"/>
      <c r="Q231" s="44"/>
      <c r="R231" s="44"/>
      <c r="Z231" s="45"/>
    </row>
    <row r="232" spans="12:26" hidden="1" x14ac:dyDescent="0.3">
      <c r="L232" s="44"/>
      <c r="M232" s="44"/>
      <c r="N232" s="44"/>
      <c r="O232" s="44"/>
      <c r="P232" s="44"/>
      <c r="Q232" s="44"/>
      <c r="R232" s="44"/>
      <c r="Z232" s="45"/>
    </row>
    <row r="233" spans="12:26" hidden="1" x14ac:dyDescent="0.3">
      <c r="L233" s="44"/>
      <c r="M233" s="44"/>
      <c r="N233" s="44"/>
      <c r="O233" s="44"/>
      <c r="P233" s="44"/>
      <c r="Q233" s="44"/>
      <c r="R233" s="44"/>
      <c r="Z233" s="45"/>
    </row>
    <row r="234" spans="12:26" hidden="1" x14ac:dyDescent="0.3">
      <c r="L234" s="44"/>
      <c r="M234" s="44"/>
      <c r="N234" s="44"/>
      <c r="O234" s="44"/>
      <c r="P234" s="44"/>
      <c r="Q234" s="44"/>
      <c r="R234" s="44"/>
      <c r="Z234" s="45"/>
    </row>
    <row r="235" spans="12:26" hidden="1" x14ac:dyDescent="0.3">
      <c r="L235" s="44"/>
      <c r="M235" s="44"/>
      <c r="N235" s="44"/>
      <c r="O235" s="44"/>
      <c r="P235" s="44"/>
      <c r="Q235" s="44"/>
      <c r="R235" s="44"/>
      <c r="Z235" s="45"/>
    </row>
    <row r="236" spans="12:26" hidden="1" x14ac:dyDescent="0.3">
      <c r="L236" s="44"/>
      <c r="M236" s="44"/>
      <c r="N236" s="44"/>
      <c r="O236" s="44"/>
      <c r="P236" s="44"/>
      <c r="Q236" s="44"/>
      <c r="R236" s="44"/>
      <c r="Z236" s="45"/>
    </row>
    <row r="237" spans="12:26" hidden="1" x14ac:dyDescent="0.3">
      <c r="L237" s="44"/>
      <c r="M237" s="44"/>
      <c r="N237" s="44"/>
      <c r="O237" s="44"/>
      <c r="P237" s="44"/>
      <c r="Q237" s="44"/>
      <c r="R237" s="44"/>
      <c r="Z237" s="45"/>
    </row>
    <row r="238" spans="12:26" hidden="1" x14ac:dyDescent="0.3">
      <c r="L238" s="44"/>
      <c r="M238" s="44"/>
      <c r="N238" s="44"/>
      <c r="O238" s="44"/>
      <c r="P238" s="44"/>
      <c r="Q238" s="44"/>
      <c r="R238" s="44"/>
      <c r="Z238" s="45"/>
    </row>
    <row r="239" spans="12:26" hidden="1" x14ac:dyDescent="0.3">
      <c r="L239" s="44"/>
      <c r="M239" s="44"/>
      <c r="N239" s="44"/>
      <c r="O239" s="44"/>
      <c r="P239" s="44"/>
      <c r="Q239" s="44"/>
      <c r="R239" s="44"/>
      <c r="Z239" s="45"/>
    </row>
    <row r="240" spans="12:26" hidden="1" x14ac:dyDescent="0.3">
      <c r="L240" s="44"/>
      <c r="M240" s="44"/>
      <c r="N240" s="44"/>
      <c r="O240" s="44"/>
      <c r="P240" s="44"/>
      <c r="Q240" s="44"/>
      <c r="R240" s="44"/>
      <c r="Z240" s="45"/>
    </row>
    <row r="241" spans="12:26" hidden="1" x14ac:dyDescent="0.3">
      <c r="L241" s="44"/>
      <c r="M241" s="44"/>
      <c r="N241" s="44"/>
      <c r="O241" s="44"/>
      <c r="P241" s="44"/>
      <c r="Q241" s="44"/>
      <c r="R241" s="44"/>
      <c r="Z241" s="45"/>
    </row>
    <row r="242" spans="12:26" hidden="1" x14ac:dyDescent="0.3">
      <c r="L242" s="44"/>
      <c r="M242" s="44"/>
      <c r="N242" s="44"/>
      <c r="O242" s="44"/>
      <c r="P242" s="44"/>
      <c r="Q242" s="44"/>
      <c r="R242" s="44"/>
      <c r="Z242" s="45"/>
    </row>
    <row r="243" spans="12:26" hidden="1" x14ac:dyDescent="0.3">
      <c r="L243" s="44"/>
      <c r="M243" s="44"/>
      <c r="N243" s="44"/>
      <c r="O243" s="44"/>
      <c r="P243" s="44"/>
      <c r="Q243" s="44"/>
      <c r="R243" s="44"/>
      <c r="Z243" s="45"/>
    </row>
    <row r="244" spans="12:26" hidden="1" x14ac:dyDescent="0.3">
      <c r="L244" s="44"/>
      <c r="M244" s="44"/>
      <c r="N244" s="44"/>
      <c r="O244" s="44"/>
      <c r="P244" s="44"/>
      <c r="Q244" s="44"/>
      <c r="R244" s="44"/>
      <c r="Z244" s="45"/>
    </row>
    <row r="245" spans="12:26" hidden="1" x14ac:dyDescent="0.3">
      <c r="L245" s="44"/>
      <c r="M245" s="44"/>
      <c r="N245" s="44"/>
      <c r="O245" s="44"/>
      <c r="P245" s="44"/>
      <c r="Q245" s="44"/>
      <c r="R245" s="44"/>
      <c r="Z245" s="45"/>
    </row>
    <row r="246" spans="12:26" hidden="1" x14ac:dyDescent="0.3">
      <c r="L246" s="44"/>
      <c r="M246" s="44"/>
      <c r="N246" s="44"/>
      <c r="O246" s="44"/>
      <c r="P246" s="44"/>
      <c r="Q246" s="44"/>
      <c r="R246" s="44"/>
      <c r="Z246" s="45"/>
    </row>
    <row r="247" spans="12:26" hidden="1" x14ac:dyDescent="0.3">
      <c r="L247" s="44"/>
      <c r="M247" s="44"/>
      <c r="N247" s="44"/>
      <c r="O247" s="44"/>
      <c r="P247" s="44"/>
      <c r="Q247" s="44"/>
      <c r="R247" s="44"/>
      <c r="Z247" s="45"/>
    </row>
    <row r="248" spans="12:26" hidden="1" x14ac:dyDescent="0.3">
      <c r="L248" s="44"/>
      <c r="M248" s="44"/>
      <c r="N248" s="44"/>
      <c r="O248" s="44"/>
      <c r="P248" s="44"/>
      <c r="Q248" s="44"/>
      <c r="R248" s="44"/>
      <c r="Z248" s="45"/>
    </row>
    <row r="249" spans="12:26" hidden="1" x14ac:dyDescent="0.3">
      <c r="L249" s="44"/>
      <c r="M249" s="44"/>
      <c r="N249" s="44"/>
      <c r="O249" s="44"/>
      <c r="P249" s="44"/>
      <c r="Q249" s="44"/>
      <c r="R249" s="44"/>
      <c r="Z249" s="45"/>
    </row>
    <row r="250" spans="12:26" hidden="1" x14ac:dyDescent="0.3">
      <c r="L250" s="44"/>
      <c r="M250" s="44"/>
      <c r="N250" s="44"/>
      <c r="O250" s="44"/>
      <c r="P250" s="44"/>
      <c r="Q250" s="44"/>
      <c r="R250" s="44"/>
      <c r="Z250" s="45"/>
    </row>
    <row r="251" spans="12:26" hidden="1" x14ac:dyDescent="0.3">
      <c r="L251" s="44"/>
      <c r="M251" s="44"/>
      <c r="N251" s="44"/>
      <c r="O251" s="44"/>
      <c r="P251" s="44"/>
      <c r="Q251" s="44"/>
      <c r="R251" s="44"/>
      <c r="Z251" s="45"/>
    </row>
    <row r="252" spans="12:26" hidden="1" x14ac:dyDescent="0.3">
      <c r="L252" s="44"/>
      <c r="M252" s="44"/>
      <c r="N252" s="44"/>
      <c r="O252" s="44"/>
      <c r="P252" s="44"/>
      <c r="Q252" s="44"/>
      <c r="R252" s="44"/>
      <c r="Z252" s="45"/>
    </row>
    <row r="253" spans="12:26" hidden="1" x14ac:dyDescent="0.3">
      <c r="L253" s="44"/>
      <c r="M253" s="44"/>
      <c r="N253" s="44"/>
      <c r="O253" s="44"/>
      <c r="P253" s="44"/>
      <c r="Q253" s="44"/>
      <c r="R253" s="44"/>
      <c r="Z253" s="45"/>
    </row>
    <row r="254" spans="12:26" hidden="1" x14ac:dyDescent="0.3">
      <c r="L254" s="44"/>
      <c r="M254" s="44"/>
      <c r="N254" s="44"/>
      <c r="O254" s="44"/>
      <c r="P254" s="44"/>
      <c r="Q254" s="44"/>
      <c r="R254" s="44"/>
      <c r="Z254" s="45"/>
    </row>
    <row r="255" spans="12:26" hidden="1" x14ac:dyDescent="0.3">
      <c r="L255" s="44"/>
      <c r="M255" s="44"/>
      <c r="N255" s="44"/>
      <c r="O255" s="44"/>
      <c r="P255" s="44"/>
      <c r="Q255" s="44"/>
      <c r="R255" s="44"/>
      <c r="Z255" s="45"/>
    </row>
    <row r="256" spans="12:26" hidden="1" x14ac:dyDescent="0.3">
      <c r="L256" s="44"/>
      <c r="M256" s="44"/>
      <c r="N256" s="44"/>
      <c r="O256" s="44"/>
      <c r="P256" s="44"/>
      <c r="Q256" s="44"/>
      <c r="R256" s="44"/>
      <c r="Z256" s="45"/>
    </row>
    <row r="257" spans="12:26" hidden="1" x14ac:dyDescent="0.3">
      <c r="L257" s="44"/>
      <c r="M257" s="44"/>
      <c r="N257" s="44"/>
      <c r="O257" s="44"/>
      <c r="P257" s="44"/>
      <c r="Q257" s="44"/>
      <c r="R257" s="44"/>
      <c r="Z257" s="45"/>
    </row>
    <row r="258" spans="12:26" hidden="1" x14ac:dyDescent="0.3">
      <c r="L258" s="44"/>
      <c r="M258" s="44"/>
      <c r="N258" s="44"/>
      <c r="O258" s="44"/>
      <c r="P258" s="44"/>
      <c r="Q258" s="44"/>
      <c r="R258" s="44"/>
      <c r="Z258" s="45"/>
    </row>
    <row r="259" spans="12:26" hidden="1" x14ac:dyDescent="0.3">
      <c r="L259" s="44"/>
      <c r="M259" s="44"/>
      <c r="N259" s="44"/>
      <c r="O259" s="44"/>
      <c r="P259" s="44"/>
      <c r="Q259" s="44"/>
      <c r="R259" s="44"/>
      <c r="Z259" s="45"/>
    </row>
    <row r="260" spans="12:26" hidden="1" x14ac:dyDescent="0.3">
      <c r="L260" s="44"/>
      <c r="M260" s="44"/>
      <c r="N260" s="44"/>
      <c r="O260" s="44"/>
      <c r="P260" s="44"/>
      <c r="Q260" s="44"/>
      <c r="R260" s="44"/>
      <c r="Z260" s="45"/>
    </row>
    <row r="261" spans="12:26" hidden="1" x14ac:dyDescent="0.3">
      <c r="L261" s="44"/>
      <c r="M261" s="44"/>
      <c r="N261" s="44"/>
      <c r="O261" s="44"/>
      <c r="P261" s="44"/>
      <c r="Q261" s="44"/>
      <c r="R261" s="44"/>
      <c r="Z261" s="45"/>
    </row>
    <row r="262" spans="12:26" hidden="1" x14ac:dyDescent="0.3">
      <c r="L262" s="44"/>
      <c r="M262" s="44"/>
      <c r="N262" s="44"/>
      <c r="O262" s="44"/>
      <c r="P262" s="44"/>
      <c r="Q262" s="44"/>
      <c r="R262" s="44"/>
      <c r="Z262" s="45"/>
    </row>
    <row r="263" spans="12:26" hidden="1" x14ac:dyDescent="0.3">
      <c r="L263" s="44"/>
      <c r="M263" s="44"/>
      <c r="N263" s="44"/>
      <c r="O263" s="44"/>
      <c r="P263" s="44"/>
      <c r="Q263" s="44"/>
      <c r="R263" s="44"/>
      <c r="Z263" s="45"/>
    </row>
    <row r="264" spans="12:26" hidden="1" x14ac:dyDescent="0.3">
      <c r="L264" s="44"/>
      <c r="M264" s="44"/>
      <c r="N264" s="44"/>
      <c r="O264" s="44"/>
      <c r="P264" s="44"/>
      <c r="Q264" s="44"/>
      <c r="R264" s="44"/>
      <c r="Z264" s="45"/>
    </row>
    <row r="265" spans="12:26" hidden="1" x14ac:dyDescent="0.3">
      <c r="L265" s="44"/>
      <c r="M265" s="44"/>
      <c r="N265" s="44"/>
      <c r="O265" s="44"/>
      <c r="P265" s="44"/>
      <c r="Q265" s="44"/>
      <c r="R265" s="44"/>
      <c r="Z265" s="45"/>
    </row>
    <row r="266" spans="12:26" hidden="1" x14ac:dyDescent="0.3">
      <c r="L266" s="44"/>
      <c r="M266" s="44"/>
      <c r="N266" s="44"/>
      <c r="O266" s="44"/>
      <c r="P266" s="44"/>
      <c r="Q266" s="44"/>
      <c r="R266" s="44"/>
      <c r="Z266" s="45"/>
    </row>
    <row r="267" spans="12:26" hidden="1" x14ac:dyDescent="0.3">
      <c r="L267" s="44"/>
      <c r="M267" s="44"/>
      <c r="N267" s="44"/>
      <c r="O267" s="44"/>
      <c r="P267" s="44"/>
      <c r="Q267" s="44"/>
      <c r="R267" s="44"/>
      <c r="Z267" s="45"/>
    </row>
    <row r="268" spans="12:26" hidden="1" x14ac:dyDescent="0.3">
      <c r="L268" s="44"/>
      <c r="M268" s="44"/>
      <c r="N268" s="44"/>
      <c r="O268" s="44"/>
      <c r="P268" s="44"/>
      <c r="Q268" s="44"/>
      <c r="R268" s="44"/>
      <c r="Z268" s="45"/>
    </row>
    <row r="269" spans="12:26" hidden="1" x14ac:dyDescent="0.3">
      <c r="L269" s="44"/>
      <c r="M269" s="44"/>
      <c r="N269" s="44"/>
      <c r="O269" s="44"/>
      <c r="P269" s="44"/>
      <c r="Q269" s="44"/>
      <c r="R269" s="44"/>
      <c r="Z269" s="45"/>
    </row>
    <row r="270" spans="12:26" hidden="1" x14ac:dyDescent="0.3">
      <c r="L270" s="44"/>
      <c r="M270" s="44"/>
      <c r="N270" s="44"/>
      <c r="O270" s="44"/>
      <c r="P270" s="44"/>
      <c r="Q270" s="44"/>
      <c r="R270" s="44"/>
      <c r="Z270" s="45"/>
    </row>
    <row r="271" spans="12:26" hidden="1" x14ac:dyDescent="0.3">
      <c r="L271" s="44"/>
      <c r="M271" s="44"/>
      <c r="N271" s="44"/>
      <c r="O271" s="44"/>
      <c r="P271" s="44"/>
      <c r="Q271" s="44"/>
      <c r="R271" s="44"/>
      <c r="Z271" s="45"/>
    </row>
    <row r="272" spans="12:26" hidden="1" x14ac:dyDescent="0.3">
      <c r="L272" s="44"/>
      <c r="M272" s="44"/>
      <c r="N272" s="44"/>
      <c r="O272" s="44"/>
      <c r="P272" s="44"/>
      <c r="Q272" s="44"/>
      <c r="R272" s="44"/>
      <c r="Z272" s="45"/>
    </row>
    <row r="273" spans="12:26" hidden="1" x14ac:dyDescent="0.3">
      <c r="L273" s="44"/>
      <c r="M273" s="44"/>
      <c r="N273" s="44"/>
      <c r="O273" s="44"/>
      <c r="P273" s="44"/>
      <c r="Q273" s="44"/>
      <c r="R273" s="44"/>
      <c r="Z273" s="45"/>
    </row>
    <row r="274" spans="12:26" hidden="1" x14ac:dyDescent="0.3">
      <c r="L274" s="44"/>
      <c r="M274" s="44"/>
      <c r="N274" s="44"/>
      <c r="O274" s="44"/>
      <c r="P274" s="44"/>
      <c r="Q274" s="44"/>
      <c r="R274" s="44"/>
      <c r="Z274" s="45"/>
    </row>
    <row r="275" spans="12:26" hidden="1" x14ac:dyDescent="0.3">
      <c r="L275" s="44"/>
      <c r="M275" s="44"/>
      <c r="N275" s="44"/>
      <c r="O275" s="44"/>
      <c r="P275" s="44"/>
      <c r="Q275" s="44"/>
      <c r="R275" s="44"/>
      <c r="Z275" s="45"/>
    </row>
    <row r="276" spans="12:26" hidden="1" x14ac:dyDescent="0.3">
      <c r="L276" s="44"/>
      <c r="M276" s="44"/>
      <c r="N276" s="44"/>
      <c r="O276" s="44"/>
      <c r="P276" s="44"/>
      <c r="Q276" s="44"/>
      <c r="R276" s="44"/>
      <c r="Z276" s="45"/>
    </row>
    <row r="277" spans="12:26" hidden="1" x14ac:dyDescent="0.3">
      <c r="L277" s="44"/>
      <c r="M277" s="44"/>
      <c r="N277" s="44"/>
      <c r="O277" s="44"/>
      <c r="P277" s="44"/>
      <c r="Q277" s="44"/>
      <c r="R277" s="44"/>
      <c r="Z277" s="45"/>
    </row>
    <row r="278" spans="12:26" hidden="1" x14ac:dyDescent="0.3">
      <c r="L278" s="44"/>
      <c r="M278" s="44"/>
      <c r="N278" s="44"/>
      <c r="O278" s="44"/>
      <c r="P278" s="44"/>
      <c r="Q278" s="44"/>
      <c r="R278" s="44"/>
      <c r="Z278" s="45"/>
    </row>
    <row r="279" spans="12:26" hidden="1" x14ac:dyDescent="0.3">
      <c r="L279" s="44"/>
      <c r="M279" s="44"/>
      <c r="N279" s="44"/>
      <c r="O279" s="44"/>
      <c r="P279" s="44"/>
      <c r="Q279" s="44"/>
      <c r="R279" s="44"/>
      <c r="Z279" s="45"/>
    </row>
    <row r="280" spans="12:26" hidden="1" x14ac:dyDescent="0.3">
      <c r="L280" s="44"/>
      <c r="M280" s="44"/>
      <c r="N280" s="44"/>
      <c r="O280" s="44"/>
      <c r="P280" s="44"/>
      <c r="Q280" s="44"/>
      <c r="R280" s="44"/>
      <c r="Z280" s="45"/>
    </row>
    <row r="281" spans="12:26" hidden="1" x14ac:dyDescent="0.3">
      <c r="L281" s="44"/>
      <c r="M281" s="44"/>
      <c r="N281" s="44"/>
      <c r="O281" s="44"/>
      <c r="P281" s="44"/>
      <c r="Q281" s="44"/>
      <c r="R281" s="44"/>
      <c r="Z281" s="45"/>
    </row>
    <row r="282" spans="12:26" hidden="1" x14ac:dyDescent="0.3">
      <c r="L282" s="44"/>
      <c r="M282" s="44"/>
      <c r="N282" s="44"/>
      <c r="O282" s="44"/>
      <c r="P282" s="44"/>
      <c r="Q282" s="44"/>
      <c r="R282" s="44"/>
      <c r="Z282" s="45"/>
    </row>
    <row r="283" spans="12:26" hidden="1" x14ac:dyDescent="0.3">
      <c r="L283" s="44"/>
      <c r="M283" s="44"/>
      <c r="N283" s="44"/>
      <c r="O283" s="44"/>
      <c r="P283" s="44"/>
      <c r="Q283" s="44"/>
      <c r="R283" s="44"/>
      <c r="Z283" s="45"/>
    </row>
    <row r="284" spans="12:26" hidden="1" x14ac:dyDescent="0.3">
      <c r="L284" s="44"/>
      <c r="M284" s="44"/>
      <c r="N284" s="44"/>
      <c r="O284" s="44"/>
      <c r="P284" s="44"/>
      <c r="Q284" s="44"/>
      <c r="R284" s="44"/>
      <c r="Z284" s="45"/>
    </row>
    <row r="285" spans="12:26" hidden="1" x14ac:dyDescent="0.3">
      <c r="L285" s="44"/>
      <c r="M285" s="44"/>
      <c r="N285" s="44"/>
      <c r="O285" s="44"/>
      <c r="P285" s="44"/>
      <c r="Q285" s="44"/>
      <c r="R285" s="44"/>
      <c r="Z285" s="45"/>
    </row>
    <row r="286" spans="12:26" hidden="1" x14ac:dyDescent="0.3">
      <c r="L286" s="44"/>
      <c r="M286" s="44"/>
      <c r="N286" s="44"/>
      <c r="O286" s="44"/>
      <c r="P286" s="44"/>
      <c r="Q286" s="44"/>
      <c r="R286" s="44"/>
      <c r="Z286" s="45"/>
    </row>
    <row r="287" spans="12:26" hidden="1" x14ac:dyDescent="0.3">
      <c r="L287" s="44"/>
      <c r="M287" s="44"/>
      <c r="N287" s="44"/>
      <c r="O287" s="44"/>
      <c r="P287" s="44"/>
      <c r="Q287" s="44"/>
      <c r="R287" s="44"/>
      <c r="Z287" s="45"/>
    </row>
    <row r="288" spans="12:26" hidden="1" x14ac:dyDescent="0.3">
      <c r="L288" s="44"/>
      <c r="M288" s="44"/>
      <c r="N288" s="44"/>
      <c r="O288" s="44"/>
      <c r="P288" s="44"/>
      <c r="Q288" s="44"/>
      <c r="R288" s="44"/>
      <c r="Z288" s="45"/>
    </row>
    <row r="289" spans="12:26" hidden="1" x14ac:dyDescent="0.3">
      <c r="L289" s="44"/>
      <c r="M289" s="44"/>
      <c r="N289" s="44"/>
      <c r="O289" s="44"/>
      <c r="P289" s="44"/>
      <c r="Q289" s="44"/>
      <c r="R289" s="44"/>
      <c r="Z289" s="45"/>
    </row>
    <row r="290" spans="12:26" hidden="1" x14ac:dyDescent="0.3">
      <c r="L290" s="44"/>
      <c r="M290" s="44"/>
      <c r="N290" s="44"/>
      <c r="O290" s="44"/>
      <c r="P290" s="44"/>
      <c r="Q290" s="44"/>
      <c r="R290" s="44"/>
      <c r="Z290" s="45"/>
    </row>
    <row r="291" spans="12:26" hidden="1" x14ac:dyDescent="0.3">
      <c r="L291" s="44"/>
      <c r="M291" s="44"/>
      <c r="N291" s="44"/>
      <c r="O291" s="44"/>
      <c r="P291" s="44"/>
      <c r="Q291" s="44"/>
      <c r="R291" s="44"/>
      <c r="Z291" s="45"/>
    </row>
    <row r="292" spans="12:26" hidden="1" x14ac:dyDescent="0.3">
      <c r="L292" s="44"/>
      <c r="M292" s="44"/>
      <c r="N292" s="44"/>
      <c r="O292" s="44"/>
      <c r="P292" s="44"/>
      <c r="Q292" s="44"/>
      <c r="R292" s="44"/>
      <c r="Z292" s="45"/>
    </row>
    <row r="293" spans="12:26" hidden="1" x14ac:dyDescent="0.3">
      <c r="L293" s="44"/>
      <c r="M293" s="44"/>
      <c r="N293" s="44"/>
      <c r="O293" s="44"/>
      <c r="P293" s="44"/>
      <c r="Q293" s="44"/>
      <c r="R293" s="44"/>
      <c r="Z293" s="45"/>
    </row>
    <row r="294" spans="12:26" hidden="1" x14ac:dyDescent="0.3">
      <c r="L294" s="44"/>
      <c r="M294" s="44"/>
      <c r="N294" s="44"/>
      <c r="O294" s="44"/>
      <c r="P294" s="44"/>
      <c r="Q294" s="44"/>
      <c r="R294" s="44"/>
      <c r="Z294" s="45"/>
    </row>
    <row r="295" spans="12:26" hidden="1" x14ac:dyDescent="0.3">
      <c r="L295" s="44"/>
      <c r="M295" s="44"/>
      <c r="N295" s="44"/>
      <c r="O295" s="44"/>
      <c r="P295" s="44"/>
      <c r="Q295" s="44"/>
      <c r="R295" s="44"/>
      <c r="Z295" s="45"/>
    </row>
    <row r="296" spans="12:26" hidden="1" x14ac:dyDescent="0.3">
      <c r="L296" s="44"/>
      <c r="M296" s="44"/>
      <c r="N296" s="44"/>
      <c r="O296" s="44"/>
      <c r="P296" s="44"/>
      <c r="Q296" s="44"/>
      <c r="R296" s="44"/>
      <c r="Z296" s="45"/>
    </row>
    <row r="297" spans="12:26" hidden="1" x14ac:dyDescent="0.3">
      <c r="L297" s="44"/>
      <c r="M297" s="44"/>
      <c r="N297" s="44"/>
      <c r="O297" s="44"/>
      <c r="P297" s="44"/>
      <c r="Q297" s="44"/>
      <c r="R297" s="44"/>
      <c r="Z297" s="45"/>
    </row>
    <row r="298" spans="12:26" hidden="1" x14ac:dyDescent="0.3">
      <c r="L298" s="44"/>
      <c r="M298" s="44"/>
      <c r="N298" s="44"/>
      <c r="O298" s="44"/>
      <c r="P298" s="44"/>
      <c r="Q298" s="44"/>
      <c r="R298" s="44"/>
      <c r="Z298" s="45"/>
    </row>
    <row r="299" spans="12:26" hidden="1" x14ac:dyDescent="0.3">
      <c r="L299" s="44"/>
      <c r="M299" s="44"/>
      <c r="N299" s="44"/>
      <c r="O299" s="44"/>
      <c r="P299" s="44"/>
      <c r="Q299" s="44"/>
      <c r="R299" s="44"/>
      <c r="Z299" s="45"/>
    </row>
    <row r="300" spans="12:26" hidden="1" x14ac:dyDescent="0.3">
      <c r="L300" s="44"/>
      <c r="M300" s="44"/>
      <c r="N300" s="44"/>
      <c r="O300" s="44"/>
      <c r="P300" s="44"/>
      <c r="Q300" s="44"/>
      <c r="R300" s="44"/>
      <c r="Z300" s="45"/>
    </row>
    <row r="301" spans="12:26" hidden="1" x14ac:dyDescent="0.3">
      <c r="L301" s="44"/>
      <c r="M301" s="44"/>
      <c r="N301" s="44"/>
      <c r="O301" s="44"/>
      <c r="P301" s="44"/>
      <c r="Q301" s="44"/>
      <c r="R301" s="44"/>
      <c r="Z301" s="45"/>
    </row>
    <row r="302" spans="12:26" hidden="1" x14ac:dyDescent="0.3">
      <c r="L302" s="44"/>
      <c r="M302" s="44"/>
      <c r="N302" s="44"/>
      <c r="O302" s="44"/>
      <c r="P302" s="44"/>
      <c r="Q302" s="44"/>
      <c r="R302" s="44"/>
      <c r="Z302" s="45"/>
    </row>
    <row r="303" spans="12:26" hidden="1" x14ac:dyDescent="0.3">
      <c r="L303" s="44"/>
      <c r="M303" s="44"/>
      <c r="N303" s="44"/>
      <c r="O303" s="44"/>
      <c r="P303" s="44"/>
      <c r="Q303" s="44"/>
      <c r="R303" s="44"/>
      <c r="Z303" s="45"/>
    </row>
    <row r="304" spans="12:26" hidden="1" x14ac:dyDescent="0.3">
      <c r="L304" s="44"/>
      <c r="M304" s="44"/>
      <c r="N304" s="44"/>
      <c r="O304" s="44"/>
      <c r="P304" s="44"/>
      <c r="Q304" s="44"/>
      <c r="R304" s="44"/>
      <c r="Z304" s="45"/>
    </row>
    <row r="305" spans="12:26" hidden="1" x14ac:dyDescent="0.3">
      <c r="L305" s="44"/>
      <c r="M305" s="44"/>
      <c r="N305" s="44"/>
      <c r="O305" s="44"/>
      <c r="P305" s="44"/>
      <c r="Q305" s="44"/>
      <c r="R305" s="44"/>
      <c r="Z305" s="45"/>
    </row>
    <row r="306" spans="12:26" hidden="1" x14ac:dyDescent="0.3">
      <c r="L306" s="44"/>
      <c r="M306" s="44"/>
      <c r="N306" s="44"/>
      <c r="O306" s="44"/>
      <c r="P306" s="44"/>
      <c r="Q306" s="44"/>
      <c r="R306" s="44"/>
      <c r="Z306" s="45"/>
    </row>
    <row r="307" spans="12:26" hidden="1" x14ac:dyDescent="0.3">
      <c r="L307" s="44"/>
      <c r="M307" s="44"/>
      <c r="N307" s="44"/>
      <c r="O307" s="44"/>
      <c r="P307" s="44"/>
      <c r="Q307" s="44"/>
      <c r="R307" s="44"/>
      <c r="Z307" s="45"/>
    </row>
    <row r="308" spans="12:26" hidden="1" x14ac:dyDescent="0.3">
      <c r="L308" s="44"/>
      <c r="M308" s="44"/>
      <c r="N308" s="44"/>
      <c r="O308" s="44"/>
      <c r="P308" s="44"/>
      <c r="Q308" s="44"/>
      <c r="R308" s="44"/>
      <c r="Z308" s="45"/>
    </row>
    <row r="309" spans="12:26" hidden="1" x14ac:dyDescent="0.3">
      <c r="L309" s="44"/>
      <c r="M309" s="44"/>
      <c r="N309" s="44"/>
      <c r="O309" s="44"/>
      <c r="P309" s="44"/>
      <c r="Q309" s="44"/>
      <c r="R309" s="44"/>
      <c r="Z309" s="45"/>
    </row>
    <row r="310" spans="12:26" hidden="1" x14ac:dyDescent="0.3">
      <c r="L310" s="44"/>
      <c r="M310" s="44"/>
      <c r="N310" s="44"/>
      <c r="O310" s="44"/>
      <c r="P310" s="44"/>
      <c r="Q310" s="44"/>
      <c r="R310" s="44"/>
      <c r="Z310" s="45"/>
    </row>
    <row r="311" spans="12:26" hidden="1" x14ac:dyDescent="0.3">
      <c r="L311" s="44"/>
      <c r="M311" s="44"/>
      <c r="N311" s="44"/>
      <c r="O311" s="44"/>
      <c r="P311" s="44"/>
      <c r="Q311" s="44"/>
      <c r="R311" s="44"/>
      <c r="Z311" s="45"/>
    </row>
    <row r="312" spans="12:26" hidden="1" x14ac:dyDescent="0.3">
      <c r="L312" s="44"/>
      <c r="M312" s="44"/>
      <c r="N312" s="44"/>
      <c r="O312" s="44"/>
      <c r="P312" s="44"/>
      <c r="Q312" s="44"/>
      <c r="R312" s="44"/>
      <c r="Z312" s="45"/>
    </row>
    <row r="313" spans="12:26" hidden="1" x14ac:dyDescent="0.3">
      <c r="L313" s="44"/>
      <c r="M313" s="44"/>
      <c r="N313" s="44"/>
      <c r="O313" s="44"/>
      <c r="P313" s="44"/>
      <c r="Q313" s="44"/>
      <c r="R313" s="44"/>
      <c r="Z313" s="45"/>
    </row>
    <row r="314" spans="12:26" hidden="1" x14ac:dyDescent="0.3">
      <c r="L314" s="44"/>
      <c r="M314" s="44"/>
      <c r="N314" s="44"/>
      <c r="O314" s="44"/>
      <c r="P314" s="44"/>
      <c r="Q314" s="44"/>
      <c r="R314" s="44"/>
      <c r="Z314" s="45"/>
    </row>
    <row r="315" spans="12:26" hidden="1" x14ac:dyDescent="0.3">
      <c r="L315" s="44"/>
      <c r="M315" s="44"/>
      <c r="N315" s="44"/>
      <c r="O315" s="44"/>
      <c r="P315" s="44"/>
      <c r="Q315" s="44"/>
      <c r="R315" s="44"/>
      <c r="Z315" s="45"/>
    </row>
    <row r="316" spans="12:26" hidden="1" x14ac:dyDescent="0.3">
      <c r="L316" s="44"/>
      <c r="M316" s="44"/>
      <c r="N316" s="44"/>
      <c r="O316" s="44"/>
      <c r="P316" s="44"/>
      <c r="Q316" s="44"/>
      <c r="R316" s="44"/>
      <c r="Z316" s="45"/>
    </row>
    <row r="317" spans="12:26" hidden="1" x14ac:dyDescent="0.3">
      <c r="L317" s="44"/>
      <c r="M317" s="44"/>
      <c r="N317" s="44"/>
      <c r="O317" s="44"/>
      <c r="P317" s="44"/>
      <c r="Q317" s="44"/>
      <c r="R317" s="44"/>
      <c r="Z317" s="45"/>
    </row>
    <row r="318" spans="12:26" hidden="1" x14ac:dyDescent="0.3">
      <c r="L318" s="44"/>
      <c r="M318" s="44"/>
      <c r="N318" s="44"/>
      <c r="O318" s="44"/>
      <c r="P318" s="44"/>
      <c r="Q318" s="44"/>
      <c r="R318" s="44"/>
      <c r="Z318" s="45"/>
    </row>
    <row r="319" spans="12:26" hidden="1" x14ac:dyDescent="0.3">
      <c r="L319" s="44"/>
      <c r="M319" s="44"/>
      <c r="N319" s="44"/>
      <c r="O319" s="44"/>
      <c r="P319" s="44"/>
      <c r="Q319" s="44"/>
      <c r="R319" s="44"/>
      <c r="Z319" s="45"/>
    </row>
    <row r="320" spans="12:26" hidden="1" x14ac:dyDescent="0.3">
      <c r="L320" s="44"/>
      <c r="M320" s="44"/>
      <c r="N320" s="44"/>
      <c r="O320" s="44"/>
      <c r="P320" s="44"/>
      <c r="Q320" s="44"/>
      <c r="R320" s="44"/>
      <c r="Z320" s="45"/>
    </row>
    <row r="321" spans="12:26" hidden="1" x14ac:dyDescent="0.3">
      <c r="L321" s="44"/>
      <c r="M321" s="44"/>
      <c r="N321" s="44"/>
      <c r="O321" s="44"/>
      <c r="P321" s="44"/>
      <c r="Q321" s="44"/>
      <c r="R321" s="44"/>
      <c r="Z321" s="45"/>
    </row>
    <row r="322" spans="12:26" hidden="1" x14ac:dyDescent="0.3">
      <c r="L322" s="44"/>
      <c r="M322" s="44"/>
      <c r="N322" s="44"/>
      <c r="O322" s="44"/>
      <c r="P322" s="44"/>
      <c r="Q322" s="44"/>
      <c r="R322" s="44"/>
      <c r="Z322" s="45"/>
    </row>
    <row r="323" spans="12:26" hidden="1" x14ac:dyDescent="0.3">
      <c r="L323" s="44"/>
      <c r="M323" s="44"/>
      <c r="N323" s="44"/>
      <c r="O323" s="44"/>
      <c r="P323" s="44"/>
      <c r="Q323" s="44"/>
      <c r="R323" s="44"/>
      <c r="Z323" s="45"/>
    </row>
    <row r="324" spans="12:26" hidden="1" x14ac:dyDescent="0.3">
      <c r="L324" s="44"/>
      <c r="M324" s="44"/>
      <c r="N324" s="44"/>
      <c r="O324" s="44"/>
      <c r="P324" s="44"/>
      <c r="Q324" s="44"/>
      <c r="R324" s="44"/>
      <c r="Z324" s="45"/>
    </row>
    <row r="325" spans="12:26" hidden="1" x14ac:dyDescent="0.3">
      <c r="L325" s="44"/>
      <c r="M325" s="44"/>
      <c r="N325" s="44"/>
      <c r="O325" s="44"/>
      <c r="P325" s="44"/>
      <c r="Q325" s="44"/>
      <c r="R325" s="44"/>
      <c r="Z325" s="45"/>
    </row>
    <row r="326" spans="12:26" hidden="1" x14ac:dyDescent="0.3">
      <c r="L326" s="44"/>
      <c r="M326" s="44"/>
      <c r="N326" s="44"/>
      <c r="O326" s="44"/>
      <c r="P326" s="44"/>
      <c r="Q326" s="44"/>
      <c r="R326" s="44"/>
      <c r="Z326" s="45"/>
    </row>
    <row r="327" spans="12:26" hidden="1" x14ac:dyDescent="0.3">
      <c r="L327" s="44"/>
      <c r="M327" s="44"/>
      <c r="N327" s="44"/>
      <c r="O327" s="44"/>
      <c r="P327" s="44"/>
      <c r="Q327" s="44"/>
      <c r="R327" s="44"/>
      <c r="Z327" s="45"/>
    </row>
    <row r="328" spans="12:26" hidden="1" x14ac:dyDescent="0.3">
      <c r="L328" s="44"/>
      <c r="M328" s="44"/>
      <c r="N328" s="44"/>
      <c r="O328" s="44"/>
      <c r="P328" s="44"/>
      <c r="Q328" s="44"/>
      <c r="R328" s="44"/>
      <c r="Z328" s="45"/>
    </row>
    <row r="329" spans="12:26" hidden="1" x14ac:dyDescent="0.3">
      <c r="L329" s="44"/>
      <c r="M329" s="44"/>
      <c r="N329" s="44"/>
      <c r="O329" s="44"/>
      <c r="P329" s="44"/>
      <c r="Q329" s="44"/>
      <c r="R329" s="44"/>
      <c r="Z329" s="45"/>
    </row>
    <row r="330" spans="12:26" hidden="1" x14ac:dyDescent="0.3">
      <c r="L330" s="44"/>
      <c r="M330" s="44"/>
      <c r="N330" s="44"/>
      <c r="O330" s="44"/>
      <c r="P330" s="44"/>
      <c r="Q330" s="44"/>
      <c r="R330" s="44"/>
      <c r="Z330" s="45"/>
    </row>
    <row r="331" spans="12:26" hidden="1" x14ac:dyDescent="0.3">
      <c r="L331" s="44"/>
      <c r="M331" s="44"/>
      <c r="N331" s="44"/>
      <c r="O331" s="44"/>
      <c r="P331" s="44"/>
      <c r="Q331" s="44"/>
      <c r="R331" s="44"/>
      <c r="Z331" s="45"/>
    </row>
    <row r="332" spans="12:26" hidden="1" x14ac:dyDescent="0.3">
      <c r="L332" s="44"/>
      <c r="M332" s="44"/>
      <c r="N332" s="44"/>
      <c r="O332" s="44"/>
      <c r="P332" s="44"/>
      <c r="Q332" s="44"/>
      <c r="R332" s="44"/>
      <c r="Z332" s="45"/>
    </row>
    <row r="333" spans="12:26" hidden="1" x14ac:dyDescent="0.3">
      <c r="L333" s="44"/>
      <c r="M333" s="44"/>
      <c r="N333" s="44"/>
      <c r="O333" s="44"/>
      <c r="P333" s="44"/>
      <c r="Q333" s="44"/>
      <c r="R333" s="44"/>
      <c r="Z333" s="45"/>
    </row>
    <row r="334" spans="12:26" hidden="1" x14ac:dyDescent="0.3">
      <c r="L334" s="44"/>
      <c r="M334" s="44"/>
      <c r="N334" s="44"/>
      <c r="O334" s="44"/>
      <c r="P334" s="44"/>
      <c r="Q334" s="44"/>
      <c r="R334" s="44"/>
      <c r="Z334" s="45"/>
    </row>
    <row r="335" spans="12:26" hidden="1" x14ac:dyDescent="0.3">
      <c r="L335" s="44"/>
      <c r="M335" s="44"/>
      <c r="N335" s="44"/>
      <c r="O335" s="44"/>
      <c r="P335" s="44"/>
      <c r="Q335" s="44"/>
      <c r="R335" s="44"/>
      <c r="Z335" s="45"/>
    </row>
    <row r="336" spans="12:26" hidden="1" x14ac:dyDescent="0.3">
      <c r="L336" s="44"/>
      <c r="M336" s="44"/>
      <c r="N336" s="44"/>
      <c r="O336" s="44"/>
      <c r="P336" s="44"/>
      <c r="Q336" s="44"/>
      <c r="R336" s="44"/>
      <c r="Z336" s="45"/>
    </row>
    <row r="337" spans="12:26" hidden="1" x14ac:dyDescent="0.3">
      <c r="L337" s="44"/>
      <c r="M337" s="44"/>
      <c r="N337" s="44"/>
      <c r="O337" s="44"/>
      <c r="P337" s="44"/>
      <c r="Q337" s="44"/>
      <c r="R337" s="44"/>
      <c r="Z337" s="45"/>
    </row>
    <row r="338" spans="12:26" hidden="1" x14ac:dyDescent="0.3">
      <c r="L338" s="44"/>
      <c r="M338" s="44"/>
      <c r="N338" s="44"/>
      <c r="O338" s="44"/>
      <c r="P338" s="44"/>
      <c r="Q338" s="44"/>
      <c r="R338" s="44"/>
      <c r="Z338" s="45"/>
    </row>
    <row r="339" spans="12:26" hidden="1" x14ac:dyDescent="0.3">
      <c r="L339" s="44"/>
      <c r="M339" s="44"/>
      <c r="N339" s="44"/>
      <c r="O339" s="44"/>
      <c r="P339" s="44"/>
      <c r="Q339" s="44"/>
      <c r="R339" s="44"/>
      <c r="Z339" s="45"/>
    </row>
    <row r="340" spans="12:26" hidden="1" x14ac:dyDescent="0.3">
      <c r="L340" s="44"/>
      <c r="M340" s="44"/>
      <c r="N340" s="44"/>
      <c r="O340" s="44"/>
      <c r="P340" s="44"/>
      <c r="Q340" s="44"/>
      <c r="R340" s="44"/>
      <c r="Z340" s="45"/>
    </row>
    <row r="341" spans="12:26" hidden="1" x14ac:dyDescent="0.3">
      <c r="L341" s="44"/>
      <c r="M341" s="44"/>
      <c r="N341" s="44"/>
      <c r="O341" s="44"/>
      <c r="P341" s="44"/>
      <c r="Q341" s="44"/>
      <c r="R341" s="44"/>
      <c r="Z341" s="45"/>
    </row>
    <row r="342" spans="12:26" hidden="1" x14ac:dyDescent="0.3">
      <c r="L342" s="44"/>
      <c r="M342" s="44"/>
      <c r="N342" s="44"/>
      <c r="O342" s="44"/>
      <c r="P342" s="44"/>
      <c r="Q342" s="44"/>
      <c r="R342" s="44"/>
      <c r="Z342" s="45"/>
    </row>
    <row r="343" spans="12:26" hidden="1" x14ac:dyDescent="0.3">
      <c r="L343" s="44"/>
      <c r="M343" s="44"/>
      <c r="N343" s="44"/>
      <c r="O343" s="44"/>
      <c r="P343" s="44"/>
      <c r="Q343" s="44"/>
      <c r="R343" s="44"/>
      <c r="Z343" s="45"/>
    </row>
    <row r="344" spans="12:26" hidden="1" x14ac:dyDescent="0.3">
      <c r="L344" s="44"/>
      <c r="M344" s="44"/>
      <c r="N344" s="44"/>
      <c r="O344" s="44"/>
      <c r="P344" s="44"/>
      <c r="Q344" s="44"/>
      <c r="R344" s="44"/>
      <c r="Z344" s="45"/>
    </row>
    <row r="345" spans="12:26" hidden="1" x14ac:dyDescent="0.3">
      <c r="L345" s="44"/>
      <c r="M345" s="44"/>
      <c r="N345" s="44"/>
      <c r="O345" s="44"/>
      <c r="P345" s="44"/>
      <c r="Q345" s="44"/>
      <c r="R345" s="44"/>
      <c r="Z345" s="45"/>
    </row>
    <row r="346" spans="12:26" hidden="1" x14ac:dyDescent="0.3">
      <c r="L346" s="44"/>
      <c r="M346" s="44"/>
      <c r="N346" s="44"/>
      <c r="O346" s="44"/>
      <c r="P346" s="44"/>
      <c r="Q346" s="44"/>
      <c r="R346" s="44"/>
      <c r="Z346" s="45"/>
    </row>
    <row r="347" spans="12:26" hidden="1" x14ac:dyDescent="0.3">
      <c r="L347" s="44"/>
      <c r="M347" s="44"/>
      <c r="N347" s="44"/>
      <c r="O347" s="44"/>
      <c r="P347" s="44"/>
      <c r="Q347" s="44"/>
      <c r="R347" s="44"/>
      <c r="Z347" s="45"/>
    </row>
    <row r="348" spans="12:26" hidden="1" x14ac:dyDescent="0.3">
      <c r="L348" s="44"/>
      <c r="M348" s="44"/>
      <c r="N348" s="44"/>
      <c r="O348" s="44"/>
      <c r="P348" s="44"/>
      <c r="Q348" s="44"/>
      <c r="R348" s="44"/>
      <c r="Z348" s="45"/>
    </row>
    <row r="349" spans="12:26" hidden="1" x14ac:dyDescent="0.3">
      <c r="L349" s="44"/>
      <c r="M349" s="44"/>
      <c r="N349" s="44"/>
      <c r="O349" s="44"/>
      <c r="P349" s="44"/>
      <c r="Q349" s="44"/>
      <c r="R349" s="44"/>
      <c r="Z349" s="45"/>
    </row>
    <row r="350" spans="12:26" hidden="1" x14ac:dyDescent="0.3">
      <c r="L350" s="44"/>
      <c r="M350" s="44"/>
      <c r="N350" s="44"/>
      <c r="O350" s="44"/>
      <c r="P350" s="44"/>
      <c r="Q350" s="44"/>
      <c r="R350" s="44"/>
      <c r="Z350" s="45"/>
    </row>
    <row r="351" spans="12:26" hidden="1" x14ac:dyDescent="0.3">
      <c r="L351" s="44"/>
      <c r="M351" s="44"/>
      <c r="N351" s="44"/>
      <c r="O351" s="44"/>
      <c r="P351" s="44"/>
      <c r="Q351" s="44"/>
      <c r="R351" s="44"/>
      <c r="Z351" s="45"/>
    </row>
    <row r="352" spans="12:26" hidden="1" x14ac:dyDescent="0.3">
      <c r="L352" s="44"/>
      <c r="M352" s="44"/>
      <c r="N352" s="44"/>
      <c r="O352" s="44"/>
      <c r="P352" s="44"/>
      <c r="Q352" s="44"/>
      <c r="R352" s="44"/>
      <c r="Z352" s="45"/>
    </row>
    <row r="353" spans="12:26" hidden="1" x14ac:dyDescent="0.3">
      <c r="L353" s="44"/>
      <c r="M353" s="44"/>
      <c r="N353" s="44"/>
      <c r="O353" s="44"/>
      <c r="P353" s="44"/>
      <c r="Q353" s="44"/>
      <c r="R353" s="44"/>
      <c r="Z353" s="45"/>
    </row>
    <row r="354" spans="12:26" hidden="1" x14ac:dyDescent="0.3">
      <c r="L354" s="44"/>
      <c r="M354" s="44"/>
      <c r="N354" s="44"/>
      <c r="O354" s="44"/>
      <c r="P354" s="44"/>
      <c r="Q354" s="44"/>
      <c r="R354" s="44"/>
      <c r="Z354" s="45"/>
    </row>
    <row r="355" spans="12:26" hidden="1" x14ac:dyDescent="0.3">
      <c r="L355" s="44"/>
      <c r="M355" s="44"/>
      <c r="N355" s="44"/>
      <c r="O355" s="44"/>
      <c r="P355" s="44"/>
      <c r="Q355" s="44"/>
      <c r="R355" s="44"/>
      <c r="Z355" s="45"/>
    </row>
    <row r="356" spans="12:26" hidden="1" x14ac:dyDescent="0.3">
      <c r="L356" s="44"/>
      <c r="M356" s="44"/>
      <c r="N356" s="44"/>
      <c r="O356" s="44"/>
      <c r="P356" s="44"/>
      <c r="Q356" s="44"/>
      <c r="R356" s="44"/>
      <c r="Z356" s="45"/>
    </row>
    <row r="357" spans="12:26" hidden="1" x14ac:dyDescent="0.3">
      <c r="L357" s="44"/>
      <c r="M357" s="44"/>
      <c r="N357" s="44"/>
      <c r="O357" s="44"/>
      <c r="P357" s="44"/>
      <c r="Q357" s="44"/>
      <c r="R357" s="44"/>
      <c r="Z357" s="45"/>
    </row>
    <row r="358" spans="12:26" hidden="1" x14ac:dyDescent="0.3">
      <c r="L358" s="44"/>
      <c r="M358" s="44"/>
      <c r="N358" s="44"/>
      <c r="O358" s="44"/>
      <c r="P358" s="44"/>
      <c r="Q358" s="44"/>
      <c r="R358" s="44"/>
      <c r="Z358" s="45"/>
    </row>
    <row r="359" spans="12:26" hidden="1" x14ac:dyDescent="0.3">
      <c r="L359" s="44"/>
      <c r="M359" s="44"/>
      <c r="N359" s="44"/>
      <c r="O359" s="44"/>
      <c r="P359" s="44"/>
      <c r="Q359" s="44"/>
      <c r="R359" s="44"/>
      <c r="Z359" s="45"/>
    </row>
    <row r="360" spans="12:26" hidden="1" x14ac:dyDescent="0.3">
      <c r="L360" s="44"/>
      <c r="M360" s="44"/>
      <c r="N360" s="44"/>
      <c r="O360" s="44"/>
      <c r="P360" s="44"/>
      <c r="Q360" s="44"/>
      <c r="R360" s="44"/>
      <c r="Z360" s="45"/>
    </row>
    <row r="361" spans="12:26" hidden="1" x14ac:dyDescent="0.3">
      <c r="L361" s="44"/>
      <c r="M361" s="44"/>
      <c r="N361" s="44"/>
      <c r="O361" s="44"/>
      <c r="P361" s="44"/>
      <c r="Q361" s="44"/>
      <c r="R361" s="44"/>
      <c r="Z361" s="45"/>
    </row>
    <row r="362" spans="12:26" hidden="1" x14ac:dyDescent="0.3">
      <c r="L362" s="44"/>
      <c r="M362" s="44"/>
      <c r="N362" s="44"/>
      <c r="O362" s="44"/>
      <c r="P362" s="44"/>
      <c r="Q362" s="44"/>
      <c r="R362" s="44"/>
      <c r="Z362" s="45"/>
    </row>
    <row r="363" spans="12:26" hidden="1" x14ac:dyDescent="0.3">
      <c r="L363" s="44"/>
      <c r="M363" s="44"/>
      <c r="N363" s="44"/>
      <c r="O363" s="44"/>
      <c r="P363" s="44"/>
      <c r="Q363" s="44"/>
      <c r="R363" s="44"/>
      <c r="Z363" s="45"/>
    </row>
    <row r="364" spans="12:26" hidden="1" x14ac:dyDescent="0.3">
      <c r="L364" s="44"/>
      <c r="M364" s="44"/>
      <c r="N364" s="44"/>
      <c r="O364" s="44"/>
      <c r="P364" s="44"/>
      <c r="Q364" s="44"/>
      <c r="R364" s="44"/>
      <c r="Z364" s="45"/>
    </row>
    <row r="365" spans="12:26" hidden="1" x14ac:dyDescent="0.3">
      <c r="L365" s="44"/>
      <c r="M365" s="44"/>
      <c r="N365" s="44"/>
      <c r="O365" s="44"/>
      <c r="P365" s="44"/>
      <c r="Q365" s="44"/>
      <c r="R365" s="44"/>
      <c r="Z365" s="45"/>
    </row>
    <row r="366" spans="12:26" hidden="1" x14ac:dyDescent="0.3">
      <c r="L366" s="44"/>
      <c r="M366" s="44"/>
      <c r="N366" s="44"/>
      <c r="O366" s="44"/>
      <c r="P366" s="44"/>
      <c r="Q366" s="44"/>
      <c r="R366" s="44"/>
      <c r="Z366" s="45"/>
    </row>
    <row r="367" spans="12:26" hidden="1" x14ac:dyDescent="0.3">
      <c r="L367" s="44"/>
      <c r="M367" s="44"/>
      <c r="N367" s="44"/>
      <c r="O367" s="44"/>
      <c r="P367" s="44"/>
      <c r="Q367" s="44"/>
      <c r="R367" s="44"/>
      <c r="Z367" s="45"/>
    </row>
    <row r="368" spans="12:26" hidden="1" x14ac:dyDescent="0.3">
      <c r="L368" s="44"/>
      <c r="M368" s="44"/>
      <c r="N368" s="44"/>
      <c r="O368" s="44"/>
      <c r="P368" s="44"/>
      <c r="Q368" s="44"/>
      <c r="R368" s="44"/>
      <c r="Z368" s="45"/>
    </row>
    <row r="369" spans="12:26" hidden="1" x14ac:dyDescent="0.3">
      <c r="L369" s="44"/>
      <c r="M369" s="44"/>
      <c r="N369" s="44"/>
      <c r="O369" s="44"/>
      <c r="P369" s="44"/>
      <c r="Q369" s="44"/>
      <c r="R369" s="44"/>
      <c r="Z369" s="45"/>
    </row>
    <row r="370" spans="12:26" hidden="1" x14ac:dyDescent="0.3">
      <c r="L370" s="44"/>
      <c r="M370" s="44"/>
      <c r="N370" s="44"/>
      <c r="O370" s="44"/>
      <c r="P370" s="44"/>
      <c r="Q370" s="44"/>
      <c r="R370" s="44"/>
      <c r="Z370" s="45"/>
    </row>
    <row r="371" spans="12:26" hidden="1" x14ac:dyDescent="0.3">
      <c r="L371" s="44"/>
      <c r="M371" s="44"/>
      <c r="N371" s="44"/>
      <c r="O371" s="44"/>
      <c r="P371" s="44"/>
      <c r="Q371" s="44"/>
      <c r="R371" s="44"/>
      <c r="Z371" s="45"/>
    </row>
    <row r="372" spans="12:26" hidden="1" x14ac:dyDescent="0.3">
      <c r="L372" s="44"/>
      <c r="M372" s="44"/>
      <c r="N372" s="44"/>
      <c r="O372" s="44"/>
      <c r="P372" s="44"/>
      <c r="Q372" s="44"/>
      <c r="R372" s="44"/>
      <c r="Z372" s="45"/>
    </row>
    <row r="373" spans="12:26" hidden="1" x14ac:dyDescent="0.3">
      <c r="L373" s="44"/>
      <c r="M373" s="44"/>
      <c r="N373" s="44"/>
      <c r="O373" s="44"/>
      <c r="P373" s="44"/>
      <c r="Q373" s="44"/>
      <c r="R373" s="44"/>
      <c r="Z373" s="45"/>
    </row>
    <row r="374" spans="12:26" hidden="1" x14ac:dyDescent="0.3">
      <c r="L374" s="44"/>
      <c r="M374" s="44"/>
      <c r="N374" s="44"/>
      <c r="O374" s="44"/>
      <c r="P374" s="44"/>
      <c r="Q374" s="44"/>
      <c r="R374" s="44"/>
      <c r="Z374" s="45"/>
    </row>
    <row r="375" spans="12:26" hidden="1" x14ac:dyDescent="0.3">
      <c r="L375" s="44"/>
      <c r="M375" s="44"/>
      <c r="N375" s="44"/>
      <c r="O375" s="44"/>
      <c r="P375" s="44"/>
      <c r="Q375" s="44"/>
      <c r="R375" s="44"/>
      <c r="Z375" s="45"/>
    </row>
    <row r="376" spans="12:26" hidden="1" x14ac:dyDescent="0.3">
      <c r="L376" s="44"/>
      <c r="M376" s="44"/>
      <c r="N376" s="44"/>
      <c r="O376" s="44"/>
      <c r="P376" s="44"/>
      <c r="Q376" s="44"/>
      <c r="R376" s="44"/>
      <c r="Z376" s="45"/>
    </row>
    <row r="377" spans="12:26" hidden="1" x14ac:dyDescent="0.3">
      <c r="L377" s="44"/>
      <c r="M377" s="44"/>
      <c r="N377" s="44"/>
      <c r="O377" s="44"/>
      <c r="P377" s="44"/>
      <c r="Q377" s="44"/>
      <c r="R377" s="44"/>
      <c r="Z377" s="45"/>
    </row>
    <row r="378" spans="12:26" hidden="1" x14ac:dyDescent="0.3">
      <c r="L378" s="44"/>
      <c r="M378" s="44"/>
      <c r="N378" s="44"/>
      <c r="O378" s="44"/>
      <c r="P378" s="44"/>
      <c r="Q378" s="44"/>
      <c r="R378" s="44"/>
      <c r="Z378" s="45"/>
    </row>
    <row r="379" spans="12:26" hidden="1" x14ac:dyDescent="0.3">
      <c r="L379" s="44"/>
      <c r="M379" s="44"/>
      <c r="N379" s="44"/>
      <c r="O379" s="44"/>
      <c r="P379" s="44"/>
      <c r="Q379" s="44"/>
      <c r="R379" s="44"/>
      <c r="Z379" s="45"/>
    </row>
    <row r="380" spans="12:26" hidden="1" x14ac:dyDescent="0.3">
      <c r="L380" s="44"/>
      <c r="M380" s="44"/>
      <c r="N380" s="44"/>
      <c r="O380" s="44"/>
      <c r="P380" s="44"/>
      <c r="Q380" s="44"/>
      <c r="R380" s="44"/>
      <c r="Z380" s="45"/>
    </row>
    <row r="381" spans="12:26" hidden="1" x14ac:dyDescent="0.3">
      <c r="L381" s="44"/>
      <c r="M381" s="44"/>
      <c r="N381" s="44"/>
      <c r="O381" s="44"/>
      <c r="P381" s="44"/>
      <c r="Q381" s="44"/>
      <c r="R381" s="44"/>
      <c r="Z381" s="45"/>
    </row>
    <row r="382" spans="12:26" hidden="1" x14ac:dyDescent="0.3">
      <c r="L382" s="44"/>
      <c r="M382" s="44"/>
      <c r="N382" s="44"/>
      <c r="O382" s="44"/>
      <c r="P382" s="44"/>
      <c r="Q382" s="44"/>
      <c r="R382" s="44"/>
      <c r="Z382" s="45"/>
    </row>
    <row r="383" spans="12:26" hidden="1" x14ac:dyDescent="0.3">
      <c r="L383" s="44"/>
      <c r="M383" s="44"/>
      <c r="N383" s="44"/>
      <c r="O383" s="44"/>
      <c r="P383" s="44"/>
      <c r="Q383" s="44"/>
      <c r="R383" s="44"/>
      <c r="Z383" s="45"/>
    </row>
    <row r="384" spans="12:26" hidden="1" x14ac:dyDescent="0.3">
      <c r="L384" s="44"/>
      <c r="M384" s="44"/>
      <c r="N384" s="44"/>
      <c r="O384" s="44"/>
      <c r="P384" s="44"/>
      <c r="Q384" s="44"/>
      <c r="R384" s="44"/>
      <c r="Z384" s="45"/>
    </row>
    <row r="385" spans="12:26" hidden="1" x14ac:dyDescent="0.3">
      <c r="L385" s="44"/>
      <c r="M385" s="44"/>
      <c r="N385" s="44"/>
      <c r="O385" s="44"/>
      <c r="P385" s="44"/>
      <c r="Q385" s="44"/>
      <c r="R385" s="44"/>
      <c r="Z385" s="45"/>
    </row>
    <row r="386" spans="12:26" hidden="1" x14ac:dyDescent="0.3">
      <c r="L386" s="44"/>
      <c r="M386" s="44"/>
      <c r="N386" s="44"/>
      <c r="O386" s="44"/>
      <c r="P386" s="44"/>
      <c r="Q386" s="44"/>
      <c r="R386" s="44"/>
      <c r="Z386" s="45"/>
    </row>
    <row r="387" spans="12:26" hidden="1" x14ac:dyDescent="0.3">
      <c r="L387" s="44"/>
      <c r="M387" s="44"/>
      <c r="N387" s="44"/>
      <c r="O387" s="44"/>
      <c r="P387" s="44"/>
      <c r="Q387" s="44"/>
      <c r="R387" s="44"/>
      <c r="Z387" s="45"/>
    </row>
    <row r="388" spans="12:26" hidden="1" x14ac:dyDescent="0.3">
      <c r="L388" s="44"/>
      <c r="M388" s="44"/>
      <c r="N388" s="44"/>
      <c r="O388" s="44"/>
      <c r="P388" s="44"/>
      <c r="Q388" s="44"/>
      <c r="R388" s="44"/>
      <c r="Z388" s="45"/>
    </row>
    <row r="389" spans="12:26" hidden="1" x14ac:dyDescent="0.3">
      <c r="L389" s="44"/>
      <c r="M389" s="44"/>
      <c r="N389" s="44"/>
      <c r="O389" s="44"/>
      <c r="P389" s="44"/>
      <c r="Q389" s="44"/>
      <c r="R389" s="44"/>
      <c r="Z389" s="45"/>
    </row>
    <row r="390" spans="12:26" hidden="1" x14ac:dyDescent="0.3">
      <c r="L390" s="44"/>
      <c r="M390" s="44"/>
      <c r="N390" s="44"/>
      <c r="O390" s="44"/>
      <c r="P390" s="44"/>
      <c r="Q390" s="44"/>
      <c r="R390" s="44"/>
      <c r="Z390" s="45"/>
    </row>
    <row r="391" spans="12:26" hidden="1" x14ac:dyDescent="0.3">
      <c r="L391" s="44"/>
      <c r="M391" s="44"/>
      <c r="N391" s="44"/>
      <c r="O391" s="44"/>
      <c r="P391" s="44"/>
      <c r="Q391" s="44"/>
      <c r="R391" s="44"/>
      <c r="Z391" s="45"/>
    </row>
    <row r="392" spans="12:26" hidden="1" x14ac:dyDescent="0.3">
      <c r="L392" s="44"/>
      <c r="M392" s="44"/>
      <c r="N392" s="44"/>
      <c r="O392" s="44"/>
      <c r="P392" s="44"/>
      <c r="Q392" s="44"/>
      <c r="R392" s="44"/>
      <c r="Z392" s="45"/>
    </row>
    <row r="393" spans="12:26" hidden="1" x14ac:dyDescent="0.3">
      <c r="L393" s="44"/>
      <c r="M393" s="44"/>
      <c r="N393" s="44"/>
      <c r="O393" s="44"/>
      <c r="P393" s="44"/>
      <c r="Q393" s="44"/>
      <c r="R393" s="44"/>
      <c r="Z393" s="45"/>
    </row>
    <row r="394" spans="12:26" hidden="1" x14ac:dyDescent="0.3">
      <c r="L394" s="44"/>
      <c r="M394" s="44"/>
      <c r="N394" s="44"/>
      <c r="O394" s="44"/>
      <c r="P394" s="44"/>
      <c r="Q394" s="44"/>
      <c r="R394" s="44"/>
      <c r="Z394" s="45"/>
    </row>
    <row r="395" spans="12:26" hidden="1" x14ac:dyDescent="0.3">
      <c r="L395" s="44"/>
      <c r="M395" s="44"/>
      <c r="N395" s="44"/>
      <c r="O395" s="44"/>
      <c r="P395" s="44"/>
      <c r="Q395" s="44"/>
      <c r="R395" s="44"/>
      <c r="Z395" s="45"/>
    </row>
    <row r="396" spans="12:26" hidden="1" x14ac:dyDescent="0.3">
      <c r="L396" s="44"/>
      <c r="M396" s="44"/>
      <c r="N396" s="44"/>
      <c r="O396" s="44"/>
      <c r="P396" s="44"/>
      <c r="Q396" s="44"/>
      <c r="R396" s="44"/>
      <c r="Z396" s="45"/>
    </row>
    <row r="397" spans="12:26" hidden="1" x14ac:dyDescent="0.3">
      <c r="L397" s="44"/>
      <c r="M397" s="44"/>
      <c r="N397" s="44"/>
      <c r="O397" s="44"/>
      <c r="P397" s="44"/>
      <c r="Q397" s="44"/>
      <c r="R397" s="44"/>
      <c r="Z397" s="45"/>
    </row>
    <row r="398" spans="12:26" hidden="1" x14ac:dyDescent="0.3">
      <c r="L398" s="44"/>
      <c r="M398" s="44"/>
      <c r="N398" s="44"/>
      <c r="O398" s="44"/>
      <c r="P398" s="44"/>
      <c r="Q398" s="44"/>
      <c r="R398" s="44"/>
      <c r="Z398" s="45"/>
    </row>
    <row r="399" spans="12:26" hidden="1" x14ac:dyDescent="0.3">
      <c r="L399" s="44"/>
      <c r="M399" s="44"/>
      <c r="N399" s="44"/>
      <c r="O399" s="44"/>
      <c r="P399" s="44"/>
      <c r="Q399" s="44"/>
      <c r="R399" s="44"/>
      <c r="Z399" s="45"/>
    </row>
    <row r="400" spans="12:26" hidden="1" x14ac:dyDescent="0.3">
      <c r="L400" s="44"/>
      <c r="M400" s="44"/>
      <c r="N400" s="44"/>
      <c r="O400" s="44"/>
      <c r="P400" s="44"/>
      <c r="Q400" s="44"/>
      <c r="R400" s="44"/>
      <c r="Z400" s="45"/>
    </row>
    <row r="401" spans="12:26" hidden="1" x14ac:dyDescent="0.3">
      <c r="L401" s="44"/>
      <c r="M401" s="44"/>
      <c r="N401" s="44"/>
      <c r="O401" s="44"/>
      <c r="P401" s="44"/>
      <c r="Q401" s="44"/>
      <c r="R401" s="44"/>
      <c r="Z401" s="45"/>
    </row>
    <row r="402" spans="12:26" hidden="1" x14ac:dyDescent="0.3">
      <c r="L402" s="44"/>
      <c r="M402" s="44"/>
      <c r="N402" s="44"/>
      <c r="O402" s="44"/>
      <c r="P402" s="44"/>
      <c r="Q402" s="44"/>
      <c r="R402" s="44"/>
      <c r="Z402" s="45"/>
    </row>
    <row r="403" spans="12:26" hidden="1" x14ac:dyDescent="0.3">
      <c r="L403" s="44"/>
      <c r="M403" s="44"/>
      <c r="N403" s="44"/>
      <c r="O403" s="44"/>
      <c r="P403" s="44"/>
      <c r="Q403" s="44"/>
      <c r="R403" s="44"/>
      <c r="Z403" s="45"/>
    </row>
    <row r="404" spans="12:26" hidden="1" x14ac:dyDescent="0.3">
      <c r="L404" s="44"/>
      <c r="M404" s="44"/>
      <c r="N404" s="44"/>
      <c r="O404" s="44"/>
      <c r="P404" s="44"/>
      <c r="Q404" s="44"/>
      <c r="R404" s="44"/>
      <c r="Z404" s="45"/>
    </row>
    <row r="405" spans="12:26" hidden="1" x14ac:dyDescent="0.3">
      <c r="L405" s="44"/>
      <c r="M405" s="44"/>
      <c r="N405" s="44"/>
      <c r="O405" s="44"/>
      <c r="P405" s="44"/>
      <c r="Q405" s="44"/>
      <c r="R405" s="44"/>
      <c r="Z405" s="45"/>
    </row>
    <row r="406" spans="12:26" hidden="1" x14ac:dyDescent="0.3">
      <c r="L406" s="44"/>
      <c r="M406" s="44"/>
      <c r="N406" s="44"/>
      <c r="O406" s="44"/>
      <c r="P406" s="44"/>
      <c r="Q406" s="44"/>
      <c r="R406" s="44"/>
      <c r="Z406" s="45"/>
    </row>
    <row r="407" spans="12:26" hidden="1" x14ac:dyDescent="0.3">
      <c r="L407" s="44"/>
      <c r="M407" s="44"/>
      <c r="N407" s="44"/>
      <c r="O407" s="44"/>
      <c r="P407" s="44"/>
      <c r="Q407" s="44"/>
      <c r="R407" s="44"/>
      <c r="Z407" s="45"/>
    </row>
    <row r="408" spans="12:26" hidden="1" x14ac:dyDescent="0.3">
      <c r="L408" s="44"/>
      <c r="M408" s="44"/>
      <c r="N408" s="44"/>
      <c r="O408" s="44"/>
      <c r="P408" s="44"/>
      <c r="Q408" s="44"/>
      <c r="R408" s="44"/>
      <c r="Z408" s="45"/>
    </row>
    <row r="409" spans="12:26" hidden="1" x14ac:dyDescent="0.3">
      <c r="L409" s="44"/>
      <c r="M409" s="44"/>
      <c r="N409" s="44"/>
      <c r="O409" s="44"/>
      <c r="P409" s="44"/>
      <c r="Q409" s="44"/>
      <c r="R409" s="44"/>
      <c r="Z409" s="45"/>
    </row>
    <row r="410" spans="12:26" hidden="1" x14ac:dyDescent="0.3">
      <c r="L410" s="44"/>
      <c r="M410" s="44"/>
      <c r="N410" s="44"/>
      <c r="O410" s="44"/>
      <c r="P410" s="44"/>
      <c r="Q410" s="44"/>
      <c r="R410" s="44"/>
      <c r="Z410" s="45"/>
    </row>
    <row r="411" spans="12:26" hidden="1" x14ac:dyDescent="0.3">
      <c r="L411" s="44"/>
      <c r="M411" s="44"/>
      <c r="N411" s="44"/>
      <c r="O411" s="44"/>
      <c r="P411" s="44"/>
      <c r="Q411" s="44"/>
      <c r="R411" s="44"/>
      <c r="Z411" s="45"/>
    </row>
    <row r="412" spans="12:26" hidden="1" x14ac:dyDescent="0.3">
      <c r="L412" s="44"/>
      <c r="M412" s="44"/>
      <c r="N412" s="44"/>
      <c r="O412" s="44"/>
      <c r="P412" s="44"/>
      <c r="Q412" s="44"/>
      <c r="R412" s="44"/>
      <c r="Z412" s="45"/>
    </row>
    <row r="413" spans="12:26" hidden="1" x14ac:dyDescent="0.3">
      <c r="L413" s="44"/>
      <c r="M413" s="44"/>
      <c r="N413" s="44"/>
      <c r="O413" s="44"/>
      <c r="P413" s="44"/>
      <c r="Q413" s="44"/>
      <c r="R413" s="44"/>
      <c r="Z413" s="45"/>
    </row>
    <row r="414" spans="12:26" hidden="1" x14ac:dyDescent="0.3">
      <c r="L414" s="44"/>
      <c r="M414" s="44"/>
      <c r="N414" s="44"/>
      <c r="O414" s="44"/>
      <c r="P414" s="44"/>
      <c r="Q414" s="44"/>
      <c r="R414" s="44"/>
      <c r="Z414" s="45"/>
    </row>
    <row r="415" spans="12:26" hidden="1" x14ac:dyDescent="0.3">
      <c r="L415" s="44"/>
      <c r="M415" s="44"/>
      <c r="N415" s="44"/>
      <c r="O415" s="44"/>
      <c r="P415" s="44"/>
      <c r="Q415" s="44"/>
      <c r="R415" s="44"/>
      <c r="Z415" s="45"/>
    </row>
    <row r="416" spans="12:26" hidden="1" x14ac:dyDescent="0.3">
      <c r="L416" s="44"/>
      <c r="M416" s="44"/>
      <c r="N416" s="44"/>
      <c r="O416" s="44"/>
      <c r="P416" s="44"/>
      <c r="Q416" s="44"/>
      <c r="R416" s="44"/>
      <c r="Z416" s="45"/>
    </row>
    <row r="417" spans="12:26" hidden="1" x14ac:dyDescent="0.3">
      <c r="L417" s="44"/>
      <c r="M417" s="44"/>
      <c r="N417" s="44"/>
      <c r="O417" s="44"/>
      <c r="P417" s="44"/>
      <c r="Q417" s="44"/>
      <c r="R417" s="44"/>
      <c r="Z417" s="45"/>
    </row>
    <row r="418" spans="12:26" hidden="1" x14ac:dyDescent="0.3">
      <c r="L418" s="44"/>
      <c r="M418" s="44"/>
      <c r="N418" s="44"/>
      <c r="O418" s="44"/>
      <c r="P418" s="44"/>
      <c r="Q418" s="44"/>
      <c r="R418" s="44"/>
      <c r="Z418" s="45"/>
    </row>
    <row r="419" spans="12:26" hidden="1" x14ac:dyDescent="0.3">
      <c r="L419" s="44"/>
      <c r="M419" s="44"/>
      <c r="N419" s="44"/>
      <c r="O419" s="44"/>
      <c r="P419" s="44"/>
      <c r="Q419" s="44"/>
      <c r="R419" s="44"/>
      <c r="Z419" s="45"/>
    </row>
    <row r="420" spans="12:26" hidden="1" x14ac:dyDescent="0.3">
      <c r="L420" s="44"/>
      <c r="M420" s="44"/>
      <c r="N420" s="44"/>
      <c r="O420" s="44"/>
      <c r="P420" s="44"/>
      <c r="Q420" s="44"/>
      <c r="R420" s="44"/>
      <c r="Z420" s="45"/>
    </row>
    <row r="421" spans="12:26" hidden="1" x14ac:dyDescent="0.3">
      <c r="L421" s="44"/>
      <c r="M421" s="44"/>
      <c r="N421" s="44"/>
      <c r="O421" s="44"/>
      <c r="P421" s="44"/>
      <c r="Q421" s="44"/>
      <c r="R421" s="44"/>
      <c r="Z421" s="45"/>
    </row>
    <row r="422" spans="12:26" hidden="1" x14ac:dyDescent="0.3">
      <c r="L422" s="44"/>
      <c r="M422" s="44"/>
      <c r="N422" s="44"/>
      <c r="O422" s="44"/>
      <c r="P422" s="44"/>
      <c r="Q422" s="44"/>
      <c r="R422" s="44"/>
      <c r="Z422" s="45"/>
    </row>
    <row r="423" spans="12:26" hidden="1" x14ac:dyDescent="0.3">
      <c r="L423" s="44"/>
      <c r="M423" s="44"/>
      <c r="N423" s="44"/>
      <c r="O423" s="44"/>
      <c r="P423" s="44"/>
      <c r="Q423" s="44"/>
      <c r="R423" s="44"/>
      <c r="Z423" s="45"/>
    </row>
    <row r="424" spans="12:26" hidden="1" x14ac:dyDescent="0.3">
      <c r="L424" s="44"/>
      <c r="M424" s="44"/>
      <c r="N424" s="44"/>
      <c r="O424" s="44"/>
      <c r="P424" s="44"/>
      <c r="Q424" s="44"/>
      <c r="R424" s="44"/>
      <c r="Z424" s="45"/>
    </row>
    <row r="425" spans="12:26" hidden="1" x14ac:dyDescent="0.3">
      <c r="L425" s="44"/>
      <c r="M425" s="44"/>
      <c r="N425" s="44"/>
      <c r="O425" s="44"/>
      <c r="P425" s="44"/>
      <c r="Q425" s="44"/>
      <c r="R425" s="44"/>
      <c r="Z425" s="45"/>
    </row>
    <row r="426" spans="12:26" hidden="1" x14ac:dyDescent="0.3">
      <c r="L426" s="44"/>
      <c r="M426" s="44"/>
      <c r="N426" s="44"/>
      <c r="O426" s="44"/>
      <c r="P426" s="44"/>
      <c r="Q426" s="44"/>
      <c r="R426" s="44"/>
      <c r="Z426" s="45"/>
    </row>
    <row r="427" spans="12:26" hidden="1" x14ac:dyDescent="0.3">
      <c r="L427" s="44"/>
      <c r="M427" s="44"/>
      <c r="N427" s="44"/>
      <c r="O427" s="44"/>
      <c r="P427" s="44"/>
      <c r="Q427" s="44"/>
      <c r="R427" s="44"/>
      <c r="Z427" s="45"/>
    </row>
    <row r="428" spans="12:26" hidden="1" x14ac:dyDescent="0.3">
      <c r="L428" s="44"/>
      <c r="M428" s="44"/>
      <c r="N428" s="44"/>
      <c r="O428" s="44"/>
      <c r="P428" s="44"/>
      <c r="Q428" s="44"/>
      <c r="R428" s="44"/>
      <c r="Z428" s="45"/>
    </row>
    <row r="429" spans="12:26" hidden="1" x14ac:dyDescent="0.3">
      <c r="L429" s="44"/>
      <c r="M429" s="44"/>
      <c r="N429" s="44"/>
      <c r="O429" s="44"/>
      <c r="P429" s="44"/>
      <c r="Q429" s="44"/>
      <c r="R429" s="44"/>
      <c r="Z429" s="45"/>
    </row>
    <row r="430" spans="12:26" hidden="1" x14ac:dyDescent="0.3">
      <c r="L430" s="44"/>
      <c r="M430" s="44"/>
      <c r="N430" s="44"/>
      <c r="O430" s="44"/>
      <c r="P430" s="44"/>
      <c r="Q430" s="44"/>
      <c r="R430" s="44"/>
      <c r="Z430" s="45"/>
    </row>
    <row r="431" spans="12:26" hidden="1" x14ac:dyDescent="0.3">
      <c r="L431" s="44"/>
      <c r="M431" s="44"/>
      <c r="N431" s="44"/>
      <c r="O431" s="44"/>
      <c r="P431" s="44"/>
      <c r="Q431" s="44"/>
      <c r="R431" s="44"/>
      <c r="Z431" s="45"/>
    </row>
    <row r="432" spans="12:26" hidden="1" x14ac:dyDescent="0.3">
      <c r="L432" s="44"/>
      <c r="M432" s="44"/>
      <c r="N432" s="44"/>
      <c r="O432" s="44"/>
      <c r="P432" s="44"/>
      <c r="Q432" s="44"/>
      <c r="R432" s="44"/>
      <c r="Z432" s="45"/>
    </row>
    <row r="433" spans="12:26" hidden="1" x14ac:dyDescent="0.3">
      <c r="L433" s="44"/>
      <c r="M433" s="44"/>
      <c r="N433" s="44"/>
      <c r="O433" s="44"/>
      <c r="P433" s="44"/>
      <c r="Q433" s="44"/>
      <c r="R433" s="44"/>
      <c r="Z433" s="45"/>
    </row>
    <row r="434" spans="12:26" hidden="1" x14ac:dyDescent="0.3">
      <c r="L434" s="44"/>
      <c r="M434" s="44"/>
      <c r="N434" s="44"/>
      <c r="O434" s="44"/>
      <c r="P434" s="44"/>
      <c r="Q434" s="44"/>
      <c r="R434" s="44"/>
      <c r="Z434" s="45"/>
    </row>
    <row r="435" spans="12:26" hidden="1" x14ac:dyDescent="0.3">
      <c r="L435" s="44"/>
      <c r="M435" s="44"/>
      <c r="N435" s="44"/>
      <c r="O435" s="44"/>
      <c r="P435" s="44"/>
      <c r="Q435" s="44"/>
      <c r="R435" s="44"/>
      <c r="Z435" s="45"/>
    </row>
    <row r="436" spans="12:26" hidden="1" x14ac:dyDescent="0.3">
      <c r="L436" s="44"/>
      <c r="M436" s="44"/>
      <c r="N436" s="44"/>
      <c r="O436" s="44"/>
      <c r="P436" s="44"/>
      <c r="Q436" s="44"/>
      <c r="R436" s="44"/>
      <c r="Z436" s="45"/>
    </row>
    <row r="437" spans="12:26" hidden="1" x14ac:dyDescent="0.3">
      <c r="L437" s="44"/>
      <c r="M437" s="44"/>
      <c r="N437" s="44"/>
      <c r="O437" s="44"/>
      <c r="P437" s="44"/>
      <c r="Q437" s="44"/>
      <c r="R437" s="44"/>
      <c r="Z437" s="45"/>
    </row>
    <row r="438" spans="12:26" hidden="1" x14ac:dyDescent="0.3">
      <c r="L438" s="44"/>
      <c r="M438" s="44"/>
      <c r="N438" s="44"/>
      <c r="O438" s="44"/>
      <c r="P438" s="44"/>
      <c r="Q438" s="44"/>
      <c r="R438" s="44"/>
      <c r="Z438" s="45"/>
    </row>
    <row r="439" spans="12:26" hidden="1" x14ac:dyDescent="0.3">
      <c r="L439" s="44"/>
      <c r="M439" s="44"/>
      <c r="N439" s="44"/>
      <c r="O439" s="44"/>
      <c r="P439" s="44"/>
      <c r="Q439" s="44"/>
      <c r="R439" s="44"/>
      <c r="Z439" s="45"/>
    </row>
    <row r="440" spans="12:26" hidden="1" x14ac:dyDescent="0.3">
      <c r="L440" s="44"/>
      <c r="M440" s="44"/>
      <c r="N440" s="44"/>
      <c r="O440" s="44"/>
      <c r="P440" s="44"/>
      <c r="Q440" s="44"/>
      <c r="R440" s="44"/>
      <c r="Z440" s="45"/>
    </row>
    <row r="441" spans="12:26" hidden="1" x14ac:dyDescent="0.3">
      <c r="L441" s="44"/>
      <c r="M441" s="44"/>
      <c r="N441" s="44"/>
      <c r="O441" s="44"/>
      <c r="P441" s="44"/>
      <c r="Q441" s="44"/>
      <c r="R441" s="44"/>
      <c r="Z441" s="45"/>
    </row>
    <row r="442" spans="12:26" hidden="1" x14ac:dyDescent="0.3">
      <c r="L442" s="44"/>
      <c r="M442" s="44"/>
      <c r="N442" s="44"/>
      <c r="O442" s="44"/>
      <c r="P442" s="44"/>
      <c r="Q442" s="44"/>
      <c r="R442" s="44"/>
      <c r="Z442" s="45"/>
    </row>
    <row r="443" spans="12:26" hidden="1" x14ac:dyDescent="0.3">
      <c r="L443" s="44"/>
      <c r="M443" s="44"/>
      <c r="N443" s="44"/>
      <c r="O443" s="44"/>
      <c r="P443" s="44"/>
      <c r="Q443" s="44"/>
      <c r="R443" s="44"/>
      <c r="Z443" s="45"/>
    </row>
    <row r="444" spans="12:26" hidden="1" x14ac:dyDescent="0.3">
      <c r="Z444" s="45"/>
    </row>
    <row r="445" spans="12:26" hidden="1" x14ac:dyDescent="0.3">
      <c r="Z445" s="45"/>
    </row>
    <row r="446" spans="12:26" hidden="1" x14ac:dyDescent="0.3">
      <c r="Z446" s="45"/>
    </row>
    <row r="447" spans="12:26" hidden="1" x14ac:dyDescent="0.3">
      <c r="Z447" s="45"/>
    </row>
    <row r="448" spans="12:26" hidden="1" x14ac:dyDescent="0.3">
      <c r="Z448" s="45"/>
    </row>
    <row r="449" spans="26:26" hidden="1" x14ac:dyDescent="0.3">
      <c r="Z449" s="45"/>
    </row>
    <row r="450" spans="26:26" hidden="1" x14ac:dyDescent="0.3">
      <c r="Z450" s="45"/>
    </row>
    <row r="451" spans="26:26" hidden="1" x14ac:dyDescent="0.3">
      <c r="Z451" s="45"/>
    </row>
    <row r="452" spans="26:26" hidden="1" x14ac:dyDescent="0.3">
      <c r="Z452" s="45"/>
    </row>
    <row r="453" spans="26:26" hidden="1" x14ac:dyDescent="0.3">
      <c r="Z453" s="45"/>
    </row>
    <row r="454" spans="26:26" hidden="1" x14ac:dyDescent="0.3">
      <c r="Z454" s="45"/>
    </row>
    <row r="455" spans="26:26" hidden="1" x14ac:dyDescent="0.3">
      <c r="Z455" s="45"/>
    </row>
    <row r="456" spans="26:26" hidden="1" x14ac:dyDescent="0.3">
      <c r="Z456" s="45"/>
    </row>
    <row r="457" spans="26:26" hidden="1" x14ac:dyDescent="0.3">
      <c r="Z457" s="45"/>
    </row>
    <row r="458" spans="26:26" hidden="1" x14ac:dyDescent="0.3">
      <c r="Z458" s="45"/>
    </row>
    <row r="459" spans="26:26" hidden="1" x14ac:dyDescent="0.3">
      <c r="Z459" s="45"/>
    </row>
    <row r="460" spans="26:26" hidden="1" x14ac:dyDescent="0.3">
      <c r="Z460" s="45"/>
    </row>
    <row r="461" spans="26:26" hidden="1" x14ac:dyDescent="0.3">
      <c r="Z461" s="45"/>
    </row>
    <row r="462" spans="26:26" hidden="1" x14ac:dyDescent="0.3">
      <c r="Z462" s="45"/>
    </row>
    <row r="463" spans="26:26" hidden="1" x14ac:dyDescent="0.3">
      <c r="Z463" s="45"/>
    </row>
    <row r="464" spans="26:26" hidden="1" x14ac:dyDescent="0.3">
      <c r="Z464" s="45"/>
    </row>
    <row r="465" spans="26:26" hidden="1" x14ac:dyDescent="0.3">
      <c r="Z465" s="45"/>
    </row>
    <row r="466" spans="26:26" hidden="1" x14ac:dyDescent="0.3">
      <c r="Z466" s="45"/>
    </row>
    <row r="467" spans="26:26" hidden="1" x14ac:dyDescent="0.3">
      <c r="Z467" s="45"/>
    </row>
    <row r="468" spans="26:26" hidden="1" x14ac:dyDescent="0.3">
      <c r="Z468" s="45"/>
    </row>
    <row r="469" spans="26:26" hidden="1" x14ac:dyDescent="0.3">
      <c r="Z469" s="45"/>
    </row>
    <row r="470" spans="26:26" hidden="1" x14ac:dyDescent="0.3">
      <c r="Z470" s="45"/>
    </row>
    <row r="471" spans="26:26" hidden="1" x14ac:dyDescent="0.3">
      <c r="Z471" s="45"/>
    </row>
    <row r="472" spans="26:26" hidden="1" x14ac:dyDescent="0.3">
      <c r="Z472" s="45"/>
    </row>
    <row r="473" spans="26:26" hidden="1" x14ac:dyDescent="0.3">
      <c r="Z473" s="45"/>
    </row>
  </sheetData>
  <sheetProtection sheet="1" objects="1" scenarios="1"/>
  <mergeCells count="4">
    <mergeCell ref="B45:D45"/>
    <mergeCell ref="B1:D1"/>
    <mergeCell ref="P2:Q2"/>
    <mergeCell ref="X2:Y2"/>
  </mergeCells>
  <phoneticPr fontId="0" type="noConversion"/>
  <pageMargins left="0.75" right="0.5" top="0.7" bottom="0.5" header="0" footer="0"/>
  <pageSetup scale="60" fitToWidth="0" fitToHeight="2" orientation="portrait" horizontalDpi="4294967292" r:id="rId1"/>
  <headerFooter alignWithMargins="0"/>
  <rowBreaks count="1" manualBreakCount="1">
    <brk id="70" max="16383" man="1"/>
  </rowBreaks>
  <colBreaks count="1" manualBreakCount="1">
    <brk id="9" max="1048575" man="1"/>
  </colBreaks>
  <ignoredErrors>
    <ignoredError sqref="T84" formula="1"/>
    <ignoredError sqref="C9 C10:F16 E9:F9 C17:F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V61"/>
  <sheetViews>
    <sheetView showOutlineSymbols="0" topLeftCell="A24" zoomScaleNormal="100" zoomScaleSheetLayoutView="90" workbookViewId="0">
      <selection activeCell="H37" sqref="H37:H42"/>
    </sheetView>
  </sheetViews>
  <sheetFormatPr defaultColWidth="0" defaultRowHeight="17.25" zeroHeight="1" x14ac:dyDescent="0.3"/>
  <cols>
    <col min="1" max="1" width="2.77734375" style="27" customWidth="1"/>
    <col min="2" max="2" width="33.77734375" style="27" customWidth="1"/>
    <col min="3" max="8" width="9.5546875" style="27" customWidth="1"/>
    <col min="9" max="9" width="2.77734375" style="27" customWidth="1"/>
    <col min="10" max="10" width="18.77734375" style="125" customWidth="1"/>
    <col min="11" max="11" width="2.77734375" style="27" customWidth="1"/>
    <col min="12" max="12" width="0" style="27" hidden="1" customWidth="1"/>
    <col min="13" max="16384" width="0" style="27" hidden="1"/>
  </cols>
  <sheetData>
    <row r="1" spans="1:204" ht="21" thickBot="1" x14ac:dyDescent="0.4">
      <c r="A1" s="122"/>
      <c r="B1" s="114" t="s">
        <v>260</v>
      </c>
      <c r="C1" s="115"/>
      <c r="D1" s="115"/>
      <c r="E1" s="132"/>
      <c r="F1" s="132"/>
      <c r="G1" s="132"/>
      <c r="H1" s="13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</row>
    <row r="2" spans="1:204" x14ac:dyDescent="0.3">
      <c r="A2" s="122"/>
      <c r="B2" s="133"/>
      <c r="C2" s="134" t="s">
        <v>102</v>
      </c>
      <c r="D2" s="134"/>
      <c r="E2" s="134" t="s">
        <v>105</v>
      </c>
      <c r="F2" s="134"/>
      <c r="G2" s="134" t="s">
        <v>106</v>
      </c>
      <c r="H2" s="134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</row>
    <row r="3" spans="1:204" x14ac:dyDescent="0.3">
      <c r="A3" s="122"/>
      <c r="C3" s="135" t="s">
        <v>101</v>
      </c>
      <c r="D3" s="135"/>
      <c r="E3" s="135" t="s">
        <v>104</v>
      </c>
      <c r="F3" s="135"/>
      <c r="G3" s="135" t="s">
        <v>107</v>
      </c>
      <c r="H3" s="135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</row>
    <row r="4" spans="1:204" x14ac:dyDescent="0.3">
      <c r="A4" s="122"/>
      <c r="B4" s="27" t="s">
        <v>103</v>
      </c>
      <c r="C4" s="140">
        <v>90</v>
      </c>
      <c r="D4" s="140">
        <v>180</v>
      </c>
      <c r="E4" s="136">
        <f>+D4</f>
        <v>180</v>
      </c>
      <c r="F4" s="140">
        <v>235</v>
      </c>
      <c r="G4" s="136">
        <f>+F4</f>
        <v>235</v>
      </c>
      <c r="H4" s="140">
        <v>400</v>
      </c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</row>
    <row r="5" spans="1:204" x14ac:dyDescent="0.3">
      <c r="A5" s="122"/>
      <c r="B5" s="133"/>
      <c r="C5" s="134"/>
      <c r="D5" s="134"/>
      <c r="E5" s="134"/>
      <c r="F5" s="134"/>
      <c r="G5" s="134"/>
      <c r="H5" s="134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</row>
    <row r="6" spans="1:204" x14ac:dyDescent="0.3">
      <c r="A6" s="122"/>
      <c r="B6" s="143" t="s">
        <v>127</v>
      </c>
      <c r="C6" s="144" t="s">
        <v>22</v>
      </c>
      <c r="D6" s="144" t="s">
        <v>23</v>
      </c>
      <c r="E6" s="144" t="s">
        <v>22</v>
      </c>
      <c r="F6" s="144" t="s">
        <v>23</v>
      </c>
      <c r="G6" s="144" t="s">
        <v>22</v>
      </c>
      <c r="H6" s="144" t="s">
        <v>23</v>
      </c>
      <c r="I6" s="122"/>
      <c r="J6" s="163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</row>
    <row r="7" spans="1:204" x14ac:dyDescent="0.3">
      <c r="A7" s="124"/>
      <c r="B7" s="27" t="str">
        <f>LEFT(J7,40)&amp;" @ $"&amp;FIXED(VLOOKUP(J7,Inputs!$B$4:$G$23,6),2)&amp;" per cwt."</f>
        <v>Milk replacer @ $175.00 per cwt.</v>
      </c>
      <c r="C7" s="140">
        <v>100</v>
      </c>
      <c r="D7" s="137">
        <f>C7/100*VLOOKUP($J7,Inputs!$B$4:$G$23,6)</f>
        <v>175</v>
      </c>
      <c r="E7" s="140"/>
      <c r="F7" s="137">
        <f>E7/100*VLOOKUP($J7,Inputs!$B$4:$G$23,6)</f>
        <v>0</v>
      </c>
      <c r="G7" s="140"/>
      <c r="H7" s="137">
        <f>G7/100*VLOOKUP($J7,Inputs!$B$4:$G$23,6)</f>
        <v>0</v>
      </c>
      <c r="I7" s="122"/>
      <c r="J7" s="130" t="s">
        <v>125</v>
      </c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</row>
    <row r="8" spans="1:204" x14ac:dyDescent="0.3">
      <c r="A8" s="124"/>
      <c r="B8" s="27" t="str">
        <f>LEFT(J8,40)&amp;" @ $"&amp;FIXED(VLOOKUP(J8,Inputs!$B$4:$G$23,6),2)&amp;" per cwt."</f>
        <v>Calf starter (18%) w/med @ $25.00 per cwt.</v>
      </c>
      <c r="C8" s="140">
        <v>100</v>
      </c>
      <c r="D8" s="138">
        <f>C8/100*VLOOKUP($J8,Inputs!$B$4:$G$23,6)</f>
        <v>25</v>
      </c>
      <c r="E8" s="140">
        <v>100</v>
      </c>
      <c r="F8" s="138">
        <f>E8/100*VLOOKUP($J8,Inputs!$B$4:$G$23,6)</f>
        <v>25</v>
      </c>
      <c r="G8" s="140"/>
      <c r="H8" s="138">
        <f>G8/100*VLOOKUP($J8,Inputs!$B$4:$G$23,6)</f>
        <v>0</v>
      </c>
      <c r="I8" s="122"/>
      <c r="J8" s="130" t="s">
        <v>219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</row>
    <row r="9" spans="1:204" x14ac:dyDescent="0.3">
      <c r="A9" s="124"/>
      <c r="B9" s="27" t="str">
        <f>LEFT(J9,40)&amp;" @ $"&amp;FIXED(VLOOKUP(J9,Inputs!$B$4:$G$23,6),2)&amp;" per cwt."</f>
        <v>Calf grower (16%) @ $20.00 per cwt.</v>
      </c>
      <c r="C9" s="140"/>
      <c r="D9" s="138">
        <f>C9/100*VLOOKUP($J9,Inputs!$B$4:$G$23,6)</f>
        <v>0</v>
      </c>
      <c r="E9" s="140">
        <v>50</v>
      </c>
      <c r="F9" s="138">
        <f>E9/100*VLOOKUP($J9,Inputs!$B$4:$G$23,6)</f>
        <v>10</v>
      </c>
      <c r="G9" s="140">
        <v>450</v>
      </c>
      <c r="H9" s="138">
        <f>G9/100*VLOOKUP($J9,Inputs!$B$4:$G$23,6)</f>
        <v>90</v>
      </c>
      <c r="I9" s="122"/>
      <c r="J9" s="130" t="s">
        <v>126</v>
      </c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</row>
    <row r="10" spans="1:204" x14ac:dyDescent="0.3">
      <c r="A10" s="124"/>
      <c r="B10" s="27" t="str">
        <f>LEFT(J10,40)&amp;" @ $"&amp;FIXED(VLOOKUP(J10,Inputs!$B$4:$G$23,2,FALSE),2)&amp;" per ton"</f>
        <v>Alfalfa hay @ $250.00 per ton</v>
      </c>
      <c r="C10" s="140">
        <v>20</v>
      </c>
      <c r="D10" s="138">
        <f>C10/100*VLOOKUP($J10,Inputs!$B$4:$G$23,6,FALSE)</f>
        <v>2.5</v>
      </c>
      <c r="E10" s="140">
        <v>90</v>
      </c>
      <c r="F10" s="138">
        <f>E10/100*VLOOKUP($J10,Inputs!$B$4:$G$23,6,FALSE)</f>
        <v>11.25</v>
      </c>
      <c r="G10" s="140">
        <v>225</v>
      </c>
      <c r="H10" s="138">
        <f>G10/100*VLOOKUP($J10,Inputs!$B$4:$G$23,6,FALSE)</f>
        <v>28.125</v>
      </c>
      <c r="I10" s="122"/>
      <c r="J10" s="130" t="s">
        <v>110</v>
      </c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</row>
    <row r="11" spans="1:204" x14ac:dyDescent="0.3">
      <c r="A11" s="124"/>
      <c r="B11" s="27" t="str">
        <f>LEFT(J11,40)&amp;" @ $"&amp;FIXED(VLOOKUP(J11,Inputs!$B$4:$G$23,2),2)&amp;" per ton"</f>
        <v>Grass hay @ $100.00 per ton</v>
      </c>
      <c r="C11" s="140"/>
      <c r="D11" s="138">
        <f>C11/100*VLOOKUP($J11,Inputs!$B$4:$G$23,6)</f>
        <v>0</v>
      </c>
      <c r="E11" s="140"/>
      <c r="F11" s="138">
        <f>E11/100*VLOOKUP($J11,Inputs!$B$4:$G$23,6)</f>
        <v>0</v>
      </c>
      <c r="G11" s="140">
        <v>225</v>
      </c>
      <c r="H11" s="138">
        <f>G11/100*VLOOKUP($J11,Inputs!$B$4:$G$23,6)</f>
        <v>11.25</v>
      </c>
      <c r="I11" s="122"/>
      <c r="J11" s="130" t="s">
        <v>111</v>
      </c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</row>
    <row r="12" spans="1:204" x14ac:dyDescent="0.3">
      <c r="A12" s="124"/>
      <c r="B12" s="27" t="str">
        <f>LEFT(J12,40)&amp;" @ $"&amp;FIXED(VLOOKUP(J27,Inputs!$B$4:$G$23,6),2)&amp;" per AUM"</f>
        <v>Pasture @ $20.00 per AUM</v>
      </c>
      <c r="C12" s="140"/>
      <c r="D12" s="138">
        <f>C12*VLOOKUP($J27,Inputs!$B$4:$G$23,6)</f>
        <v>0</v>
      </c>
      <c r="E12" s="141">
        <v>0</v>
      </c>
      <c r="F12" s="138">
        <f>E12*VLOOKUP($J27,Inputs!$B$4:$G$23,6)</f>
        <v>0</v>
      </c>
      <c r="G12" s="141">
        <f>0.35*2*(7/12)</f>
        <v>0.40833333333333333</v>
      </c>
      <c r="H12" s="138">
        <f>G12*VLOOKUP($J27,Inputs!$B$4:$G$23,6)</f>
        <v>8.1666666666666661</v>
      </c>
      <c r="I12" s="122"/>
      <c r="J12" s="130" t="s">
        <v>128</v>
      </c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</row>
    <row r="13" spans="1:204" x14ac:dyDescent="0.3">
      <c r="A13" s="122"/>
      <c r="B13" s="142" t="s">
        <v>262</v>
      </c>
      <c r="C13" s="133"/>
      <c r="D13" s="139">
        <f>SUM(D7:D12)</f>
        <v>202.5</v>
      </c>
      <c r="E13" s="133"/>
      <c r="F13" s="139">
        <f>SUM(F7:F12)</f>
        <v>46.25</v>
      </c>
      <c r="G13" s="133"/>
      <c r="H13" s="139">
        <f>SUM(H7:H12)</f>
        <v>137.54166666666666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</row>
    <row r="14" spans="1:204" x14ac:dyDescent="0.3">
      <c r="A14" s="122"/>
      <c r="B14" s="142" t="s">
        <v>263</v>
      </c>
      <c r="C14" s="133"/>
      <c r="D14" s="139">
        <f>D13+F13+H13</f>
        <v>386.29166666666663</v>
      </c>
      <c r="E14" s="133"/>
      <c r="F14" s="133"/>
      <c r="G14" s="133"/>
      <c r="H14" s="133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</row>
    <row r="15" spans="1:204" ht="18" thickBot="1" x14ac:dyDescent="0.35">
      <c r="A15" s="122"/>
      <c r="B15" s="123"/>
      <c r="C15" s="123"/>
      <c r="D15" s="123"/>
      <c r="E15" s="123"/>
      <c r="F15" s="123"/>
      <c r="G15" s="123"/>
      <c r="H15" s="123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</row>
    <row r="16" spans="1:204" ht="21" thickBot="1" x14ac:dyDescent="0.4">
      <c r="A16" s="122"/>
      <c r="B16" s="114" t="s">
        <v>261</v>
      </c>
      <c r="C16" s="145"/>
      <c r="D16" s="145"/>
      <c r="E16" s="145"/>
      <c r="F16" s="145"/>
      <c r="G16" s="145"/>
      <c r="H16" s="146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</row>
    <row r="17" spans="1:204" x14ac:dyDescent="0.3">
      <c r="A17" s="122"/>
      <c r="C17" s="135" t="s">
        <v>119</v>
      </c>
      <c r="D17" s="135"/>
      <c r="E17" s="135" t="s">
        <v>121</v>
      </c>
      <c r="F17" s="135"/>
      <c r="G17" s="135" t="s">
        <v>123</v>
      </c>
      <c r="H17" s="135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</row>
    <row r="18" spans="1:204" x14ac:dyDescent="0.3">
      <c r="A18" s="122"/>
      <c r="C18" s="135" t="s">
        <v>120</v>
      </c>
      <c r="D18" s="135"/>
      <c r="E18" s="135" t="s">
        <v>122</v>
      </c>
      <c r="F18" s="135"/>
      <c r="G18" s="135" t="s">
        <v>124</v>
      </c>
      <c r="H18" s="135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</row>
    <row r="19" spans="1:204" x14ac:dyDescent="0.3">
      <c r="A19" s="122"/>
      <c r="B19" s="27" t="s">
        <v>103</v>
      </c>
      <c r="C19" s="140">
        <v>400</v>
      </c>
      <c r="D19" s="140">
        <v>725</v>
      </c>
      <c r="E19" s="136">
        <f>+C19</f>
        <v>400</v>
      </c>
      <c r="F19" s="136">
        <f>+D19</f>
        <v>725</v>
      </c>
      <c r="G19" s="136">
        <f>+E19</f>
        <v>400</v>
      </c>
      <c r="H19" s="136">
        <f>+F19</f>
        <v>725</v>
      </c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</row>
    <row r="20" spans="1:204" x14ac:dyDescent="0.3">
      <c r="A20" s="122"/>
      <c r="B20" s="133"/>
      <c r="C20" s="134"/>
      <c r="D20" s="134"/>
      <c r="E20" s="134"/>
      <c r="F20" s="134"/>
      <c r="G20" s="134"/>
      <c r="H20" s="134"/>
      <c r="I20" s="122"/>
      <c r="J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</row>
    <row r="21" spans="1:204" x14ac:dyDescent="0.3">
      <c r="A21" s="124"/>
      <c r="B21" s="143" t="s">
        <v>29</v>
      </c>
      <c r="C21" s="144" t="s">
        <v>22</v>
      </c>
      <c r="D21" s="144" t="s">
        <v>23</v>
      </c>
      <c r="E21" s="144" t="s">
        <v>22</v>
      </c>
      <c r="F21" s="144" t="s">
        <v>23</v>
      </c>
      <c r="G21" s="144" t="s">
        <v>22</v>
      </c>
      <c r="H21" s="144" t="s">
        <v>23</v>
      </c>
      <c r="I21" s="122"/>
      <c r="J21" s="163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</row>
    <row r="22" spans="1:204" x14ac:dyDescent="0.3">
      <c r="A22" s="124"/>
      <c r="B22" s="27" t="str">
        <f>LEFT(J22,40)&amp;" @ $"&amp;FIXED(VLOOKUP(J22,Inputs!$B$4:$G$23,6),2)&amp;" per cwt."</f>
        <v>Corn gluten feed @ $9.25 per cwt.</v>
      </c>
      <c r="C22" s="140">
        <v>525</v>
      </c>
      <c r="D22" s="137">
        <f>C22/100*VLOOKUP($J22,Inputs!$B$4:$G$23,6)</f>
        <v>48.5625</v>
      </c>
      <c r="E22" s="140"/>
      <c r="F22" s="137">
        <f>E22/100*VLOOKUP($J22,Inputs!$B$4:$G$23,6)</f>
        <v>0</v>
      </c>
      <c r="G22" s="140">
        <v>270</v>
      </c>
      <c r="H22" s="137">
        <f>G22/100*VLOOKUP($J22,Inputs!$B$4:$G$23,6)</f>
        <v>24.975000000000001</v>
      </c>
      <c r="I22" s="122"/>
      <c r="J22" s="130" t="s">
        <v>112</v>
      </c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</row>
    <row r="23" spans="1:204" x14ac:dyDescent="0.3">
      <c r="A23" s="124"/>
      <c r="B23" s="27" t="str">
        <f>LEFT(J23,40)&amp;" @ $"&amp;FIXED(VLOOKUP(J23,Inputs!$B$4:$G$23,6),2)&amp;" per cwt."</f>
        <v>Corn, cracked @ $8.04 per cwt.</v>
      </c>
      <c r="C23" s="140">
        <v>387</v>
      </c>
      <c r="D23" s="138">
        <f>C23/100*VLOOKUP($J23,Inputs!$B$4:$G$23,6)</f>
        <v>31.098214285714288</v>
      </c>
      <c r="E23" s="140">
        <v>252</v>
      </c>
      <c r="F23" s="138">
        <f>E23/100*VLOOKUP($J23,Inputs!$B$4:$G$23,6)</f>
        <v>20.250000000000004</v>
      </c>
      <c r="G23" s="140">
        <v>234</v>
      </c>
      <c r="H23" s="138">
        <f>G23/100*VLOOKUP($J23,Inputs!$B$4:$G$23,6)</f>
        <v>18.803571428571431</v>
      </c>
      <c r="I23" s="122"/>
      <c r="J23" s="130" t="s">
        <v>118</v>
      </c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  <c r="ET23" s="122"/>
      <c r="EU23" s="122"/>
      <c r="EV23" s="122"/>
      <c r="EW23" s="122"/>
      <c r="EX23" s="122"/>
      <c r="EY23" s="122"/>
      <c r="EZ23" s="122"/>
      <c r="FA23" s="122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</row>
    <row r="24" spans="1:204" x14ac:dyDescent="0.3">
      <c r="A24" s="124"/>
      <c r="B24" s="27" t="str">
        <f>LEFT(J24,40)&amp;" @ $"&amp;FIXED(VLOOKUP(J24,Inputs!$B$4:$G$23,2),2)&amp;" per ton"</f>
        <v>Soybean hulls @ $180.00 per ton</v>
      </c>
      <c r="C24" s="140">
        <v>262.5</v>
      </c>
      <c r="D24" s="138">
        <f>C24/100*VLOOKUP($J24,Inputs!$B$4:$G$23,6)</f>
        <v>23.625</v>
      </c>
      <c r="E24" s="140">
        <v>360</v>
      </c>
      <c r="F24" s="138">
        <f>E24/100*VLOOKUP($J24,Inputs!$B$4:$G$23,6)</f>
        <v>32.4</v>
      </c>
      <c r="G24" s="140">
        <v>270</v>
      </c>
      <c r="H24" s="138">
        <f>G24/100*VLOOKUP($J24,Inputs!$B$4:$G$23,6)</f>
        <v>24.3</v>
      </c>
      <c r="I24" s="122"/>
      <c r="J24" s="130" t="s">
        <v>115</v>
      </c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  <c r="ET24" s="122"/>
      <c r="EU24" s="122"/>
      <c r="EV24" s="122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</row>
    <row r="25" spans="1:204" x14ac:dyDescent="0.3">
      <c r="A25" s="124"/>
      <c r="B25" s="27" t="str">
        <f>LEFT(J25,40)&amp;" @ $"&amp;FIXED(VLOOKUP(J25,Inputs!$B$4:$G$23,2),2)&amp;" per ton"</f>
        <v>Grass hay @ $100.00 per ton</v>
      </c>
      <c r="C25" s="140">
        <v>1350</v>
      </c>
      <c r="D25" s="138">
        <f>C25/100*VLOOKUP($J25,Inputs!$B$4:$G$23,6)</f>
        <v>67.5</v>
      </c>
      <c r="E25" s="140"/>
      <c r="F25" s="138">
        <f>E25/100*VLOOKUP($J25,Inputs!$B$4:$G$23,6)</f>
        <v>0</v>
      </c>
      <c r="G25" s="140"/>
      <c r="H25" s="138">
        <f>G25/100*VLOOKUP($J25,Inputs!$B$4:$G$23,6)</f>
        <v>0</v>
      </c>
      <c r="I25" s="122"/>
      <c r="J25" s="130" t="s">
        <v>111</v>
      </c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  <c r="DB25" s="122"/>
      <c r="DC25" s="122"/>
      <c r="DD25" s="122"/>
      <c r="DE25" s="122"/>
      <c r="DF25" s="122"/>
      <c r="DG25" s="122"/>
      <c r="DH25" s="122"/>
      <c r="DI25" s="122"/>
      <c r="DJ25" s="122"/>
      <c r="DK25" s="122"/>
      <c r="DL25" s="122"/>
      <c r="DM25" s="122"/>
      <c r="DN25" s="122"/>
      <c r="DO25" s="122"/>
      <c r="DP25" s="122"/>
      <c r="DQ25" s="122"/>
      <c r="DR25" s="122"/>
      <c r="DS25" s="122"/>
      <c r="DT25" s="122"/>
      <c r="DU25" s="122"/>
      <c r="DV25" s="122"/>
      <c r="DW25" s="122"/>
      <c r="DX25" s="122"/>
      <c r="DY25" s="122"/>
      <c r="DZ25" s="122"/>
      <c r="EA25" s="122"/>
      <c r="EB25" s="122"/>
      <c r="EC25" s="122"/>
      <c r="ED25" s="122"/>
      <c r="EE25" s="122"/>
      <c r="EF25" s="122"/>
      <c r="EG25" s="122"/>
      <c r="EH25" s="122"/>
      <c r="EI25" s="122"/>
      <c r="EJ25" s="122"/>
      <c r="EK25" s="122"/>
      <c r="EL25" s="122"/>
      <c r="EM25" s="122"/>
      <c r="EN25" s="122"/>
      <c r="EO25" s="122"/>
      <c r="EP25" s="122"/>
      <c r="EQ25" s="122"/>
      <c r="ER25" s="122"/>
      <c r="ES25" s="122"/>
      <c r="ET25" s="122"/>
      <c r="EU25" s="122"/>
      <c r="EV25" s="122"/>
      <c r="EW25" s="122"/>
      <c r="EX25" s="122"/>
      <c r="EY25" s="122"/>
      <c r="EZ25" s="122"/>
      <c r="FA25" s="122"/>
      <c r="FB25" s="122"/>
      <c r="FC25" s="122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</row>
    <row r="26" spans="1:204" x14ac:dyDescent="0.3">
      <c r="A26" s="124"/>
      <c r="B26" s="27" t="str">
        <f>LEFT(J26,40)&amp;" @ $"&amp;FIXED(VLOOKUP(J26,Inputs!$B$4:$G$23,6),2)&amp;" per cwt."</f>
        <v>Minerals (w/lasalocid) @ $42.10 per cwt.</v>
      </c>
      <c r="C26" s="140">
        <v>36</v>
      </c>
      <c r="D26" s="138">
        <f>C26/100*VLOOKUP($J26,Inputs!$B$4:$G$23,6)</f>
        <v>15.156000000000001</v>
      </c>
      <c r="E26" s="140">
        <v>36</v>
      </c>
      <c r="F26" s="138">
        <f>E26/100*VLOOKUP($J26,Inputs!$B$4:$G$23,6)</f>
        <v>15.156000000000001</v>
      </c>
      <c r="G26" s="140">
        <v>36</v>
      </c>
      <c r="H26" s="138">
        <f>G26/100*VLOOKUP($J26,Inputs!$B$4:$G$23,6)</f>
        <v>15.156000000000001</v>
      </c>
      <c r="I26" s="122"/>
      <c r="J26" s="130" t="s">
        <v>132</v>
      </c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2"/>
      <c r="DI26" s="122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2"/>
      <c r="DU26" s="122"/>
      <c r="DV26" s="122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  <c r="ET26" s="122"/>
      <c r="EU26" s="122"/>
      <c r="EV26" s="122"/>
      <c r="EW26" s="122"/>
      <c r="EX26" s="122"/>
      <c r="EY26" s="122"/>
      <c r="EZ26" s="122"/>
      <c r="FA26" s="122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</row>
    <row r="27" spans="1:204" x14ac:dyDescent="0.3">
      <c r="A27" s="124"/>
      <c r="B27" s="27" t="str">
        <f>LEFT(J27,40)&amp;" @ $"&amp;FIXED(VLOOKUP(J27,Inputs!$B$4:$G$23,6),2)&amp;" per AUM"</f>
        <v>Pasture @ $20.00 per AUM</v>
      </c>
      <c r="C27" s="140"/>
      <c r="D27" s="138">
        <f>C27*VLOOKUP($J27,Inputs!$B$4:$G$23,6)</f>
        <v>0</v>
      </c>
      <c r="E27" s="141">
        <f>2*((E19+F19)/2/1000)</f>
        <v>1.125</v>
      </c>
      <c r="F27" s="138">
        <f>E27*VLOOKUP($J27,Inputs!$B$4:$G$23,6)</f>
        <v>22.5</v>
      </c>
      <c r="G27" s="141">
        <f>3*((G19+H19)/2/1000)</f>
        <v>1.6875</v>
      </c>
      <c r="H27" s="138">
        <f>G27*VLOOKUP($J27,Inputs!$B$4:$G$23,6)</f>
        <v>33.75</v>
      </c>
      <c r="I27" s="122"/>
      <c r="J27" s="130" t="s">
        <v>128</v>
      </c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2"/>
      <c r="DO27" s="122"/>
      <c r="DP27" s="122"/>
      <c r="DQ27" s="122"/>
      <c r="DR27" s="122"/>
      <c r="DS27" s="122"/>
      <c r="DT27" s="122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  <c r="EZ27" s="122"/>
      <c r="FA27" s="122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</row>
    <row r="28" spans="1:204" x14ac:dyDescent="0.3">
      <c r="A28" s="122"/>
      <c r="B28" s="142" t="s">
        <v>262</v>
      </c>
      <c r="C28" s="133"/>
      <c r="D28" s="139">
        <f>SUM(D22:D27)</f>
        <v>185.94171428571428</v>
      </c>
      <c r="E28" s="133"/>
      <c r="F28" s="139">
        <f>SUM(F22:F27)</f>
        <v>90.306000000000012</v>
      </c>
      <c r="G28" s="133"/>
      <c r="H28" s="139">
        <f>SUM(H22:H27)</f>
        <v>116.98457142857144</v>
      </c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  <c r="DB28" s="122"/>
      <c r="DC28" s="122"/>
      <c r="DD28" s="122"/>
      <c r="DE28" s="122"/>
      <c r="DF28" s="122"/>
      <c r="DG28" s="122"/>
      <c r="DH28" s="122"/>
      <c r="DI28" s="122"/>
      <c r="DJ28" s="122"/>
      <c r="DK28" s="122"/>
      <c r="DL28" s="122"/>
      <c r="DM28" s="122"/>
      <c r="DN28" s="122"/>
      <c r="DO28" s="122"/>
      <c r="DP28" s="122"/>
      <c r="DQ28" s="122"/>
      <c r="DR28" s="122"/>
      <c r="DS28" s="122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</row>
    <row r="29" spans="1:204" x14ac:dyDescent="0.3">
      <c r="A29" s="122"/>
      <c r="B29" s="142" t="s">
        <v>264</v>
      </c>
      <c r="C29" s="133"/>
      <c r="D29" s="139">
        <f>(D28+F28*2+H28)/2</f>
        <v>241.76914285714287</v>
      </c>
      <c r="E29" s="133"/>
      <c r="F29" s="133"/>
      <c r="G29" s="133"/>
      <c r="H29" s="133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</row>
    <row r="30" spans="1:204" ht="18" thickBot="1" x14ac:dyDescent="0.35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122"/>
      <c r="DB30" s="122"/>
      <c r="DC30" s="122"/>
      <c r="DD30" s="122"/>
      <c r="DE30" s="122"/>
      <c r="DF30" s="122"/>
      <c r="DG30" s="122"/>
      <c r="DH30" s="122"/>
      <c r="DI30" s="122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/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2"/>
      <c r="EZ30" s="122"/>
      <c r="FA30" s="122"/>
      <c r="FB30" s="122"/>
      <c r="FC30" s="122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</row>
    <row r="31" spans="1:204" ht="21" thickBot="1" x14ac:dyDescent="0.4">
      <c r="A31" s="122"/>
      <c r="B31" s="114" t="s">
        <v>265</v>
      </c>
      <c r="C31" s="145"/>
      <c r="D31" s="145"/>
      <c r="E31" s="145"/>
      <c r="F31" s="145"/>
      <c r="G31" s="145"/>
      <c r="H31" s="146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122"/>
      <c r="DQ31" s="122"/>
      <c r="DR31" s="122"/>
      <c r="DS31" s="122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  <c r="ET31" s="122"/>
      <c r="EU31" s="122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122"/>
      <c r="FG31" s="122"/>
      <c r="FH31" s="122"/>
      <c r="FI31" s="122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122"/>
      <c r="FU31" s="122"/>
      <c r="FV31" s="122"/>
      <c r="FW31" s="122"/>
      <c r="FX31" s="122"/>
      <c r="FY31" s="122"/>
      <c r="FZ31" s="122"/>
      <c r="GA31" s="122"/>
      <c r="GB31" s="122"/>
      <c r="GC31" s="122"/>
      <c r="GD31" s="122"/>
      <c r="GE31" s="122"/>
      <c r="GF31" s="122"/>
      <c r="GG31" s="122"/>
      <c r="GH31" s="122"/>
      <c r="GI31" s="122"/>
      <c r="GJ31" s="122"/>
      <c r="GK31" s="122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122"/>
    </row>
    <row r="32" spans="1:204" x14ac:dyDescent="0.3">
      <c r="A32" s="122"/>
      <c r="C32" s="135" t="s">
        <v>129</v>
      </c>
      <c r="D32" s="135"/>
      <c r="E32" s="135" t="s">
        <v>130</v>
      </c>
      <c r="F32" s="135"/>
      <c r="G32" s="135" t="s">
        <v>131</v>
      </c>
      <c r="H32" s="135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2"/>
      <c r="DS32" s="122"/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2"/>
      <c r="EW32" s="122"/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2"/>
      <c r="GF32" s="122"/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</row>
    <row r="33" spans="1:204" x14ac:dyDescent="0.3">
      <c r="A33" s="122"/>
      <c r="C33" s="135" t="s">
        <v>120</v>
      </c>
      <c r="D33" s="135"/>
      <c r="E33" s="135" t="s">
        <v>122</v>
      </c>
      <c r="F33" s="135"/>
      <c r="G33" s="135" t="s">
        <v>124</v>
      </c>
      <c r="H33" s="135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</row>
    <row r="34" spans="1:204" x14ac:dyDescent="0.3">
      <c r="A34" s="122"/>
      <c r="B34" s="27" t="s">
        <v>103</v>
      </c>
      <c r="C34" s="140">
        <v>725</v>
      </c>
      <c r="D34" s="140">
        <v>1380</v>
      </c>
      <c r="E34" s="136">
        <f>+C34</f>
        <v>725</v>
      </c>
      <c r="F34" s="136">
        <f>+D34</f>
        <v>1380</v>
      </c>
      <c r="G34" s="136">
        <f>+E34</f>
        <v>725</v>
      </c>
      <c r="H34" s="136">
        <f>+F34</f>
        <v>1380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</row>
    <row r="35" spans="1:204" x14ac:dyDescent="0.3">
      <c r="A35" s="122"/>
      <c r="B35" s="133"/>
      <c r="C35" s="134"/>
      <c r="D35" s="134"/>
      <c r="E35" s="134"/>
      <c r="F35" s="134"/>
      <c r="G35" s="134"/>
      <c r="H35" s="134"/>
      <c r="I35" s="122"/>
      <c r="J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</row>
    <row r="36" spans="1:204" x14ac:dyDescent="0.3">
      <c r="A36" s="124"/>
      <c r="B36" s="143" t="s">
        <v>127</v>
      </c>
      <c r="C36" s="144" t="s">
        <v>22</v>
      </c>
      <c r="D36" s="144" t="s">
        <v>23</v>
      </c>
      <c r="E36" s="144" t="s">
        <v>22</v>
      </c>
      <c r="F36" s="144" t="s">
        <v>23</v>
      </c>
      <c r="G36" s="144" t="s">
        <v>22</v>
      </c>
      <c r="H36" s="144" t="s">
        <v>23</v>
      </c>
      <c r="I36" s="131" t="s">
        <v>127</v>
      </c>
      <c r="J36" s="27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22"/>
      <c r="GE36" s="122"/>
      <c r="GF36" s="122"/>
      <c r="GG36" s="122"/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</row>
    <row r="37" spans="1:204" x14ac:dyDescent="0.3">
      <c r="A37" s="124"/>
      <c r="B37" s="27" t="str">
        <f>LEFT(J37,40)&amp;" @ $"&amp;FIXED(VLOOKUP(J37,Inputs!$B$4:$G$23,6),2)&amp;" per cwt."</f>
        <v>Corn gluten feed @ $9.25 per cwt.</v>
      </c>
      <c r="C37" s="140">
        <v>225</v>
      </c>
      <c r="D37" s="137">
        <f>C37/100*VLOOKUP($J37,Inputs!$B$4:$G$23,6)</f>
        <v>20.8125</v>
      </c>
      <c r="E37" s="140"/>
      <c r="F37" s="137">
        <f>E37/100*VLOOKUP($J37,Inputs!$B$4:$G$23,6)</f>
        <v>0</v>
      </c>
      <c r="G37" s="140">
        <v>207</v>
      </c>
      <c r="H37" s="137">
        <f>G37/100*VLOOKUP($J37,Inputs!$B$4:$G$23,6)</f>
        <v>19.147499999999997</v>
      </c>
      <c r="I37" s="122"/>
      <c r="J37" s="130" t="s">
        <v>112</v>
      </c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</row>
    <row r="38" spans="1:204" x14ac:dyDescent="0.3">
      <c r="A38" s="124"/>
      <c r="B38" s="27" t="str">
        <f>LEFT(J38,40)&amp;" @ $"&amp;FIXED(VLOOKUP(J38,Inputs!$B$4:$G$23,6),2)&amp;" per cwt."</f>
        <v>Corn, cracked @ $8.04 per cwt.</v>
      </c>
      <c r="C38" s="140">
        <v>135</v>
      </c>
      <c r="D38" s="138">
        <f>C38/100*VLOOKUP($J38,Inputs!$B$4:$G$23,6)</f>
        <v>10.848214285714288</v>
      </c>
      <c r="E38" s="140">
        <v>90</v>
      </c>
      <c r="F38" s="138">
        <f>E38/100*VLOOKUP($J38,Inputs!$B$4:$G$23,6)</f>
        <v>7.2321428571428577</v>
      </c>
      <c r="G38" s="140">
        <v>117</v>
      </c>
      <c r="H38" s="138">
        <f>G38/100*VLOOKUP($J38,Inputs!$B$4:$G$23,6)</f>
        <v>9.4017857142857153</v>
      </c>
      <c r="I38" s="122"/>
      <c r="J38" s="130" t="s">
        <v>118</v>
      </c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</row>
    <row r="39" spans="1:204" x14ac:dyDescent="0.3">
      <c r="A39" s="124"/>
      <c r="B39" s="27" t="str">
        <f>LEFT(J39,40)&amp;" @ $"&amp;FIXED(VLOOKUP(J39,Inputs!$B$4:$G$23,2),2)&amp;" per ton"</f>
        <v>Soybean hulls @ $180.00 per ton</v>
      </c>
      <c r="C39" s="140">
        <v>90</v>
      </c>
      <c r="D39" s="138">
        <f>C39/100*VLOOKUP($J39,Inputs!$B$4:$G$23,6)</f>
        <v>8.1</v>
      </c>
      <c r="E39" s="140">
        <v>180</v>
      </c>
      <c r="F39" s="138">
        <f>E39/100*VLOOKUP($J39,Inputs!$B$4:$G$23,6)</f>
        <v>16.2</v>
      </c>
      <c r="G39" s="140">
        <v>207</v>
      </c>
      <c r="H39" s="138">
        <f>G39/100*VLOOKUP($J39,Inputs!$B$4:$G$23,6)</f>
        <v>18.63</v>
      </c>
      <c r="I39" s="122"/>
      <c r="J39" s="130" t="s">
        <v>115</v>
      </c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22"/>
      <c r="FI39" s="122"/>
      <c r="FJ39" s="122"/>
      <c r="FK39" s="122"/>
      <c r="FL39" s="122"/>
      <c r="FM39" s="122"/>
      <c r="FN39" s="122"/>
      <c r="FO39" s="122"/>
      <c r="FP39" s="122"/>
      <c r="FQ39" s="122"/>
      <c r="FR39" s="122"/>
      <c r="FS39" s="122"/>
      <c r="FT39" s="122"/>
      <c r="FU39" s="122"/>
      <c r="FV39" s="122"/>
      <c r="FW39" s="122"/>
      <c r="FX39" s="122"/>
      <c r="FY39" s="122"/>
      <c r="FZ39" s="122"/>
      <c r="GA39" s="122"/>
      <c r="GB39" s="122"/>
      <c r="GC39" s="122"/>
      <c r="GD39" s="122"/>
      <c r="GE39" s="122"/>
      <c r="GF39" s="122"/>
      <c r="GG39" s="122"/>
      <c r="GH39" s="122"/>
      <c r="GI39" s="122"/>
      <c r="GJ39" s="122"/>
      <c r="GK39" s="122"/>
      <c r="GL39" s="122"/>
      <c r="GM39" s="122"/>
      <c r="GN39" s="122"/>
      <c r="GO39" s="122"/>
      <c r="GP39" s="122"/>
      <c r="GQ39" s="122"/>
      <c r="GR39" s="122"/>
      <c r="GS39" s="122"/>
      <c r="GT39" s="122"/>
      <c r="GU39" s="122"/>
      <c r="GV39" s="122"/>
    </row>
    <row r="40" spans="1:204" x14ac:dyDescent="0.3">
      <c r="A40" s="124"/>
      <c r="B40" s="27" t="str">
        <f>LEFT(J40,40)&amp;" @ $"&amp;FIXED(VLOOKUP(J40,Inputs!$B$4:$G$23,2),2)&amp;" per ton"</f>
        <v>Grass hay @ $100.00 per ton</v>
      </c>
      <c r="C40" s="140">
        <v>1710</v>
      </c>
      <c r="D40" s="138">
        <f>C40/100*VLOOKUP($J40,Inputs!$B$4:$G$23,6)</f>
        <v>85.5</v>
      </c>
      <c r="E40" s="140"/>
      <c r="F40" s="138">
        <f>E40/100*VLOOKUP($J40,Inputs!$B$4:$G$23,6)</f>
        <v>0</v>
      </c>
      <c r="G40" s="140"/>
      <c r="H40" s="138">
        <f>G40/100*VLOOKUP($J40,Inputs!$B$4:$G$23,6)</f>
        <v>0</v>
      </c>
      <c r="I40" s="122"/>
      <c r="J40" s="130" t="s">
        <v>111</v>
      </c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</row>
    <row r="41" spans="1:204" x14ac:dyDescent="0.3">
      <c r="A41" s="124"/>
      <c r="B41" s="27" t="str">
        <f>LEFT(J41,40)&amp;" @ $"&amp;FIXED(VLOOKUP(J41,Inputs!$B$4:$G$23,6),2)&amp;" per cwt."</f>
        <v>Minerals (w/lasalocid) @ $42.10 per cwt.</v>
      </c>
      <c r="C41" s="140">
        <v>18</v>
      </c>
      <c r="D41" s="138">
        <f>C41/100*VLOOKUP($J41,Inputs!$B$4:$G$23,6)</f>
        <v>7.5780000000000003</v>
      </c>
      <c r="E41" s="140">
        <v>18</v>
      </c>
      <c r="F41" s="138">
        <f>E41/100*VLOOKUP($J41,Inputs!$B$4:$G$23,6)</f>
        <v>7.5780000000000003</v>
      </c>
      <c r="G41" s="140">
        <v>18</v>
      </c>
      <c r="H41" s="138">
        <f>G41/100*VLOOKUP($J41,Inputs!$B$4:$G$23,6)</f>
        <v>7.5780000000000003</v>
      </c>
      <c r="I41" s="122"/>
      <c r="J41" s="130" t="s">
        <v>132</v>
      </c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</row>
    <row r="42" spans="1:204" x14ac:dyDescent="0.3">
      <c r="A42" s="124"/>
      <c r="B42" s="27" t="str">
        <f>LEFT(J42,40)&amp;" @ $"&amp;FIXED(VLOOKUP(J42,Inputs!$B$4:$G$23,6),2)&amp;" per AUM"</f>
        <v>Pasture @ $20.00 per AUM</v>
      </c>
      <c r="C42" s="140"/>
      <c r="D42" s="138">
        <f>C42*VLOOKUP($J42,Inputs!$B$4:$G$23,6)</f>
        <v>0</v>
      </c>
      <c r="E42" s="141">
        <f>2*((E34+F34)/2/1000)</f>
        <v>2.105</v>
      </c>
      <c r="F42" s="138">
        <f>E42*VLOOKUP($J42,Inputs!$B$4:$G$23,6)</f>
        <v>42.1</v>
      </c>
      <c r="G42" s="141">
        <f>3*((G34+H34)/2/1000)</f>
        <v>3.1574999999999998</v>
      </c>
      <c r="H42" s="138">
        <f>G42*VLOOKUP($J42,Inputs!$B$4:$G$23,6)</f>
        <v>63.149999999999991</v>
      </c>
      <c r="I42" s="122"/>
      <c r="J42" s="130" t="s">
        <v>128</v>
      </c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</row>
    <row r="43" spans="1:204" x14ac:dyDescent="0.3">
      <c r="A43" s="122"/>
      <c r="B43" s="142" t="s">
        <v>262</v>
      </c>
      <c r="C43" s="133"/>
      <c r="D43" s="139">
        <f>SUM(D37:D42)</f>
        <v>132.83871428571427</v>
      </c>
      <c r="E43" s="133"/>
      <c r="F43" s="139">
        <f>SUM(F37:F42)</f>
        <v>73.110142857142861</v>
      </c>
      <c r="G43" s="133"/>
      <c r="H43" s="139">
        <f>SUM(H37:H42)</f>
        <v>117.90728571428571</v>
      </c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  <c r="FS43" s="122"/>
      <c r="FT43" s="122"/>
      <c r="FU43" s="122"/>
      <c r="FV43" s="122"/>
      <c r="FW43" s="122"/>
      <c r="FX43" s="122"/>
      <c r="FY43" s="122"/>
      <c r="FZ43" s="122"/>
      <c r="GA43" s="122"/>
      <c r="GB43" s="122"/>
      <c r="GC43" s="122"/>
      <c r="GD43" s="122"/>
      <c r="GE43" s="122"/>
      <c r="GF43" s="122"/>
      <c r="GG43" s="122"/>
      <c r="GH43" s="122"/>
      <c r="GI43" s="122"/>
      <c r="GJ43" s="122"/>
      <c r="GK43" s="122"/>
      <c r="GL43" s="122"/>
      <c r="GM43" s="122"/>
      <c r="GN43" s="122"/>
      <c r="GO43" s="122"/>
      <c r="GP43" s="122"/>
      <c r="GQ43" s="122"/>
      <c r="GR43" s="122"/>
      <c r="GS43" s="122"/>
      <c r="GT43" s="122"/>
      <c r="GU43" s="122"/>
      <c r="GV43" s="122"/>
    </row>
    <row r="44" spans="1:204" x14ac:dyDescent="0.3">
      <c r="A44" s="122"/>
      <c r="B44" s="142" t="s">
        <v>264</v>
      </c>
      <c r="C44" s="133"/>
      <c r="D44" s="139">
        <f>(D43+F43*2+H43)</f>
        <v>396.96628571428568</v>
      </c>
      <c r="E44" s="133"/>
      <c r="F44" s="133"/>
      <c r="G44" s="133"/>
      <c r="H44" s="133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2"/>
      <c r="FG44" s="122"/>
      <c r="FH44" s="122"/>
      <c r="FI44" s="122"/>
      <c r="FJ44" s="122"/>
      <c r="FK44" s="122"/>
      <c r="FL44" s="122"/>
      <c r="FM44" s="122"/>
      <c r="FN44" s="122"/>
      <c r="FO44" s="122"/>
      <c r="FP44" s="122"/>
      <c r="FQ44" s="122"/>
      <c r="FR44" s="122"/>
      <c r="FS44" s="122"/>
      <c r="FT44" s="122"/>
      <c r="FU44" s="122"/>
      <c r="FV44" s="122"/>
      <c r="FW44" s="122"/>
      <c r="FX44" s="122"/>
      <c r="FY44" s="122"/>
      <c r="FZ44" s="122"/>
      <c r="GA44" s="122"/>
      <c r="GB44" s="122"/>
      <c r="GC44" s="122"/>
      <c r="GD44" s="122"/>
      <c r="GE44" s="122"/>
      <c r="GF44" s="122"/>
      <c r="GG44" s="122"/>
      <c r="GH44" s="122"/>
      <c r="GI44" s="122"/>
      <c r="GJ44" s="122"/>
      <c r="GK44" s="122"/>
      <c r="GL44" s="122"/>
      <c r="GM44" s="122"/>
      <c r="GN44" s="122"/>
      <c r="GO44" s="122"/>
      <c r="GP44" s="122"/>
      <c r="GQ44" s="122"/>
      <c r="GR44" s="122"/>
      <c r="GS44" s="122"/>
      <c r="GT44" s="122"/>
      <c r="GU44" s="122"/>
      <c r="GV44" s="122"/>
    </row>
    <row r="45" spans="1:204" ht="18" thickBot="1" x14ac:dyDescent="0.35">
      <c r="J45" s="27"/>
    </row>
    <row r="46" spans="1:204" ht="21" thickBot="1" x14ac:dyDescent="0.4">
      <c r="B46" s="114" t="s">
        <v>266</v>
      </c>
      <c r="C46" s="147"/>
      <c r="D46" s="147"/>
      <c r="E46" s="147"/>
      <c r="F46" s="147"/>
      <c r="G46" s="147"/>
      <c r="H46" s="147"/>
      <c r="J46" s="27"/>
    </row>
    <row r="47" spans="1:204" x14ac:dyDescent="0.3">
      <c r="B47" s="126" t="s">
        <v>142</v>
      </c>
      <c r="C47" s="127">
        <f>D14+(D7+D8)/2*DairyHeifer!G52</f>
        <v>390.29166666666663</v>
      </c>
      <c r="D47" s="126"/>
      <c r="E47" s="126"/>
    </row>
    <row r="48" spans="1:204" x14ac:dyDescent="0.3">
      <c r="B48" s="27" t="s">
        <v>133</v>
      </c>
      <c r="C48" s="29">
        <f>D29</f>
        <v>241.76914285714287</v>
      </c>
    </row>
    <row r="49" spans="2:3" x14ac:dyDescent="0.3">
      <c r="B49" s="27" t="s">
        <v>143</v>
      </c>
      <c r="C49" s="29">
        <f>D44*(1-DairyHeifer!G45)</f>
        <v>387.04212857142852</v>
      </c>
    </row>
    <row r="50" spans="2:3" ht="18" thickBot="1" x14ac:dyDescent="0.35">
      <c r="B50" s="128" t="s">
        <v>144</v>
      </c>
      <c r="C50" s="129">
        <f>C47+C48+C49</f>
        <v>1019.102938095238</v>
      </c>
    </row>
    <row r="51" spans="2:3" x14ac:dyDescent="0.3">
      <c r="B51" s="37" t="s">
        <v>200</v>
      </c>
    </row>
    <row r="52" spans="2:3" x14ac:dyDescent="0.3">
      <c r="B52" s="37" t="s">
        <v>201</v>
      </c>
    </row>
    <row r="60" spans="2:3" hidden="1" x14ac:dyDescent="0.3">
      <c r="B60" s="32"/>
    </row>
    <row r="61" spans="2:3" hidden="1" x14ac:dyDescent="0.3">
      <c r="B61" s="32"/>
    </row>
  </sheetData>
  <sheetProtection sheet="1" objects="1" scenarios="1"/>
  <phoneticPr fontId="0" type="noConversion"/>
  <pageMargins left="0.5" right="0.3" top="0.7" bottom="0.5" header="0" footer="0"/>
  <pageSetup scale="67" fitToHeight="2" orientation="landscape" r:id="rId1"/>
  <headerFooter alignWithMargins="0"/>
  <ignoredErrors>
    <ignoredError sqref="E19:H19 E34:H34" unlockedFormula="1"/>
    <ignoredError sqref="F10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05"/>
  <sheetViews>
    <sheetView topLeftCell="A43" zoomScaleNormal="100" zoomScaleSheetLayoutView="100" workbookViewId="0">
      <selection activeCell="H11" sqref="H11"/>
    </sheetView>
  </sheetViews>
  <sheetFormatPr defaultColWidth="0" defaultRowHeight="15" zeroHeight="1" x14ac:dyDescent="0.2"/>
  <cols>
    <col min="1" max="1" width="2.77734375" style="3" customWidth="1"/>
    <col min="2" max="2" width="2.6640625" style="1" customWidth="1"/>
    <col min="3" max="3" width="16.88671875" style="1" customWidth="1"/>
    <col min="4" max="4" width="9.77734375" style="1" customWidth="1"/>
    <col min="5" max="5" width="16.21875" style="1" customWidth="1"/>
    <col min="6" max="6" width="13.33203125" style="1" customWidth="1"/>
    <col min="7" max="7" width="12.77734375" style="4" customWidth="1"/>
    <col min="8" max="9" width="10.77734375" style="1" customWidth="1"/>
    <col min="10" max="10" width="10.77734375" style="3" hidden="1" customWidth="1"/>
    <col min="11" max="14" width="8.88671875" style="3" hidden="1" customWidth="1"/>
    <col min="15" max="15" width="30.88671875" style="3" hidden="1" customWidth="1"/>
    <col min="16" max="16" width="11.77734375" style="3" hidden="1" customWidth="1"/>
    <col min="17" max="19" width="8.88671875" style="3" hidden="1" customWidth="1"/>
    <col min="20" max="21" width="0" style="3" hidden="1" customWidth="1"/>
    <col min="22" max="16384" width="8.88671875" style="3" hidden="1"/>
  </cols>
  <sheetData>
    <row r="1" spans="2:18" ht="20.25" x14ac:dyDescent="0.35">
      <c r="B1" s="428" t="s">
        <v>267</v>
      </c>
      <c r="C1" s="429"/>
      <c r="D1" s="429"/>
      <c r="E1" s="429"/>
      <c r="F1" s="429"/>
      <c r="G1" s="429"/>
      <c r="H1" s="430"/>
    </row>
    <row r="2" spans="2:18" ht="15.95" customHeight="1" x14ac:dyDescent="0.2">
      <c r="B2" s="431"/>
      <c r="C2" s="432"/>
      <c r="D2" s="432"/>
      <c r="E2" s="432"/>
      <c r="F2" s="432"/>
      <c r="G2" s="432"/>
      <c r="H2" s="433"/>
    </row>
    <row r="3" spans="2:18" ht="15.95" customHeight="1" x14ac:dyDescent="0.3">
      <c r="B3" s="169"/>
      <c r="C3" s="49"/>
      <c r="D3" s="49"/>
      <c r="E3" s="49"/>
      <c r="F3" s="49"/>
      <c r="G3" s="80" t="s">
        <v>222</v>
      </c>
      <c r="H3" s="170" t="s">
        <v>268</v>
      </c>
      <c r="O3" s="6"/>
      <c r="P3" s="6"/>
    </row>
    <row r="4" spans="2:18" ht="15.95" customHeight="1" x14ac:dyDescent="0.3">
      <c r="B4" s="171" t="s">
        <v>223</v>
      </c>
      <c r="C4" s="41"/>
      <c r="D4" s="41"/>
      <c r="E4" s="41"/>
      <c r="F4" s="41"/>
      <c r="G4" s="41"/>
      <c r="H4" s="172"/>
      <c r="O4" s="5"/>
      <c r="P4" s="5"/>
      <c r="Q4" s="5"/>
    </row>
    <row r="5" spans="2:18" ht="15.95" customHeight="1" x14ac:dyDescent="0.3">
      <c r="B5" s="158"/>
      <c r="C5" s="173" t="str">
        <f>"Springer heifer sales ("&amp;G51&amp;" head x $"&amp;G50&amp;"/head)"</f>
        <v>Springer heifer sales (0.95 head x $2250/head)</v>
      </c>
      <c r="D5" s="41"/>
      <c r="E5" s="41"/>
      <c r="F5" s="41"/>
      <c r="G5" s="198">
        <f>G50*G51</f>
        <v>2137.5</v>
      </c>
      <c r="H5" s="172" t="s">
        <v>186</v>
      </c>
      <c r="J5" s="1"/>
      <c r="O5" s="6"/>
      <c r="P5" s="6"/>
      <c r="Q5" s="8"/>
      <c r="R5" s="6"/>
    </row>
    <row r="6" spans="2:18" ht="15.95" customHeight="1" x14ac:dyDescent="0.3">
      <c r="B6" s="158"/>
      <c r="C6" s="173" t="str">
        <f>"Cull heifer sales ("&amp;G48&amp;" head x "&amp;G47&amp;" lbs. x $"&amp;G49&amp;"/cwt)"</f>
        <v>Cull heifer sales (0.025 head x 1300 lbs. x $160/cwt)</v>
      </c>
      <c r="D6" s="41"/>
      <c r="E6" s="41"/>
      <c r="F6" s="41"/>
      <c r="G6" s="199">
        <f>G48*G49/100*G47</f>
        <v>52</v>
      </c>
      <c r="H6" s="172" t="s">
        <v>186</v>
      </c>
      <c r="P6" s="9"/>
      <c r="Q6" s="10"/>
      <c r="R6" s="6"/>
    </row>
    <row r="7" spans="2:18" ht="15.95" customHeight="1" x14ac:dyDescent="0.3">
      <c r="B7" s="158"/>
      <c r="C7" s="173" t="str">
        <f>"Yearling heifer sales ("&amp;G45&amp;" head x "&amp;G44&amp;" lbs. x $"&amp;G46&amp;"/cwt)"</f>
        <v>Yearling heifer sales (0.025 head x 725 lbs. x $160/cwt)</v>
      </c>
      <c r="D7" s="41"/>
      <c r="E7" s="41"/>
      <c r="F7" s="41"/>
      <c r="G7" s="199">
        <f>G45*G46/100*G44</f>
        <v>29</v>
      </c>
      <c r="H7" s="172" t="s">
        <v>186</v>
      </c>
      <c r="P7" s="9"/>
      <c r="Q7" s="10"/>
      <c r="R7" s="6"/>
    </row>
    <row r="8" spans="2:18" ht="15.95" customHeight="1" x14ac:dyDescent="0.3">
      <c r="B8" s="158"/>
      <c r="C8" s="41" t="str">
        <f>"Less death loss ("&amp;G52*100&amp;"% of purchased calves)"</f>
        <v>Less death loss (4% of purchased calves)</v>
      </c>
      <c r="D8" s="41"/>
      <c r="E8" s="41"/>
      <c r="F8" s="41"/>
      <c r="G8" s="168">
        <f>-G12*G52</f>
        <v>-14</v>
      </c>
      <c r="H8" s="172" t="s">
        <v>186</v>
      </c>
      <c r="O8" s="11"/>
    </row>
    <row r="9" spans="2:18" ht="15.95" customHeight="1" x14ac:dyDescent="0.3">
      <c r="B9" s="171"/>
      <c r="C9" s="43"/>
      <c r="D9" s="41"/>
      <c r="F9" s="208" t="s">
        <v>225</v>
      </c>
      <c r="G9" s="200">
        <f>SUM(G5:G8)</f>
        <v>2204.5</v>
      </c>
      <c r="H9" s="172" t="s">
        <v>186</v>
      </c>
      <c r="J9" s="12"/>
      <c r="K9" s="1"/>
    </row>
    <row r="10" spans="2:18" ht="15.95" customHeight="1" x14ac:dyDescent="0.3">
      <c r="B10" s="158"/>
      <c r="C10" s="41"/>
      <c r="D10" s="41"/>
      <c r="E10" s="41"/>
      <c r="F10" s="41"/>
      <c r="G10" s="41"/>
      <c r="H10" s="172"/>
    </row>
    <row r="11" spans="2:18" ht="15.95" customHeight="1" x14ac:dyDescent="0.3">
      <c r="B11" s="171" t="s">
        <v>224</v>
      </c>
      <c r="C11" s="41"/>
      <c r="D11" s="41"/>
      <c r="E11" s="41"/>
      <c r="F11" s="41"/>
      <c r="G11" s="41"/>
      <c r="H11" s="172"/>
    </row>
    <row r="12" spans="2:18" ht="15.95" customHeight="1" x14ac:dyDescent="0.3">
      <c r="B12" s="158"/>
      <c r="C12" s="41" t="str">
        <f>"Purchased heifer calf ($"&amp;G43&amp;"/head)"</f>
        <v>Purchased heifer calf ($350/head)</v>
      </c>
      <c r="D12" s="41"/>
      <c r="E12" s="41"/>
      <c r="F12" s="41"/>
      <c r="G12" s="198">
        <f>G43</f>
        <v>350</v>
      </c>
      <c r="H12" s="172" t="s">
        <v>186</v>
      </c>
    </row>
    <row r="13" spans="2:18" ht="15.95" customHeight="1" x14ac:dyDescent="0.3">
      <c r="B13" s="158"/>
      <c r="C13" s="41" t="s">
        <v>187</v>
      </c>
      <c r="D13" s="41"/>
      <c r="E13" s="41"/>
      <c r="F13" s="41"/>
      <c r="G13" s="199">
        <f>(G43*(1+G52)*Inputs!C36)*G62/12*1</f>
        <v>56.419999999999995</v>
      </c>
      <c r="H13" s="172" t="s">
        <v>186</v>
      </c>
    </row>
    <row r="14" spans="2:18" ht="15.95" customHeight="1" x14ac:dyDescent="0.3">
      <c r="B14" s="158"/>
      <c r="C14" s="173" t="s">
        <v>188</v>
      </c>
      <c r="D14" s="41"/>
      <c r="E14" s="41"/>
      <c r="F14" s="41"/>
      <c r="G14" s="199">
        <f>'Heifer Feed'!C50</f>
        <v>1019.102938095238</v>
      </c>
      <c r="H14" s="172" t="s">
        <v>186</v>
      </c>
    </row>
    <row r="15" spans="2:18" ht="15.95" customHeight="1" x14ac:dyDescent="0.3">
      <c r="B15" s="158"/>
      <c r="C15" s="173" t="str">
        <f>"Labor ("&amp;E55&amp;" hours @ $"&amp;G55&amp;"/hour)"</f>
        <v>Labor (10 hours @ $19.5/hour)</v>
      </c>
      <c r="D15" s="41"/>
      <c r="E15" s="41"/>
      <c r="F15" s="41"/>
      <c r="G15" s="199">
        <f>G55*E55</f>
        <v>195</v>
      </c>
      <c r="H15" s="172" t="s">
        <v>186</v>
      </c>
    </row>
    <row r="16" spans="2:18" ht="15.95" customHeight="1" x14ac:dyDescent="0.3">
      <c r="B16" s="158"/>
      <c r="C16" s="173" t="s">
        <v>1</v>
      </c>
      <c r="D16" s="41"/>
      <c r="E16" s="41"/>
      <c r="F16" s="41"/>
      <c r="G16" s="199">
        <f>G57</f>
        <v>25</v>
      </c>
      <c r="H16" s="172" t="s">
        <v>186</v>
      </c>
    </row>
    <row r="17" spans="2:14" ht="15.95" customHeight="1" x14ac:dyDescent="0.3">
      <c r="B17" s="158"/>
      <c r="C17" s="173" t="s">
        <v>189</v>
      </c>
      <c r="D17" s="41"/>
      <c r="E17" s="41"/>
      <c r="F17" s="41"/>
      <c r="G17" s="199">
        <f>G56*E56</f>
        <v>50</v>
      </c>
      <c r="H17" s="172" t="s">
        <v>186</v>
      </c>
    </row>
    <row r="18" spans="2:14" ht="15.95" customHeight="1" x14ac:dyDescent="0.3">
      <c r="B18" s="158"/>
      <c r="C18" s="173" t="s">
        <v>190</v>
      </c>
      <c r="D18" s="41"/>
      <c r="E18" s="41"/>
      <c r="F18" s="41"/>
      <c r="G18" s="199">
        <f>G58</f>
        <v>20</v>
      </c>
      <c r="H18" s="172" t="s">
        <v>186</v>
      </c>
    </row>
    <row r="19" spans="2:14" ht="15.95" customHeight="1" x14ac:dyDescent="0.3">
      <c r="B19" s="158"/>
      <c r="C19" s="173" t="s">
        <v>191</v>
      </c>
      <c r="D19" s="41"/>
      <c r="E19" s="43"/>
      <c r="F19" s="41"/>
      <c r="G19" s="199">
        <f>G59</f>
        <v>20</v>
      </c>
      <c r="H19" s="172" t="s">
        <v>186</v>
      </c>
    </row>
    <row r="20" spans="2:14" ht="15.95" customHeight="1" x14ac:dyDescent="0.3">
      <c r="B20" s="158"/>
      <c r="C20" s="173" t="s">
        <v>28</v>
      </c>
      <c r="D20" s="41"/>
      <c r="E20" s="41"/>
      <c r="F20" s="41"/>
      <c r="G20" s="199">
        <f>G60*(G71+G78)</f>
        <v>10.5</v>
      </c>
      <c r="H20" s="172" t="s">
        <v>186</v>
      </c>
    </row>
    <row r="21" spans="2:14" ht="15.95" customHeight="1" x14ac:dyDescent="0.3">
      <c r="B21" s="158"/>
      <c r="C21" s="173" t="s">
        <v>6</v>
      </c>
      <c r="D21" s="41"/>
      <c r="E21" s="41"/>
      <c r="F21" s="41"/>
      <c r="G21" s="199">
        <f>G61</f>
        <v>18</v>
      </c>
      <c r="H21" s="172" t="s">
        <v>186</v>
      </c>
    </row>
    <row r="22" spans="2:14" ht="15.95" customHeight="1" x14ac:dyDescent="0.3">
      <c r="B22" s="158"/>
      <c r="C22" s="173" t="s">
        <v>192</v>
      </c>
      <c r="D22" s="41"/>
      <c r="E22" s="41"/>
      <c r="F22" s="41"/>
      <c r="G22" s="199"/>
      <c r="H22" s="172" t="s">
        <v>186</v>
      </c>
    </row>
    <row r="23" spans="2:14" ht="15.95" customHeight="1" x14ac:dyDescent="0.3">
      <c r="B23" s="158"/>
      <c r="C23" s="173" t="str">
        <f>"       (1/2 of operating costs x "&amp;Inputs!C36*100&amp;"% for 24 months)"</f>
        <v xml:space="preserve">       (1/2 of operating costs x 7.75% for 24 months)</v>
      </c>
      <c r="D23" s="41"/>
      <c r="E23" s="41"/>
      <c r="F23" s="41"/>
      <c r="G23" s="168">
        <f>(SUM(G14:G21))/2*Inputs!C36</f>
        <v>52.607113851190469</v>
      </c>
      <c r="H23" s="172" t="s">
        <v>186</v>
      </c>
    </row>
    <row r="24" spans="2:14" ht="15.95" customHeight="1" x14ac:dyDescent="0.3">
      <c r="B24" s="158"/>
      <c r="C24" s="173"/>
      <c r="D24" s="41"/>
      <c r="F24" s="208" t="s">
        <v>226</v>
      </c>
      <c r="G24" s="200">
        <f>SUM(G12:G23)</f>
        <v>1816.6300519464285</v>
      </c>
      <c r="H24" s="172" t="s">
        <v>186</v>
      </c>
    </row>
    <row r="25" spans="2:14" ht="15.95" customHeight="1" x14ac:dyDescent="0.3">
      <c r="B25" s="158"/>
      <c r="C25" s="173"/>
      <c r="D25" s="43"/>
      <c r="E25" s="41"/>
      <c r="F25" s="41"/>
      <c r="G25" s="200"/>
      <c r="H25" s="172"/>
      <c r="K25" s="13"/>
    </row>
    <row r="26" spans="2:14" ht="15.95" customHeight="1" x14ac:dyDescent="0.3">
      <c r="B26" s="171" t="s">
        <v>227</v>
      </c>
      <c r="C26" s="41"/>
      <c r="D26" s="41"/>
      <c r="E26" s="41"/>
      <c r="F26" s="41"/>
      <c r="G26" s="199"/>
      <c r="H26" s="172"/>
      <c r="J26" s="2"/>
      <c r="K26" s="13"/>
      <c r="N26" s="14"/>
    </row>
    <row r="27" spans="2:14" ht="15.95" customHeight="1" x14ac:dyDescent="0.3">
      <c r="B27" s="158"/>
      <c r="C27" s="173" t="s">
        <v>193</v>
      </c>
      <c r="D27" s="41"/>
      <c r="E27" s="41"/>
      <c r="F27" s="41"/>
      <c r="G27" s="198">
        <f>(G74+G80)*G62/12</f>
        <v>55.800000000000004</v>
      </c>
      <c r="H27" s="172" t="s">
        <v>186</v>
      </c>
      <c r="J27" s="1"/>
    </row>
    <row r="28" spans="2:14" ht="15.95" customHeight="1" x14ac:dyDescent="0.3">
      <c r="B28" s="158"/>
      <c r="C28" s="173" t="s">
        <v>194</v>
      </c>
      <c r="D28" s="41"/>
      <c r="E28" s="41"/>
      <c r="F28" s="41"/>
      <c r="G28" s="199">
        <f>(G75+G81)*G62/12</f>
        <v>44.756250000000001</v>
      </c>
      <c r="H28" s="172" t="s">
        <v>186</v>
      </c>
      <c r="J28" s="1"/>
    </row>
    <row r="29" spans="2:14" ht="15.95" customHeight="1" x14ac:dyDescent="0.3">
      <c r="B29" s="158"/>
      <c r="C29" s="173" t="s">
        <v>195</v>
      </c>
      <c r="D29" s="41"/>
      <c r="E29" s="41"/>
      <c r="F29" s="41"/>
      <c r="G29" s="168">
        <f>(G76+G82+G77+G83)*G62/12</f>
        <v>15.525</v>
      </c>
      <c r="H29" s="172" t="s">
        <v>186</v>
      </c>
      <c r="J29" s="12"/>
      <c r="K29" s="1"/>
      <c r="L29" s="14"/>
    </row>
    <row r="30" spans="2:14" ht="15.95" customHeight="1" x14ac:dyDescent="0.3">
      <c r="B30" s="158"/>
      <c r="C30" s="41"/>
      <c r="D30" s="41"/>
      <c r="F30" s="208" t="s">
        <v>228</v>
      </c>
      <c r="G30" s="200">
        <f>SUM(G27:G29)</f>
        <v>116.08125000000001</v>
      </c>
      <c r="H30" s="172" t="s">
        <v>186</v>
      </c>
    </row>
    <row r="31" spans="2:14" ht="15.95" customHeight="1" x14ac:dyDescent="0.3">
      <c r="B31" s="158"/>
      <c r="C31" s="41"/>
      <c r="D31" s="41"/>
      <c r="E31" s="43"/>
      <c r="F31" s="41"/>
      <c r="G31" s="200"/>
      <c r="H31" s="172"/>
    </row>
    <row r="32" spans="2:14" ht="15.95" customHeight="1" x14ac:dyDescent="0.3">
      <c r="B32" s="158"/>
      <c r="C32" s="41"/>
      <c r="D32" s="41"/>
      <c r="F32" s="208" t="s">
        <v>229</v>
      </c>
      <c r="G32" s="200">
        <f>G24+G30</f>
        <v>1932.7113019464284</v>
      </c>
      <c r="H32" s="172" t="s">
        <v>186</v>
      </c>
      <c r="K32" s="1"/>
    </row>
    <row r="33" spans="2:21" ht="15.95" customHeight="1" x14ac:dyDescent="0.3">
      <c r="B33" s="169"/>
      <c r="C33" s="49"/>
      <c r="D33" s="49"/>
      <c r="E33" s="49"/>
      <c r="F33" s="49"/>
      <c r="G33" s="168"/>
      <c r="H33" s="174"/>
      <c r="K33" s="1"/>
    </row>
    <row r="34" spans="2:21" ht="15.95" customHeight="1" x14ac:dyDescent="0.3">
      <c r="B34" s="203"/>
      <c r="C34" s="191" t="s">
        <v>269</v>
      </c>
      <c r="D34" s="41"/>
      <c r="E34" s="41"/>
      <c r="F34" s="41"/>
      <c r="G34" s="200">
        <f>G9-G24</f>
        <v>387.86994805357153</v>
      </c>
      <c r="H34" s="172"/>
    </row>
    <row r="35" spans="2:21" ht="15.95" customHeight="1" x14ac:dyDescent="0.3">
      <c r="B35" s="204"/>
      <c r="C35" s="190" t="s">
        <v>270</v>
      </c>
      <c r="D35" s="49"/>
      <c r="E35" s="49"/>
      <c r="F35" s="49"/>
      <c r="G35" s="201">
        <f>G9-G32</f>
        <v>271.78869805357158</v>
      </c>
      <c r="H35" s="174" t="s">
        <v>186</v>
      </c>
      <c r="O35" s="1"/>
      <c r="P35" s="1"/>
      <c r="Q35" s="1"/>
      <c r="R35" s="1"/>
      <c r="S35" s="1"/>
      <c r="T35" s="1"/>
      <c r="U35" s="1"/>
    </row>
    <row r="36" spans="2:21" ht="15.95" customHeight="1" x14ac:dyDescent="0.3">
      <c r="B36" s="158"/>
      <c r="C36" s="41"/>
      <c r="D36" s="41"/>
      <c r="E36" s="41"/>
      <c r="F36" s="41"/>
      <c r="G36" s="199"/>
      <c r="H36" s="172"/>
      <c r="O36" s="1"/>
      <c r="P36" s="1"/>
      <c r="Q36" s="1"/>
      <c r="R36" s="1"/>
      <c r="S36" s="1"/>
      <c r="T36" s="1"/>
      <c r="U36" s="1"/>
    </row>
    <row r="37" spans="2:21" s="1" customFormat="1" ht="15.95" customHeight="1" x14ac:dyDescent="0.3">
      <c r="B37" s="158"/>
      <c r="C37" s="173" t="s">
        <v>196</v>
      </c>
      <c r="D37" s="41"/>
      <c r="E37" s="41"/>
      <c r="F37" s="41"/>
      <c r="G37" s="202">
        <f>(G32-G12-G13)/(G62*30)</f>
        <v>2.1198490304811504</v>
      </c>
      <c r="H37" s="172" t="s">
        <v>186</v>
      </c>
    </row>
    <row r="38" spans="2:21" s="1" customFormat="1" ht="15.95" customHeight="1" x14ac:dyDescent="0.3">
      <c r="B38" s="158"/>
      <c r="C38" s="173" t="s">
        <v>197</v>
      </c>
      <c r="D38" s="41"/>
      <c r="E38" s="41"/>
      <c r="F38" s="41"/>
      <c r="G38" s="202">
        <f>(G32-G12-G13)/(G44*G45+G47*(G48+G51)-Inputs!G30*(1+DairyHeifer!G52))</f>
        <v>1.2804188686868381</v>
      </c>
      <c r="H38" s="172" t="s">
        <v>186</v>
      </c>
      <c r="L38" s="2"/>
    </row>
    <row r="39" spans="2:21" s="1" customFormat="1" ht="15.95" customHeight="1" thickBot="1" x14ac:dyDescent="0.35">
      <c r="B39" s="159"/>
      <c r="C39" s="205" t="s">
        <v>232</v>
      </c>
      <c r="D39" s="77"/>
      <c r="E39" s="77"/>
      <c r="F39" s="77"/>
      <c r="G39" s="206">
        <f>(G32-G6-G7-G8)/G51</f>
        <v>1963.9066336278195</v>
      </c>
      <c r="H39" s="207"/>
      <c r="J39" s="3"/>
      <c r="K39" s="3"/>
      <c r="L39" s="3"/>
      <c r="M39" s="3"/>
      <c r="N39" s="3"/>
    </row>
    <row r="40" spans="2:21" s="1" customFormat="1" ht="15.95" customHeight="1" x14ac:dyDescent="0.2">
      <c r="B40" s="15"/>
      <c r="C40" s="15"/>
      <c r="D40" s="15"/>
      <c r="E40" s="15"/>
      <c r="F40" s="15"/>
      <c r="G40" s="1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2:21" s="1" customFormat="1" ht="16.5" customHeight="1" x14ac:dyDescent="0.3">
      <c r="B41" s="176" t="s">
        <v>209</v>
      </c>
      <c r="C41" s="177"/>
      <c r="D41" s="177"/>
      <c r="E41" s="177"/>
      <c r="F41" s="177"/>
      <c r="G41" s="165"/>
      <c r="H41" s="189"/>
      <c r="I41" s="16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2:21" ht="16.5" x14ac:dyDescent="0.3">
      <c r="B42" s="176" t="s">
        <v>210</v>
      </c>
      <c r="C42" s="177"/>
      <c r="D42" s="177"/>
      <c r="E42" s="177"/>
      <c r="F42" s="195" t="s">
        <v>247</v>
      </c>
      <c r="G42" s="186" t="s">
        <v>75</v>
      </c>
      <c r="H42" s="166"/>
      <c r="I42" s="165"/>
      <c r="J42" s="1"/>
    </row>
    <row r="43" spans="2:21" ht="16.5" x14ac:dyDescent="0.3">
      <c r="B43" s="177"/>
      <c r="C43" s="177" t="s">
        <v>271</v>
      </c>
      <c r="D43" s="177"/>
      <c r="E43" s="177"/>
      <c r="F43" s="196" t="s">
        <v>253</v>
      </c>
      <c r="G43" s="209">
        <f>Inputs!C30</f>
        <v>350</v>
      </c>
      <c r="H43" s="166"/>
      <c r="I43" s="165"/>
      <c r="J43" s="1"/>
    </row>
    <row r="44" spans="2:21" ht="16.5" x14ac:dyDescent="0.3">
      <c r="B44" s="177"/>
      <c r="C44" s="177" t="s">
        <v>139</v>
      </c>
      <c r="D44" s="177"/>
      <c r="E44" s="177"/>
      <c r="F44" s="197" t="s">
        <v>272</v>
      </c>
      <c r="G44" s="193">
        <v>725</v>
      </c>
      <c r="H44" s="166"/>
      <c r="I44" s="165"/>
      <c r="J44" s="1"/>
    </row>
    <row r="45" spans="2:21" s="1" customFormat="1" ht="16.5" x14ac:dyDescent="0.3">
      <c r="B45" s="177"/>
      <c r="C45" s="177" t="s">
        <v>140</v>
      </c>
      <c r="D45" s="177"/>
      <c r="E45" s="177"/>
      <c r="F45" s="197" t="s">
        <v>255</v>
      </c>
      <c r="G45" s="194">
        <v>2.5000000000000001E-2</v>
      </c>
      <c r="H45" s="166"/>
      <c r="I45" s="165"/>
      <c r="K45" s="3"/>
      <c r="L45" s="3"/>
      <c r="M45" s="3"/>
      <c r="N45" s="3"/>
    </row>
    <row r="46" spans="2:21" ht="16.5" x14ac:dyDescent="0.3">
      <c r="B46" s="177"/>
      <c r="C46" s="177" t="s">
        <v>274</v>
      </c>
      <c r="D46" s="177"/>
      <c r="E46" s="177"/>
      <c r="F46" s="167" t="s">
        <v>252</v>
      </c>
      <c r="G46" s="210">
        <v>160</v>
      </c>
      <c r="H46" s="166"/>
      <c r="I46" s="165"/>
      <c r="J46" s="1"/>
    </row>
    <row r="47" spans="2:21" ht="16.5" x14ac:dyDescent="0.3">
      <c r="B47" s="177"/>
      <c r="C47" s="177" t="s">
        <v>26</v>
      </c>
      <c r="D47" s="177"/>
      <c r="E47" s="177"/>
      <c r="F47" s="197" t="s">
        <v>272</v>
      </c>
      <c r="G47" s="193">
        <v>1300</v>
      </c>
      <c r="H47" s="166"/>
      <c r="I47" s="165"/>
      <c r="J47" s="1"/>
      <c r="O47" s="1"/>
      <c r="P47" s="1"/>
      <c r="Q47" s="1"/>
      <c r="R47" s="1"/>
      <c r="S47" s="1"/>
      <c r="T47" s="1"/>
      <c r="U47" s="1"/>
    </row>
    <row r="48" spans="2:21" ht="16.5" x14ac:dyDescent="0.3">
      <c r="B48" s="177"/>
      <c r="C48" s="177" t="s">
        <v>141</v>
      </c>
      <c r="D48" s="177"/>
      <c r="E48" s="177"/>
      <c r="F48" s="197" t="s">
        <v>255</v>
      </c>
      <c r="G48" s="194">
        <v>2.5000000000000001E-2</v>
      </c>
      <c r="H48" s="166"/>
      <c r="I48" s="165"/>
      <c r="J48" s="1"/>
    </row>
    <row r="49" spans="2:21" ht="16.5" x14ac:dyDescent="0.3">
      <c r="B49" s="177"/>
      <c r="C49" s="177" t="s">
        <v>273</v>
      </c>
      <c r="D49" s="177"/>
      <c r="E49" s="177"/>
      <c r="F49" s="167" t="s">
        <v>252</v>
      </c>
      <c r="G49" s="210">
        <v>160</v>
      </c>
      <c r="H49" s="166"/>
      <c r="I49" s="165"/>
      <c r="J49" s="1"/>
    </row>
    <row r="50" spans="2:21" ht="16.5" x14ac:dyDescent="0.3">
      <c r="B50" s="177"/>
      <c r="C50" s="177" t="s">
        <v>137</v>
      </c>
      <c r="D50" s="177"/>
      <c r="E50" s="177"/>
      <c r="F50" s="196" t="s">
        <v>253</v>
      </c>
      <c r="G50" s="279">
        <f>Inputs!C34</f>
        <v>2250</v>
      </c>
      <c r="H50" s="166"/>
      <c r="I50" s="165"/>
      <c r="J50" s="1"/>
    </row>
    <row r="51" spans="2:21" s="1" customFormat="1" ht="16.5" x14ac:dyDescent="0.3">
      <c r="B51" s="177"/>
      <c r="C51" s="177" t="s">
        <v>138</v>
      </c>
      <c r="D51" s="177"/>
      <c r="E51" s="177"/>
      <c r="F51" s="197" t="s">
        <v>255</v>
      </c>
      <c r="G51" s="194">
        <v>0.95</v>
      </c>
      <c r="H51" s="166"/>
      <c r="I51" s="165"/>
      <c r="K51" s="3"/>
      <c r="L51" s="3"/>
      <c r="M51" s="3"/>
      <c r="N51" s="3"/>
    </row>
    <row r="52" spans="2:21" ht="16.5" x14ac:dyDescent="0.3">
      <c r="B52" s="177"/>
      <c r="C52" s="177" t="s">
        <v>27</v>
      </c>
      <c r="D52" s="177"/>
      <c r="E52" s="177"/>
      <c r="F52" s="197" t="s">
        <v>255</v>
      </c>
      <c r="G52" s="194">
        <v>0.04</v>
      </c>
      <c r="H52" s="166"/>
      <c r="I52" s="165"/>
      <c r="J52" s="1"/>
    </row>
    <row r="53" spans="2:21" ht="16.5" x14ac:dyDescent="0.3">
      <c r="B53" s="177"/>
      <c r="C53" s="177"/>
      <c r="D53" s="177"/>
      <c r="E53" s="177"/>
      <c r="F53" s="197"/>
      <c r="G53" s="180"/>
      <c r="H53" s="166"/>
      <c r="I53" s="165"/>
      <c r="J53" s="1"/>
    </row>
    <row r="54" spans="2:21" ht="16.5" x14ac:dyDescent="0.3">
      <c r="B54" s="176" t="s">
        <v>211</v>
      </c>
      <c r="C54" s="177"/>
      <c r="D54" s="195" t="s">
        <v>247</v>
      </c>
      <c r="E54" s="186" t="s">
        <v>75</v>
      </c>
      <c r="F54" s="195" t="s">
        <v>247</v>
      </c>
      <c r="G54" s="186" t="s">
        <v>75</v>
      </c>
      <c r="H54" s="166"/>
      <c r="I54" s="165"/>
      <c r="J54" s="1"/>
    </row>
    <row r="55" spans="2:21" ht="16.5" x14ac:dyDescent="0.3">
      <c r="B55" s="177"/>
      <c r="C55" s="177" t="s">
        <v>0</v>
      </c>
      <c r="D55" s="197" t="s">
        <v>276</v>
      </c>
      <c r="E55" s="211">
        <v>10</v>
      </c>
      <c r="F55" s="197" t="s">
        <v>275</v>
      </c>
      <c r="G55" s="210">
        <v>19.5</v>
      </c>
      <c r="H55" s="166"/>
      <c r="I55" s="165"/>
      <c r="J55" s="1"/>
    </row>
    <row r="56" spans="2:21" ht="16.5" x14ac:dyDescent="0.3">
      <c r="B56" s="177"/>
      <c r="C56" s="177" t="s">
        <v>280</v>
      </c>
      <c r="D56" s="197" t="s">
        <v>281</v>
      </c>
      <c r="E56" s="212">
        <v>2.5</v>
      </c>
      <c r="F56" s="213" t="s">
        <v>282</v>
      </c>
      <c r="G56" s="210">
        <v>20</v>
      </c>
      <c r="H56" s="166"/>
      <c r="I56" s="165"/>
      <c r="J56" s="1"/>
    </row>
    <row r="57" spans="2:21" s="1" customFormat="1" ht="16.5" x14ac:dyDescent="0.3">
      <c r="B57" s="177"/>
      <c r="C57" s="177" t="s">
        <v>1</v>
      </c>
      <c r="D57" s="166"/>
      <c r="E57" s="166"/>
      <c r="F57" s="196" t="s">
        <v>277</v>
      </c>
      <c r="G57" s="210">
        <v>25</v>
      </c>
      <c r="H57" s="166"/>
      <c r="I57" s="16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2:21" ht="16.5" x14ac:dyDescent="0.3">
      <c r="B58" s="177"/>
      <c r="C58" s="177" t="s">
        <v>279</v>
      </c>
      <c r="D58" s="166"/>
      <c r="E58" s="166"/>
      <c r="F58" s="196" t="s">
        <v>277</v>
      </c>
      <c r="G58" s="210">
        <v>20</v>
      </c>
      <c r="H58" s="166"/>
      <c r="I58" s="165"/>
      <c r="J58" s="1"/>
    </row>
    <row r="59" spans="2:21" ht="16.5" x14ac:dyDescent="0.3">
      <c r="B59" s="177"/>
      <c r="C59" s="177" t="s">
        <v>278</v>
      </c>
      <c r="D59" s="166"/>
      <c r="E59" s="166"/>
      <c r="F59" s="196" t="s">
        <v>277</v>
      </c>
      <c r="G59" s="210">
        <v>20</v>
      </c>
      <c r="H59" s="166"/>
      <c r="I59" s="165"/>
      <c r="J59" s="1"/>
    </row>
    <row r="60" spans="2:21" ht="16.5" x14ac:dyDescent="0.3">
      <c r="B60" s="177"/>
      <c r="C60" s="177" t="s">
        <v>28</v>
      </c>
      <c r="D60" s="166"/>
      <c r="E60" s="166"/>
      <c r="F60" s="197" t="s">
        <v>255</v>
      </c>
      <c r="G60" s="194">
        <v>0.02</v>
      </c>
      <c r="H60" s="166"/>
      <c r="I60" s="165"/>
      <c r="J60" s="1"/>
      <c r="O60" s="1"/>
      <c r="P60" s="1"/>
      <c r="Q60" s="1"/>
      <c r="R60" s="1"/>
      <c r="S60" s="1"/>
      <c r="T60" s="1"/>
      <c r="U60" s="1"/>
    </row>
    <row r="61" spans="2:21" ht="16.5" x14ac:dyDescent="0.3">
      <c r="B61" s="177"/>
      <c r="C61" s="177" t="s">
        <v>6</v>
      </c>
      <c r="D61" s="166"/>
      <c r="E61" s="166"/>
      <c r="F61" s="196" t="s">
        <v>277</v>
      </c>
      <c r="G61" s="210">
        <v>18</v>
      </c>
      <c r="H61" s="166"/>
      <c r="I61" s="165"/>
      <c r="J61" s="1"/>
      <c r="O61" s="1"/>
      <c r="P61" s="1"/>
      <c r="Q61" s="1"/>
      <c r="R61" s="1"/>
      <c r="S61" s="1"/>
      <c r="T61" s="1"/>
      <c r="U61" s="1"/>
    </row>
    <row r="62" spans="2:21" ht="16.5" x14ac:dyDescent="0.3">
      <c r="B62" s="177"/>
      <c r="C62" s="177" t="s">
        <v>283</v>
      </c>
      <c r="D62" s="177"/>
      <c r="E62" s="177"/>
      <c r="F62" s="166"/>
      <c r="G62" s="214">
        <v>24</v>
      </c>
      <c r="H62" s="166"/>
      <c r="I62" s="165"/>
      <c r="J62" s="1"/>
    </row>
    <row r="63" spans="2:21" ht="16.5" x14ac:dyDescent="0.3">
      <c r="B63" s="177"/>
      <c r="C63" s="177"/>
      <c r="D63" s="177"/>
      <c r="E63" s="177"/>
      <c r="F63" s="166"/>
      <c r="G63" s="185"/>
      <c r="H63" s="166"/>
      <c r="I63" s="165"/>
      <c r="J63" s="1"/>
    </row>
    <row r="64" spans="2:21" s="1" customFormat="1" ht="16.5" x14ac:dyDescent="0.3">
      <c r="B64" s="176" t="s">
        <v>212</v>
      </c>
      <c r="C64" s="166"/>
      <c r="D64" s="177"/>
      <c r="E64" s="177"/>
      <c r="F64" s="177"/>
      <c r="G64" s="177"/>
      <c r="H64" s="166"/>
      <c r="I64" s="165"/>
      <c r="K64" s="3"/>
      <c r="L64" s="3"/>
      <c r="M64" s="3"/>
      <c r="N64" s="3"/>
    </row>
    <row r="65" spans="2:21" ht="16.5" x14ac:dyDescent="0.3">
      <c r="B65" s="177"/>
      <c r="C65" s="177" t="s">
        <v>11</v>
      </c>
      <c r="D65" s="166"/>
      <c r="E65" s="166"/>
      <c r="F65" s="195" t="s">
        <v>247</v>
      </c>
      <c r="G65" s="186" t="s">
        <v>75</v>
      </c>
      <c r="H65" s="166"/>
      <c r="I65" s="165"/>
      <c r="J65" s="1"/>
    </row>
    <row r="66" spans="2:21" s="1" customFormat="1" ht="16.5" x14ac:dyDescent="0.3">
      <c r="B66" s="177"/>
      <c r="C66" s="177" t="s">
        <v>146</v>
      </c>
      <c r="D66" s="166"/>
      <c r="E66" s="166"/>
      <c r="F66" s="196" t="s">
        <v>277</v>
      </c>
      <c r="G66" s="210">
        <v>275</v>
      </c>
      <c r="H66" s="166"/>
      <c r="I66" s="165"/>
      <c r="K66" s="3"/>
      <c r="L66" s="3"/>
      <c r="M66" s="3"/>
      <c r="N66" s="3"/>
    </row>
    <row r="67" spans="2:21" ht="16.5" x14ac:dyDescent="0.3">
      <c r="B67" s="177"/>
      <c r="C67" s="177" t="s">
        <v>145</v>
      </c>
      <c r="D67" s="166"/>
      <c r="E67" s="166"/>
      <c r="F67" s="196" t="s">
        <v>277</v>
      </c>
      <c r="G67" s="210">
        <v>60</v>
      </c>
      <c r="H67" s="166"/>
      <c r="I67" s="165"/>
      <c r="J67" s="1"/>
    </row>
    <row r="68" spans="2:21" ht="16.5" x14ac:dyDescent="0.3">
      <c r="B68" s="177"/>
      <c r="C68" s="177" t="s">
        <v>150</v>
      </c>
      <c r="D68" s="166"/>
      <c r="E68" s="166"/>
      <c r="F68" s="196" t="s">
        <v>277</v>
      </c>
      <c r="G68" s="210">
        <v>16</v>
      </c>
      <c r="H68" s="166"/>
      <c r="I68" s="165"/>
      <c r="J68" s="1"/>
      <c r="O68" s="1"/>
      <c r="P68" s="1"/>
      <c r="Q68" s="1"/>
      <c r="R68" s="1"/>
      <c r="S68" s="1"/>
      <c r="T68" s="1"/>
      <c r="U68" s="1"/>
    </row>
    <row r="69" spans="2:21" ht="16.5" x14ac:dyDescent="0.3">
      <c r="B69" s="177"/>
      <c r="C69" s="177" t="s">
        <v>147</v>
      </c>
      <c r="D69" s="166"/>
      <c r="E69" s="166"/>
      <c r="F69" s="196" t="s">
        <v>277</v>
      </c>
      <c r="G69" s="210">
        <v>55</v>
      </c>
      <c r="H69" s="166"/>
      <c r="I69" s="165"/>
      <c r="J69" s="1"/>
      <c r="O69" s="1"/>
      <c r="P69" s="1"/>
      <c r="Q69" s="1"/>
      <c r="R69" s="1"/>
      <c r="S69" s="1"/>
      <c r="T69" s="1"/>
      <c r="U69" s="1"/>
    </row>
    <row r="70" spans="2:21" s="1" customFormat="1" ht="16.5" x14ac:dyDescent="0.3">
      <c r="B70" s="177"/>
      <c r="C70" s="177" t="s">
        <v>148</v>
      </c>
      <c r="D70" s="166"/>
      <c r="E70" s="166"/>
      <c r="F70" s="196" t="s">
        <v>277</v>
      </c>
      <c r="G70" s="210">
        <v>24</v>
      </c>
      <c r="H70" s="166"/>
      <c r="I70" s="16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2:21" ht="16.5" x14ac:dyDescent="0.3">
      <c r="B71" s="177"/>
      <c r="D71" s="166"/>
      <c r="E71" s="166"/>
      <c r="F71" s="219" t="s">
        <v>18</v>
      </c>
      <c r="G71" s="221">
        <f>SUM(G66:G70)</f>
        <v>430</v>
      </c>
      <c r="H71" s="166"/>
      <c r="I71" s="165"/>
      <c r="J71" s="1"/>
    </row>
    <row r="72" spans="2:21" ht="16.5" x14ac:dyDescent="0.3">
      <c r="B72" s="177"/>
      <c r="C72" s="177" t="s">
        <v>11</v>
      </c>
      <c r="D72" s="166"/>
      <c r="E72" s="186" t="s">
        <v>75</v>
      </c>
      <c r="F72" s="195" t="s">
        <v>247</v>
      </c>
      <c r="G72" s="178"/>
      <c r="H72" s="166"/>
      <c r="I72" s="165"/>
      <c r="J72" s="1"/>
    </row>
    <row r="73" spans="2:21" s="1" customFormat="1" ht="16.5" x14ac:dyDescent="0.3">
      <c r="B73" s="177"/>
      <c r="C73" s="177" t="s">
        <v>12</v>
      </c>
      <c r="D73" s="166"/>
      <c r="E73" s="194">
        <v>0.1</v>
      </c>
      <c r="F73" s="197" t="s">
        <v>255</v>
      </c>
      <c r="G73" s="221">
        <f>G71*E73</f>
        <v>43</v>
      </c>
      <c r="H73" s="166"/>
      <c r="I73" s="165"/>
      <c r="K73" s="3"/>
      <c r="L73" s="3"/>
      <c r="M73" s="3"/>
      <c r="N73" s="3"/>
    </row>
    <row r="74" spans="2:21" ht="16.5" x14ac:dyDescent="0.3">
      <c r="B74" s="177"/>
      <c r="C74" s="177" t="s">
        <v>13</v>
      </c>
      <c r="D74" s="166"/>
      <c r="E74" s="216">
        <v>20</v>
      </c>
      <c r="F74" s="218" t="s">
        <v>284</v>
      </c>
      <c r="G74" s="222">
        <f>G71*(1-E73)/E74</f>
        <v>19.350000000000001</v>
      </c>
      <c r="H74" s="166"/>
      <c r="I74" s="165"/>
      <c r="J74" s="1"/>
    </row>
    <row r="75" spans="2:21" s="1" customFormat="1" ht="16.5" x14ac:dyDescent="0.3">
      <c r="B75" s="177"/>
      <c r="C75" s="177" t="s">
        <v>216</v>
      </c>
      <c r="D75" s="177"/>
      <c r="E75" s="180"/>
      <c r="F75" s="166"/>
      <c r="G75" s="222">
        <f>((G71+G73)/2*Inputs!C36)</f>
        <v>18.328749999999999</v>
      </c>
      <c r="H75" s="166"/>
      <c r="I75" s="16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2:21" s="1" customFormat="1" ht="16.5" x14ac:dyDescent="0.3">
      <c r="B76" s="177"/>
      <c r="C76" s="177" t="s">
        <v>14</v>
      </c>
      <c r="D76" s="177"/>
      <c r="E76" s="217">
        <v>2.5000000000000001E-3</v>
      </c>
      <c r="F76" s="197" t="s">
        <v>255</v>
      </c>
      <c r="G76" s="222">
        <f>E76*G71</f>
        <v>1.075</v>
      </c>
      <c r="H76" s="166"/>
      <c r="I76" s="165"/>
      <c r="K76" s="3"/>
      <c r="L76" s="3"/>
      <c r="M76" s="3"/>
      <c r="N76" s="3"/>
    </row>
    <row r="77" spans="2:21" ht="16.5" x14ac:dyDescent="0.3">
      <c r="B77" s="177"/>
      <c r="C77" s="177" t="s">
        <v>15</v>
      </c>
      <c r="D77" s="177"/>
      <c r="E77" s="217">
        <v>1.4999999999999999E-2</v>
      </c>
      <c r="F77" s="197" t="s">
        <v>255</v>
      </c>
      <c r="G77" s="222">
        <f>E77*G71</f>
        <v>6.45</v>
      </c>
      <c r="H77" s="166"/>
      <c r="I77" s="165"/>
      <c r="J77" s="1"/>
    </row>
    <row r="78" spans="2:21" ht="16.5" x14ac:dyDescent="0.3">
      <c r="B78" s="177"/>
      <c r="C78" s="177" t="s">
        <v>16</v>
      </c>
      <c r="D78" s="166"/>
      <c r="E78" s="166"/>
      <c r="F78" s="166"/>
      <c r="G78" s="210">
        <f>47500/500</f>
        <v>95</v>
      </c>
      <c r="H78" s="166"/>
      <c r="I78" s="165"/>
      <c r="J78" s="1"/>
    </row>
    <row r="79" spans="2:21" s="1" customFormat="1" ht="16.5" x14ac:dyDescent="0.3">
      <c r="B79" s="177"/>
      <c r="C79" s="177" t="s">
        <v>12</v>
      </c>
      <c r="D79" s="166"/>
      <c r="E79" s="194">
        <v>0.1</v>
      </c>
      <c r="F79" s="197" t="s">
        <v>255</v>
      </c>
      <c r="G79" s="222">
        <f>G78*E79</f>
        <v>9.5</v>
      </c>
      <c r="H79" s="166"/>
      <c r="I79" s="16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2:21" ht="16.5" x14ac:dyDescent="0.3">
      <c r="B80" s="177"/>
      <c r="C80" s="177" t="s">
        <v>13</v>
      </c>
      <c r="D80" s="166"/>
      <c r="E80" s="216">
        <v>10</v>
      </c>
      <c r="F80" s="218" t="s">
        <v>284</v>
      </c>
      <c r="G80" s="222">
        <f>G78*(1-E79)/E80</f>
        <v>8.5500000000000007</v>
      </c>
      <c r="H80" s="166"/>
      <c r="I80" s="165"/>
      <c r="J80" s="1"/>
    </row>
    <row r="81" spans="2:21" ht="16.5" x14ac:dyDescent="0.3">
      <c r="B81" s="177"/>
      <c r="C81" s="177" t="s">
        <v>216</v>
      </c>
      <c r="D81" s="166"/>
      <c r="E81" s="182"/>
      <c r="F81" s="166"/>
      <c r="G81" s="222">
        <f>((G78+G79)/2*Inputs!C36)</f>
        <v>4.0493750000000004</v>
      </c>
      <c r="H81" s="166"/>
      <c r="I81" s="165"/>
      <c r="J81" s="1"/>
    </row>
    <row r="82" spans="2:21" s="1" customFormat="1" ht="16.5" x14ac:dyDescent="0.3">
      <c r="B82" s="177"/>
      <c r="C82" s="177" t="s">
        <v>14</v>
      </c>
      <c r="D82" s="166"/>
      <c r="E82" s="217">
        <v>2.5000000000000001E-3</v>
      </c>
      <c r="F82" s="197" t="s">
        <v>255</v>
      </c>
      <c r="G82" s="222">
        <f>E82*G78</f>
        <v>0.23750000000000002</v>
      </c>
      <c r="H82" s="166"/>
      <c r="I82" s="165"/>
      <c r="K82" s="3"/>
      <c r="L82" s="3"/>
      <c r="M82" s="3"/>
      <c r="N82" s="3"/>
    </row>
    <row r="83" spans="2:21" ht="16.5" x14ac:dyDescent="0.3">
      <c r="B83" s="177"/>
      <c r="C83" s="177" t="s">
        <v>15</v>
      </c>
      <c r="D83" s="166"/>
      <c r="E83" s="217">
        <v>0</v>
      </c>
      <c r="F83" s="197" t="s">
        <v>255</v>
      </c>
      <c r="G83" s="222">
        <f>E83*G78</f>
        <v>0</v>
      </c>
      <c r="H83" s="166"/>
      <c r="I83" s="165"/>
      <c r="J83" s="1"/>
    </row>
    <row r="84" spans="2:21" ht="16.5" x14ac:dyDescent="0.3">
      <c r="B84" s="177"/>
      <c r="D84" s="177"/>
      <c r="E84" s="177"/>
      <c r="F84" s="215" t="s">
        <v>213</v>
      </c>
      <c r="G84" s="222">
        <f>G71+G78</f>
        <v>525</v>
      </c>
      <c r="H84" s="166"/>
      <c r="I84" s="165"/>
      <c r="J84" s="1"/>
    </row>
    <row r="85" spans="2:21" ht="16.5" x14ac:dyDescent="0.3">
      <c r="B85" s="177"/>
      <c r="D85" s="177"/>
      <c r="E85" s="177"/>
      <c r="F85" s="215" t="s">
        <v>149</v>
      </c>
      <c r="G85" s="222">
        <f>SUM(G74:G77,G80:G83)*G62/12</f>
        <v>116.08125000000001</v>
      </c>
      <c r="H85" s="166"/>
      <c r="I85" s="165"/>
      <c r="J85" s="1"/>
    </row>
    <row r="86" spans="2:21" ht="16.5" hidden="1" x14ac:dyDescent="0.3">
      <c r="B86" s="164"/>
      <c r="C86" s="165"/>
      <c r="D86" s="165"/>
      <c r="E86" s="165"/>
      <c r="F86" s="165"/>
      <c r="G86" s="166"/>
      <c r="H86" s="165"/>
      <c r="I86" s="165"/>
    </row>
    <row r="87" spans="2:21" s="1" customFormat="1" hidden="1" x14ac:dyDescent="0.2">
      <c r="G87" s="4"/>
      <c r="J87" s="3"/>
      <c r="K87" s="3"/>
      <c r="L87" s="3"/>
      <c r="M87" s="3"/>
      <c r="N87" s="3"/>
    </row>
    <row r="89" spans="2:21" hidden="1" x14ac:dyDescent="0.2">
      <c r="O89" s="1"/>
      <c r="P89" s="1"/>
      <c r="Q89" s="1"/>
      <c r="R89" s="1"/>
      <c r="S89" s="1"/>
      <c r="T89" s="1"/>
      <c r="U89" s="1"/>
    </row>
    <row r="92" spans="2:21" hidden="1" x14ac:dyDescent="0.2">
      <c r="C92" s="7"/>
    </row>
    <row r="93" spans="2:21" s="1" customFormat="1" hidden="1" x14ac:dyDescent="0.2">
      <c r="G93" s="4"/>
      <c r="J93" s="3"/>
      <c r="K93" s="3"/>
      <c r="L93" s="3"/>
      <c r="M93" s="3"/>
      <c r="N93" s="3"/>
    </row>
    <row r="94" spans="2:21" hidden="1" x14ac:dyDescent="0.2">
      <c r="B94" s="7"/>
    </row>
    <row r="95" spans="2:21" s="1" customFormat="1" hidden="1" x14ac:dyDescent="0.2">
      <c r="G95" s="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8" spans="2:21" hidden="1" x14ac:dyDescent="0.2">
      <c r="C98" s="7"/>
    </row>
    <row r="99" spans="2:21" s="1" customFormat="1" hidden="1" x14ac:dyDescent="0.2">
      <c r="G99" s="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3" spans="2:21" hidden="1" x14ac:dyDescent="0.2">
      <c r="O103" s="1"/>
      <c r="P103" s="1"/>
      <c r="Q103" s="1"/>
      <c r="R103" s="1"/>
      <c r="S103" s="1"/>
      <c r="T103" s="1"/>
      <c r="U103" s="1"/>
    </row>
    <row r="105" spans="2:21" hidden="1" x14ac:dyDescent="0.2">
      <c r="O105" s="1"/>
      <c r="P105" s="1"/>
      <c r="Q105" s="1"/>
      <c r="R105" s="1"/>
      <c r="S105" s="1"/>
      <c r="T105" s="1"/>
      <c r="U105" s="1"/>
    </row>
    <row r="108" spans="2:21" hidden="1" x14ac:dyDescent="0.2">
      <c r="C108" s="7"/>
    </row>
    <row r="109" spans="2:21" s="1" customFormat="1" hidden="1" x14ac:dyDescent="0.2">
      <c r="G109" s="4"/>
      <c r="J109" s="3"/>
      <c r="K109" s="3"/>
      <c r="L109" s="3"/>
      <c r="M109" s="3"/>
      <c r="N109" s="3"/>
      <c r="O109" s="3"/>
      <c r="P109" s="3"/>
      <c r="Q109" s="3"/>
    </row>
    <row r="110" spans="2:21" hidden="1" x14ac:dyDescent="0.2">
      <c r="B110" s="7"/>
    </row>
    <row r="111" spans="2:21" s="1" customFormat="1" hidden="1" x14ac:dyDescent="0.2">
      <c r="G111" s="4"/>
      <c r="J111" s="3"/>
      <c r="K111" s="3"/>
      <c r="L111" s="3"/>
      <c r="M111" s="3"/>
      <c r="N111" s="3"/>
      <c r="O111" s="3"/>
      <c r="P111" s="3"/>
      <c r="Q111" s="3"/>
    </row>
    <row r="113" spans="2:21" hidden="1" x14ac:dyDescent="0.2">
      <c r="R113" s="1"/>
      <c r="S113" s="1"/>
      <c r="T113" s="1"/>
      <c r="U113" s="1"/>
    </row>
    <row r="114" spans="2:21" hidden="1" x14ac:dyDescent="0.2">
      <c r="C114" s="7"/>
      <c r="R114" s="1"/>
      <c r="S114" s="1"/>
      <c r="T114" s="1"/>
      <c r="U114" s="1"/>
    </row>
    <row r="115" spans="2:21" s="1" customFormat="1" hidden="1" x14ac:dyDescent="0.2">
      <c r="G115" s="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2:21" hidden="1" x14ac:dyDescent="0.2">
      <c r="B116" s="7"/>
    </row>
    <row r="117" spans="2:21" s="1" customFormat="1" hidden="1" x14ac:dyDescent="0.2">
      <c r="G117" s="4"/>
      <c r="J117" s="3"/>
      <c r="K117" s="3"/>
      <c r="L117" s="3"/>
      <c r="M117" s="3"/>
      <c r="N117" s="3"/>
      <c r="O117" s="3"/>
      <c r="P117" s="3"/>
      <c r="Q117" s="3"/>
    </row>
    <row r="118" spans="2:21" hidden="1" x14ac:dyDescent="0.2">
      <c r="B118" s="7"/>
    </row>
    <row r="119" spans="2:21" s="1" customFormat="1" hidden="1" x14ac:dyDescent="0.2">
      <c r="B119" s="7"/>
      <c r="G119" s="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2:21" s="1" customFormat="1" hidden="1" x14ac:dyDescent="0.2">
      <c r="G120" s="4"/>
      <c r="J120" s="3"/>
      <c r="K120" s="3"/>
      <c r="L120" s="3"/>
      <c r="M120" s="3"/>
      <c r="N120" s="3"/>
      <c r="O120" s="3"/>
      <c r="P120" s="3"/>
      <c r="Q120" s="3"/>
    </row>
    <row r="122" spans="2:21" hidden="1" x14ac:dyDescent="0.2">
      <c r="F122" s="16"/>
    </row>
    <row r="123" spans="2:21" s="1" customFormat="1" hidden="1" x14ac:dyDescent="0.2">
      <c r="G123" s="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5" spans="2:21" hidden="1" x14ac:dyDescent="0.2">
      <c r="D125" s="7"/>
    </row>
    <row r="126" spans="2:21" s="1" customFormat="1" hidden="1" x14ac:dyDescent="0.2">
      <c r="G126" s="4"/>
      <c r="J126" s="3"/>
      <c r="K126" s="3"/>
      <c r="L126" s="3"/>
      <c r="M126" s="3"/>
      <c r="N126" s="3"/>
      <c r="O126" s="3"/>
      <c r="P126" s="3"/>
      <c r="Q126" s="3"/>
    </row>
    <row r="131" spans="2:21" hidden="1" x14ac:dyDescent="0.2">
      <c r="B131" s="7"/>
    </row>
    <row r="132" spans="2:21" s="1" customFormat="1" hidden="1" x14ac:dyDescent="0.2">
      <c r="G132" s="4"/>
      <c r="J132" s="3"/>
      <c r="K132" s="3"/>
      <c r="L132" s="3"/>
      <c r="M132" s="3"/>
      <c r="N132" s="3"/>
      <c r="O132" s="3"/>
      <c r="P132" s="3"/>
      <c r="Q132" s="3"/>
    </row>
    <row r="134" spans="2:21" hidden="1" x14ac:dyDescent="0.2">
      <c r="R134" s="1"/>
      <c r="S134" s="1"/>
      <c r="T134" s="1"/>
      <c r="U134" s="1"/>
    </row>
    <row r="137" spans="2:21" hidden="1" x14ac:dyDescent="0.2">
      <c r="C137" s="7"/>
    </row>
    <row r="138" spans="2:21" s="1" customFormat="1" hidden="1" x14ac:dyDescent="0.2">
      <c r="G138" s="4"/>
      <c r="J138" s="3"/>
      <c r="K138" s="3"/>
      <c r="L138" s="3"/>
      <c r="M138" s="3"/>
      <c r="N138" s="3"/>
      <c r="O138" s="3"/>
      <c r="P138" s="3"/>
      <c r="Q138" s="3"/>
    </row>
    <row r="139" spans="2:21" hidden="1" x14ac:dyDescent="0.2">
      <c r="B139" s="7"/>
    </row>
    <row r="140" spans="2:21" s="1" customFormat="1" hidden="1" x14ac:dyDescent="0.2">
      <c r="G140" s="4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3" spans="2:21" hidden="1" x14ac:dyDescent="0.2">
      <c r="C143" s="7"/>
    </row>
    <row r="144" spans="2:21" s="1" customFormat="1" hidden="1" x14ac:dyDescent="0.2">
      <c r="G144" s="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8" spans="2:21" hidden="1" x14ac:dyDescent="0.2">
      <c r="R148" s="1"/>
      <c r="S148" s="1"/>
      <c r="T148" s="1"/>
      <c r="U148" s="1"/>
    </row>
    <row r="150" spans="2:21" hidden="1" x14ac:dyDescent="0.2">
      <c r="R150" s="1"/>
      <c r="S150" s="1"/>
      <c r="T150" s="1"/>
      <c r="U150" s="1"/>
    </row>
    <row r="153" spans="2:21" hidden="1" x14ac:dyDescent="0.2">
      <c r="C153" s="7"/>
    </row>
    <row r="154" spans="2:21" s="1" customFormat="1" hidden="1" x14ac:dyDescent="0.2">
      <c r="G154" s="4"/>
      <c r="J154" s="3"/>
      <c r="K154" s="3"/>
      <c r="L154" s="3"/>
      <c r="M154" s="3"/>
      <c r="N154" s="3"/>
      <c r="O154" s="3"/>
      <c r="P154" s="3"/>
      <c r="Q154" s="3"/>
    </row>
    <row r="155" spans="2:21" hidden="1" x14ac:dyDescent="0.2">
      <c r="B155" s="7"/>
    </row>
    <row r="156" spans="2:21" s="1" customFormat="1" hidden="1" x14ac:dyDescent="0.2">
      <c r="G156" s="4"/>
      <c r="J156" s="3"/>
      <c r="K156" s="3"/>
      <c r="L156" s="3"/>
      <c r="M156" s="3"/>
      <c r="N156" s="3"/>
      <c r="O156" s="3"/>
      <c r="P156" s="3"/>
      <c r="Q156" s="3"/>
    </row>
    <row r="158" spans="2:21" hidden="1" x14ac:dyDescent="0.2">
      <c r="R158" s="1"/>
      <c r="S158" s="1"/>
      <c r="T158" s="1"/>
      <c r="U158" s="1"/>
    </row>
    <row r="159" spans="2:21" hidden="1" x14ac:dyDescent="0.2">
      <c r="C159" s="7"/>
      <c r="R159" s="1"/>
      <c r="S159" s="1"/>
      <c r="T159" s="1"/>
      <c r="U159" s="1"/>
    </row>
    <row r="160" spans="2:21" s="1" customFormat="1" hidden="1" x14ac:dyDescent="0.2">
      <c r="G160" s="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2:21" hidden="1" x14ac:dyDescent="0.2">
      <c r="B161" s="7"/>
    </row>
    <row r="162" spans="2:21" s="1" customFormat="1" hidden="1" x14ac:dyDescent="0.2">
      <c r="G162" s="4"/>
      <c r="J162" s="3"/>
      <c r="K162" s="3"/>
      <c r="L162" s="3"/>
      <c r="M162" s="3"/>
      <c r="N162" s="3"/>
      <c r="O162" s="3"/>
      <c r="P162" s="3"/>
      <c r="Q162" s="3"/>
    </row>
    <row r="163" spans="2:21" hidden="1" x14ac:dyDescent="0.2">
      <c r="B163" s="7"/>
    </row>
    <row r="164" spans="2:21" s="1" customFormat="1" hidden="1" x14ac:dyDescent="0.2">
      <c r="B164" s="7"/>
      <c r="G164" s="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2:21" s="1" customFormat="1" hidden="1" x14ac:dyDescent="0.2">
      <c r="G165" s="4"/>
      <c r="J165" s="3"/>
      <c r="K165" s="3"/>
      <c r="L165" s="3"/>
      <c r="M165" s="3"/>
      <c r="N165" s="3"/>
      <c r="O165" s="3"/>
      <c r="P165" s="3"/>
      <c r="Q165" s="3"/>
    </row>
    <row r="167" spans="2:21" hidden="1" x14ac:dyDescent="0.2">
      <c r="F167" s="16"/>
    </row>
    <row r="168" spans="2:21" s="1" customFormat="1" hidden="1" x14ac:dyDescent="0.2">
      <c r="G168" s="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70" spans="2:21" hidden="1" x14ac:dyDescent="0.2">
      <c r="D170" s="7"/>
    </row>
    <row r="171" spans="2:21" s="1" customFormat="1" hidden="1" x14ac:dyDescent="0.2">
      <c r="G171" s="4"/>
      <c r="J171" s="3"/>
      <c r="K171" s="3"/>
      <c r="L171" s="3"/>
      <c r="M171" s="3"/>
      <c r="N171" s="3"/>
      <c r="O171" s="3"/>
      <c r="P171" s="3"/>
      <c r="Q171" s="3"/>
    </row>
    <row r="176" spans="2:21" hidden="1" x14ac:dyDescent="0.2">
      <c r="B176" s="7"/>
    </row>
    <row r="177" spans="2:21" s="1" customFormat="1" hidden="1" x14ac:dyDescent="0.2">
      <c r="G177" s="4"/>
      <c r="J177" s="3"/>
      <c r="K177" s="3"/>
      <c r="L177" s="3"/>
      <c r="M177" s="3"/>
      <c r="N177" s="3"/>
      <c r="O177" s="3"/>
      <c r="P177" s="3"/>
      <c r="Q177" s="3"/>
    </row>
    <row r="179" spans="2:21" hidden="1" x14ac:dyDescent="0.2">
      <c r="R179" s="1"/>
      <c r="S179" s="1"/>
      <c r="T179" s="1"/>
      <c r="U179" s="1"/>
    </row>
    <row r="182" spans="2:21" hidden="1" x14ac:dyDescent="0.2">
      <c r="C182" s="7"/>
    </row>
    <row r="183" spans="2:21" s="1" customFormat="1" hidden="1" x14ac:dyDescent="0.2">
      <c r="G183" s="4"/>
      <c r="J183" s="3"/>
      <c r="K183" s="3"/>
      <c r="L183" s="3"/>
      <c r="M183" s="3"/>
      <c r="N183" s="3"/>
      <c r="O183" s="3"/>
      <c r="P183" s="3"/>
      <c r="Q183" s="3"/>
    </row>
    <row r="184" spans="2:21" hidden="1" x14ac:dyDescent="0.2">
      <c r="B184" s="7"/>
    </row>
    <row r="185" spans="2:21" s="1" customFormat="1" hidden="1" x14ac:dyDescent="0.2">
      <c r="G185" s="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8" spans="2:21" hidden="1" x14ac:dyDescent="0.2">
      <c r="C188" s="7"/>
    </row>
    <row r="189" spans="2:21" s="1" customFormat="1" hidden="1" x14ac:dyDescent="0.2">
      <c r="G189" s="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3" spans="2:21" hidden="1" x14ac:dyDescent="0.2">
      <c r="R193" s="1"/>
      <c r="S193" s="1"/>
      <c r="T193" s="1"/>
      <c r="U193" s="1"/>
    </row>
    <row r="195" spans="2:21" hidden="1" x14ac:dyDescent="0.2">
      <c r="R195" s="1"/>
      <c r="S195" s="1"/>
      <c r="T195" s="1"/>
      <c r="U195" s="1"/>
    </row>
    <row r="198" spans="2:21" hidden="1" x14ac:dyDescent="0.2">
      <c r="C198" s="7"/>
    </row>
    <row r="199" spans="2:21" s="1" customFormat="1" hidden="1" x14ac:dyDescent="0.2">
      <c r="G199" s="4"/>
      <c r="J199" s="3"/>
      <c r="K199" s="3"/>
      <c r="L199" s="3"/>
      <c r="M199" s="3"/>
      <c r="N199" s="3"/>
      <c r="O199" s="3"/>
      <c r="P199" s="3"/>
      <c r="Q199" s="3"/>
    </row>
    <row r="200" spans="2:21" hidden="1" x14ac:dyDescent="0.2">
      <c r="B200" s="7"/>
    </row>
    <row r="201" spans="2:21" s="1" customFormat="1" hidden="1" x14ac:dyDescent="0.2">
      <c r="G201" s="4"/>
      <c r="J201" s="3"/>
      <c r="K201" s="3"/>
      <c r="L201" s="3"/>
      <c r="M201" s="3"/>
      <c r="N201" s="3"/>
      <c r="O201" s="3"/>
      <c r="P201" s="3"/>
      <c r="Q201" s="3"/>
    </row>
    <row r="203" spans="2:21" hidden="1" x14ac:dyDescent="0.2">
      <c r="R203" s="1"/>
      <c r="S203" s="1"/>
      <c r="T203" s="1"/>
      <c r="U203" s="1"/>
    </row>
    <row r="204" spans="2:21" hidden="1" x14ac:dyDescent="0.2">
      <c r="C204" s="7"/>
      <c r="R204" s="1"/>
      <c r="S204" s="1"/>
      <c r="T204" s="1"/>
      <c r="U204" s="1"/>
    </row>
    <row r="205" spans="2:21" s="1" customFormat="1" hidden="1" x14ac:dyDescent="0.2">
      <c r="G205" s="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2:21" hidden="1" x14ac:dyDescent="0.2">
      <c r="B206" s="7"/>
    </row>
    <row r="207" spans="2:21" s="1" customFormat="1" hidden="1" x14ac:dyDescent="0.2">
      <c r="G207" s="4"/>
      <c r="J207" s="3"/>
      <c r="K207" s="3"/>
      <c r="L207" s="3"/>
      <c r="M207" s="3"/>
      <c r="N207" s="3"/>
      <c r="O207" s="3"/>
      <c r="P207" s="3"/>
      <c r="Q207" s="3"/>
    </row>
    <row r="208" spans="2:21" hidden="1" x14ac:dyDescent="0.2">
      <c r="B208" s="7"/>
    </row>
    <row r="209" spans="2:21" s="1" customFormat="1" hidden="1" x14ac:dyDescent="0.2">
      <c r="B209" s="7"/>
      <c r="G209" s="4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2:21" s="1" customFormat="1" hidden="1" x14ac:dyDescent="0.2">
      <c r="G210" s="4"/>
      <c r="J210" s="3"/>
      <c r="K210" s="3"/>
      <c r="L210" s="3"/>
      <c r="M210" s="3"/>
      <c r="N210" s="3"/>
      <c r="O210" s="3"/>
      <c r="P210" s="3"/>
      <c r="Q210" s="3"/>
    </row>
    <row r="212" spans="2:21" hidden="1" x14ac:dyDescent="0.2">
      <c r="F212" s="16"/>
    </row>
    <row r="213" spans="2:21" s="1" customFormat="1" hidden="1" x14ac:dyDescent="0.2">
      <c r="G213" s="4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5" spans="2:21" hidden="1" x14ac:dyDescent="0.2">
      <c r="D215" s="7"/>
    </row>
    <row r="216" spans="2:21" s="1" customFormat="1" hidden="1" x14ac:dyDescent="0.2">
      <c r="G216" s="4"/>
      <c r="J216" s="3"/>
      <c r="K216" s="3"/>
      <c r="L216" s="3"/>
      <c r="M216" s="3"/>
      <c r="N216" s="3"/>
      <c r="O216" s="3"/>
      <c r="P216" s="3"/>
      <c r="Q216" s="3"/>
    </row>
    <row r="221" spans="2:21" hidden="1" x14ac:dyDescent="0.2">
      <c r="B221" s="7"/>
    </row>
    <row r="222" spans="2:21" s="1" customFormat="1" hidden="1" x14ac:dyDescent="0.2">
      <c r="G222" s="4"/>
      <c r="J222" s="3"/>
      <c r="K222" s="3"/>
      <c r="L222" s="3"/>
      <c r="M222" s="3"/>
      <c r="N222" s="3"/>
      <c r="O222" s="3"/>
      <c r="P222" s="3"/>
      <c r="Q222" s="3"/>
    </row>
    <row r="224" spans="2:21" hidden="1" x14ac:dyDescent="0.2">
      <c r="R224" s="1"/>
      <c r="S224" s="1"/>
      <c r="T224" s="1"/>
      <c r="U224" s="1"/>
    </row>
    <row r="227" spans="2:21" hidden="1" x14ac:dyDescent="0.2">
      <c r="C227" s="7"/>
    </row>
    <row r="228" spans="2:21" s="1" customFormat="1" hidden="1" x14ac:dyDescent="0.2">
      <c r="G228" s="4"/>
      <c r="J228" s="3"/>
      <c r="K228" s="3"/>
      <c r="L228" s="3"/>
      <c r="M228" s="3"/>
      <c r="N228" s="3"/>
      <c r="O228" s="3"/>
      <c r="P228" s="3"/>
      <c r="Q228" s="3"/>
    </row>
    <row r="229" spans="2:21" hidden="1" x14ac:dyDescent="0.2">
      <c r="B229" s="7"/>
    </row>
    <row r="230" spans="2:21" s="1" customFormat="1" hidden="1" x14ac:dyDescent="0.2">
      <c r="G230" s="4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3" spans="2:21" hidden="1" x14ac:dyDescent="0.2">
      <c r="C233" s="7"/>
    </row>
    <row r="234" spans="2:21" s="1" customFormat="1" hidden="1" x14ac:dyDescent="0.2">
      <c r="G234" s="4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8" spans="2:21" hidden="1" x14ac:dyDescent="0.2">
      <c r="R238" s="1"/>
      <c r="S238" s="1"/>
      <c r="T238" s="1"/>
      <c r="U238" s="1"/>
    </row>
    <row r="240" spans="2:21" hidden="1" x14ac:dyDescent="0.2">
      <c r="R240" s="1"/>
      <c r="S240" s="1"/>
      <c r="T240" s="1"/>
      <c r="U240" s="1"/>
    </row>
    <row r="243" spans="2:21" hidden="1" x14ac:dyDescent="0.2">
      <c r="C243" s="7"/>
    </row>
    <row r="244" spans="2:21" s="1" customFormat="1" hidden="1" x14ac:dyDescent="0.2">
      <c r="G244" s="4"/>
      <c r="J244" s="3"/>
      <c r="K244" s="3"/>
      <c r="L244" s="3"/>
      <c r="M244" s="3"/>
      <c r="N244" s="3"/>
      <c r="O244" s="3"/>
      <c r="P244" s="3"/>
      <c r="Q244" s="3"/>
    </row>
    <row r="245" spans="2:21" hidden="1" x14ac:dyDescent="0.2">
      <c r="B245" s="7"/>
    </row>
    <row r="246" spans="2:21" s="1" customFormat="1" hidden="1" x14ac:dyDescent="0.2">
      <c r="G246" s="4"/>
      <c r="J246" s="3"/>
      <c r="K246" s="3"/>
      <c r="L246" s="3"/>
      <c r="M246" s="3"/>
      <c r="N246" s="3"/>
      <c r="O246" s="3"/>
      <c r="P246" s="3"/>
      <c r="Q246" s="3"/>
    </row>
    <row r="248" spans="2:21" hidden="1" x14ac:dyDescent="0.2">
      <c r="R248" s="1"/>
      <c r="S248" s="1"/>
      <c r="T248" s="1"/>
      <c r="U248" s="1"/>
    </row>
    <row r="249" spans="2:21" hidden="1" x14ac:dyDescent="0.2">
      <c r="C249" s="7"/>
      <c r="R249" s="1"/>
      <c r="S249" s="1"/>
      <c r="T249" s="1"/>
      <c r="U249" s="1"/>
    </row>
    <row r="250" spans="2:21" s="1" customFormat="1" hidden="1" x14ac:dyDescent="0.2">
      <c r="G250" s="4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2:21" hidden="1" x14ac:dyDescent="0.2">
      <c r="B251" s="7"/>
    </row>
    <row r="252" spans="2:21" s="1" customFormat="1" hidden="1" x14ac:dyDescent="0.2">
      <c r="G252" s="4"/>
      <c r="J252" s="3"/>
      <c r="K252" s="3"/>
      <c r="L252" s="3"/>
      <c r="M252" s="3"/>
      <c r="N252" s="3"/>
      <c r="O252" s="3"/>
      <c r="P252" s="3"/>
      <c r="Q252" s="3"/>
    </row>
    <row r="253" spans="2:21" hidden="1" x14ac:dyDescent="0.2">
      <c r="B253" s="7"/>
    </row>
    <row r="254" spans="2:21" s="1" customFormat="1" hidden="1" x14ac:dyDescent="0.2">
      <c r="B254" s="7"/>
      <c r="G254" s="4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2:21" s="1" customFormat="1" hidden="1" x14ac:dyDescent="0.2">
      <c r="G255" s="4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7" spans="2:21" hidden="1" x14ac:dyDescent="0.2">
      <c r="F257" s="16"/>
      <c r="R257" s="1"/>
      <c r="S257" s="1"/>
      <c r="T257" s="1"/>
      <c r="U257" s="1"/>
    </row>
    <row r="258" spans="2:21" s="1" customFormat="1" hidden="1" x14ac:dyDescent="0.2">
      <c r="G258" s="4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62" spans="2:21" hidden="1" x14ac:dyDescent="0.2">
      <c r="D262" s="7"/>
    </row>
    <row r="263" spans="2:21" s="1" customFormat="1" hidden="1" x14ac:dyDescent="0.2">
      <c r="G263" s="4"/>
      <c r="J263" s="3"/>
      <c r="K263" s="3"/>
      <c r="L263" s="3"/>
      <c r="M263" s="3"/>
      <c r="N263" s="3"/>
      <c r="O263" s="3"/>
      <c r="P263" s="3"/>
      <c r="Q263" s="3"/>
    </row>
    <row r="268" spans="2:21" hidden="1" x14ac:dyDescent="0.2">
      <c r="B268" s="7"/>
    </row>
    <row r="269" spans="2:21" s="1" customFormat="1" hidden="1" x14ac:dyDescent="0.2">
      <c r="G269" s="4"/>
      <c r="J269" s="3"/>
      <c r="K269" s="3"/>
      <c r="L269" s="3"/>
      <c r="M269" s="3"/>
      <c r="N269" s="3"/>
      <c r="O269" s="3"/>
      <c r="P269" s="3"/>
      <c r="Q269" s="3"/>
    </row>
    <row r="271" spans="2:21" hidden="1" x14ac:dyDescent="0.2">
      <c r="R271" s="1"/>
      <c r="S271" s="1"/>
      <c r="T271" s="1"/>
      <c r="U271" s="1"/>
    </row>
    <row r="274" spans="2:21" hidden="1" x14ac:dyDescent="0.2">
      <c r="C274" s="7"/>
    </row>
    <row r="275" spans="2:21" s="1" customFormat="1" hidden="1" x14ac:dyDescent="0.2">
      <c r="G275" s="4"/>
      <c r="J275" s="3"/>
      <c r="K275" s="3"/>
      <c r="L275" s="3"/>
      <c r="M275" s="3"/>
      <c r="N275" s="3"/>
      <c r="O275" s="3"/>
      <c r="P275" s="3"/>
      <c r="Q275" s="3"/>
    </row>
    <row r="276" spans="2:21" hidden="1" x14ac:dyDescent="0.2">
      <c r="B276" s="7"/>
    </row>
    <row r="277" spans="2:21" s="1" customFormat="1" hidden="1" x14ac:dyDescent="0.2">
      <c r="G277" s="4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80" spans="2:21" hidden="1" x14ac:dyDescent="0.2">
      <c r="C280" s="7"/>
    </row>
    <row r="281" spans="2:21" s="1" customFormat="1" hidden="1" x14ac:dyDescent="0.2">
      <c r="G281" s="4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5" spans="2:21" hidden="1" x14ac:dyDescent="0.2">
      <c r="R285" s="1"/>
      <c r="S285" s="1"/>
      <c r="T285" s="1"/>
      <c r="U285" s="1"/>
    </row>
    <row r="287" spans="2:21" hidden="1" x14ac:dyDescent="0.2">
      <c r="R287" s="1"/>
      <c r="S287" s="1"/>
      <c r="T287" s="1"/>
      <c r="U287" s="1"/>
    </row>
    <row r="290" spans="2:21" hidden="1" x14ac:dyDescent="0.2">
      <c r="C290" s="7"/>
    </row>
    <row r="291" spans="2:21" s="1" customFormat="1" hidden="1" x14ac:dyDescent="0.2">
      <c r="G291" s="4"/>
      <c r="J291" s="3"/>
      <c r="K291" s="3"/>
      <c r="L291" s="3"/>
      <c r="M291" s="3"/>
      <c r="N291" s="3"/>
      <c r="O291" s="3"/>
      <c r="P291" s="3"/>
      <c r="Q291" s="3"/>
    </row>
    <row r="292" spans="2:21" hidden="1" x14ac:dyDescent="0.2">
      <c r="B292" s="7"/>
    </row>
    <row r="293" spans="2:21" s="1" customFormat="1" hidden="1" x14ac:dyDescent="0.2">
      <c r="G293" s="4"/>
      <c r="J293" s="3"/>
      <c r="K293" s="3"/>
      <c r="L293" s="3"/>
      <c r="M293" s="3"/>
      <c r="N293" s="3"/>
      <c r="O293" s="3"/>
      <c r="P293" s="3"/>
      <c r="Q293" s="3"/>
    </row>
    <row r="295" spans="2:21" hidden="1" x14ac:dyDescent="0.2">
      <c r="R295" s="1"/>
      <c r="S295" s="1"/>
      <c r="T295" s="1"/>
      <c r="U295" s="1"/>
    </row>
    <row r="296" spans="2:21" hidden="1" x14ac:dyDescent="0.2">
      <c r="C296" s="7"/>
      <c r="R296" s="1"/>
      <c r="S296" s="1"/>
      <c r="T296" s="1"/>
      <c r="U296" s="1"/>
    </row>
    <row r="297" spans="2:21" s="1" customFormat="1" hidden="1" x14ac:dyDescent="0.2">
      <c r="G297" s="4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2:21" hidden="1" x14ac:dyDescent="0.2">
      <c r="B298" s="7"/>
    </row>
    <row r="299" spans="2:21" s="1" customFormat="1" hidden="1" x14ac:dyDescent="0.2">
      <c r="G299" s="4"/>
      <c r="J299" s="3"/>
      <c r="K299" s="3"/>
      <c r="L299" s="3"/>
      <c r="M299" s="3"/>
      <c r="N299" s="3"/>
      <c r="O299" s="3"/>
      <c r="P299" s="3"/>
      <c r="Q299" s="3"/>
    </row>
    <row r="300" spans="2:21" hidden="1" x14ac:dyDescent="0.2">
      <c r="B300" s="7"/>
    </row>
    <row r="301" spans="2:21" s="1" customFormat="1" hidden="1" x14ac:dyDescent="0.2">
      <c r="B301" s="7"/>
      <c r="G301" s="4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2:21" s="1" customFormat="1" hidden="1" x14ac:dyDescent="0.2">
      <c r="G302" s="4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4" spans="2:21" hidden="1" x14ac:dyDescent="0.2">
      <c r="F304" s="16"/>
    </row>
    <row r="305" spans="7:21" s="1" customFormat="1" hidden="1" x14ac:dyDescent="0.2">
      <c r="G305" s="4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</sheetData>
  <sheetProtection sheet="1" objects="1" scenarios="1"/>
  <mergeCells count="2">
    <mergeCell ref="B1:H1"/>
    <mergeCell ref="B2:H2"/>
  </mergeCells>
  <pageMargins left="0.7" right="0.7" top="0.75" bottom="0.75" header="0.3" footer="0.3"/>
  <pageSetup scale="99" orientation="portrait" r:id="rId1"/>
  <rowBreaks count="1" manualBreakCount="1">
    <brk id="39" max="16383" man="1"/>
  </rowBreaks>
  <ignoredErrors>
    <ignoredError sqref="G24" evalError="1"/>
    <ignoredError sqref="G50 G78 G43" unlockedFormula="1"/>
    <ignoredError sqref="G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70"/>
  <sheetViews>
    <sheetView topLeftCell="A108" zoomScale="120" zoomScaleNormal="120" zoomScaleSheetLayoutView="100" workbookViewId="0">
      <selection activeCell="O11" sqref="O11"/>
    </sheetView>
  </sheetViews>
  <sheetFormatPr defaultColWidth="0" defaultRowHeight="14.25" zeroHeight="1" x14ac:dyDescent="0.25"/>
  <cols>
    <col min="1" max="1" width="2.77734375" style="165" customWidth="1"/>
    <col min="2" max="2" width="3.21875" style="165" customWidth="1"/>
    <col min="3" max="3" width="18.5546875" style="165" customWidth="1"/>
    <col min="4" max="4" width="18.21875" style="165" customWidth="1"/>
    <col min="5" max="5" width="2.5546875" style="165" customWidth="1"/>
    <col min="6" max="6" width="10.6640625" style="165" bestFit="1" customWidth="1"/>
    <col min="7" max="7" width="1.33203125" style="165" customWidth="1"/>
    <col min="8" max="8" width="9.33203125" style="165" customWidth="1"/>
    <col min="9" max="9" width="1.33203125" style="165" customWidth="1"/>
    <col min="10" max="10" width="10.88671875" style="165" customWidth="1"/>
    <col min="11" max="11" width="1.33203125" style="165" customWidth="1"/>
    <col min="12" max="12" width="8.77734375" style="165" customWidth="1"/>
    <col min="13" max="13" width="9.5546875" style="165" customWidth="1"/>
    <col min="14" max="14" width="8" style="165" customWidth="1"/>
    <col min="15" max="15" width="7.109375" style="165" customWidth="1"/>
    <col min="16" max="16" width="7.88671875" style="165" customWidth="1"/>
    <col min="17" max="21" width="6.77734375" style="165" customWidth="1"/>
    <col min="22" max="22" width="6.77734375" style="165" hidden="1" customWidth="1"/>
    <col min="23" max="30" width="0" style="165" hidden="1" customWidth="1"/>
    <col min="31" max="16384" width="7.109375" style="165" hidden="1"/>
  </cols>
  <sheetData>
    <row r="1" spans="2:15" ht="21" thickBot="1" x14ac:dyDescent="0.4">
      <c r="B1" s="435" t="s">
        <v>285</v>
      </c>
      <c r="C1" s="436"/>
      <c r="D1" s="436"/>
      <c r="E1" s="436"/>
      <c r="F1" s="436"/>
      <c r="G1" s="436"/>
      <c r="H1" s="436"/>
      <c r="I1" s="436"/>
      <c r="J1" s="436"/>
      <c r="K1" s="436"/>
      <c r="L1" s="437"/>
    </row>
    <row r="2" spans="2:15" ht="15.95" customHeight="1" x14ac:dyDescent="0.3">
      <c r="B2" s="236"/>
      <c r="C2" s="225"/>
      <c r="D2" s="225"/>
      <c r="E2" s="225"/>
      <c r="F2" s="225"/>
      <c r="G2" s="225"/>
      <c r="H2" s="225"/>
      <c r="I2" s="225"/>
      <c r="J2" s="225"/>
      <c r="K2" s="225"/>
      <c r="L2" s="237"/>
    </row>
    <row r="3" spans="2:15" ht="15.95" customHeight="1" x14ac:dyDescent="0.3">
      <c r="B3" s="238"/>
      <c r="C3" s="166"/>
      <c r="D3" s="166"/>
      <c r="E3" s="166"/>
      <c r="F3" s="438" t="s">
        <v>171</v>
      </c>
      <c r="G3" s="438"/>
      <c r="H3" s="438"/>
      <c r="I3" s="166"/>
      <c r="J3" s="438" t="s">
        <v>333</v>
      </c>
      <c r="K3" s="438"/>
      <c r="L3" s="439"/>
      <c r="O3" s="41"/>
    </row>
    <row r="4" spans="2:15" ht="15.95" customHeight="1" x14ac:dyDescent="0.3">
      <c r="B4" s="236"/>
      <c r="C4" s="225"/>
      <c r="D4" s="225"/>
      <c r="E4" s="225"/>
      <c r="F4" s="226" t="s">
        <v>45</v>
      </c>
      <c r="G4" s="227"/>
      <c r="H4" s="226" t="s">
        <v>324</v>
      </c>
      <c r="I4" s="225"/>
      <c r="J4" s="226" t="s">
        <v>45</v>
      </c>
      <c r="K4" s="227"/>
      <c r="L4" s="239" t="s">
        <v>324</v>
      </c>
    </row>
    <row r="5" spans="2:15" ht="15.95" customHeight="1" x14ac:dyDescent="0.3">
      <c r="B5" s="240" t="s">
        <v>223</v>
      </c>
      <c r="C5" s="166"/>
      <c r="D5" s="166"/>
      <c r="E5" s="166"/>
      <c r="F5" s="166"/>
      <c r="G5" s="166"/>
      <c r="H5" s="166"/>
      <c r="I5" s="166"/>
      <c r="J5" s="166"/>
      <c r="K5" s="166"/>
      <c r="L5" s="241"/>
    </row>
    <row r="6" spans="2:15" ht="15.95" customHeight="1" x14ac:dyDescent="0.3">
      <c r="B6" s="238"/>
      <c r="C6" s="166" t="str">
        <f>"Milk sales @ $"&amp;H53&amp;"/cwt"</f>
        <v>Milk sales @ $22.5/cwt</v>
      </c>
      <c r="D6" s="166"/>
      <c r="E6" s="166"/>
      <c r="F6" s="341">
        <f>H50*H53/100</f>
        <v>4499.9494312500001</v>
      </c>
      <c r="G6" s="341"/>
      <c r="H6" s="341">
        <f>F6/$H50*100</f>
        <v>22.5</v>
      </c>
      <c r="I6" s="341"/>
      <c r="J6" s="341">
        <f>J50*$J53/100</f>
        <v>5625</v>
      </c>
      <c r="K6" s="341"/>
      <c r="L6" s="342">
        <f>J6/J$50*100</f>
        <v>22.5</v>
      </c>
    </row>
    <row r="7" spans="2:15" ht="15.95" customHeight="1" x14ac:dyDescent="0.3">
      <c r="B7" s="238"/>
      <c r="C7" s="166" t="s">
        <v>172</v>
      </c>
      <c r="D7" s="166"/>
      <c r="E7" s="166"/>
      <c r="F7" s="341">
        <f>H50*H54/100</f>
        <v>0</v>
      </c>
      <c r="G7" s="341"/>
      <c r="H7" s="341">
        <f>F7/H$50*100</f>
        <v>0</v>
      </c>
      <c r="I7" s="341"/>
      <c r="J7" s="341">
        <f>J50*J54/100</f>
        <v>0</v>
      </c>
      <c r="K7" s="341"/>
      <c r="L7" s="342">
        <f>J7/J$50*100</f>
        <v>0</v>
      </c>
    </row>
    <row r="8" spans="2:15" ht="15.95" customHeight="1" x14ac:dyDescent="0.3">
      <c r="B8" s="238"/>
      <c r="C8" s="166" t="s">
        <v>173</v>
      </c>
      <c r="D8" s="166"/>
      <c r="E8" s="166"/>
      <c r="F8" s="341">
        <f>H50*H55/100</f>
        <v>0</v>
      </c>
      <c r="G8" s="341"/>
      <c r="H8" s="341">
        <f>F8/H$50*100</f>
        <v>0</v>
      </c>
      <c r="I8" s="341"/>
      <c r="J8" s="341">
        <f>J50*J55/100</f>
        <v>0</v>
      </c>
      <c r="K8" s="341"/>
      <c r="L8" s="342">
        <f>J8/J$50*100</f>
        <v>0</v>
      </c>
    </row>
    <row r="9" spans="2:15" ht="15.95" customHeight="1" x14ac:dyDescent="0.3">
      <c r="B9" s="238"/>
      <c r="C9" s="166" t="s">
        <v>239</v>
      </c>
      <c r="D9" s="166"/>
      <c r="E9" s="166"/>
      <c r="F9" s="341">
        <f>IF($H$77=0,$H$82*((Inputs!C29+Inputs!C32)/2),($J$82*Inputs!C29)+($L$82*Inputs!C32))</f>
        <v>264.5</v>
      </c>
      <c r="G9" s="341"/>
      <c r="H9" s="341">
        <f>F9/H$50*100</f>
        <v>1.3225148617607592</v>
      </c>
      <c r="I9" s="341"/>
      <c r="J9" s="341">
        <f>IF($H$77=0,$H$82*((Inputs!C29+Inputs!C32)/2),($J$82*Inputs!C29)+($L$82*Inputs!C32))</f>
        <v>264.5</v>
      </c>
      <c r="K9" s="341"/>
      <c r="L9" s="342">
        <f>J9/J$50*100</f>
        <v>1.0580000000000001</v>
      </c>
    </row>
    <row r="10" spans="2:15" ht="15.95" customHeight="1" x14ac:dyDescent="0.3">
      <c r="B10" s="238"/>
      <c r="C10" s="166" t="str">
        <f>"Cull cow sales: "&amp;H87&amp;" lbs. x "&amp;H85*100&amp;"% x $"&amp;H86&amp;"/cwt"</f>
        <v>Cull cow sales: 1450 lbs. x 27% x $128/cwt</v>
      </c>
      <c r="D10" s="166"/>
      <c r="E10" s="166"/>
      <c r="F10" s="343">
        <f>$H$87*$H$85*$H$86/100</f>
        <v>501.12</v>
      </c>
      <c r="G10" s="341"/>
      <c r="H10" s="343">
        <f>F10/H$50*100</f>
        <v>2.5056281569964147</v>
      </c>
      <c r="I10" s="341"/>
      <c r="J10" s="343">
        <f>$H$87*$H$85*$H$86/100</f>
        <v>501.12</v>
      </c>
      <c r="K10" s="341"/>
      <c r="L10" s="344">
        <f>J10/J$50*100</f>
        <v>2.00448</v>
      </c>
    </row>
    <row r="11" spans="2:15" ht="15.95" customHeight="1" x14ac:dyDescent="0.3">
      <c r="B11" s="238"/>
      <c r="C11" s="192"/>
      <c r="D11" s="242" t="s">
        <v>225</v>
      </c>
      <c r="E11" s="166"/>
      <c r="F11" s="345">
        <f>SUM(F6:F10)</f>
        <v>5265.56943125</v>
      </c>
      <c r="G11" s="253"/>
      <c r="H11" s="345">
        <f>SUM(H6:H10)</f>
        <v>26.328143018757174</v>
      </c>
      <c r="I11" s="253"/>
      <c r="J11" s="345">
        <f>SUM(J6:J10)</f>
        <v>6390.62</v>
      </c>
      <c r="K11" s="253"/>
      <c r="L11" s="346">
        <f>SUM(L6:L10)</f>
        <v>25.562480000000001</v>
      </c>
    </row>
    <row r="12" spans="2:15" ht="15.95" customHeight="1" x14ac:dyDescent="0.3">
      <c r="B12" s="238"/>
      <c r="C12" s="166"/>
      <c r="D12" s="166"/>
      <c r="E12" s="166"/>
      <c r="F12" s="253"/>
      <c r="G12" s="253"/>
      <c r="H12" s="253"/>
      <c r="I12" s="253"/>
      <c r="J12" s="341"/>
      <c r="K12" s="253"/>
      <c r="L12" s="254"/>
    </row>
    <row r="13" spans="2:15" ht="15.95" customHeight="1" x14ac:dyDescent="0.3">
      <c r="B13" s="240" t="s">
        <v>224</v>
      </c>
      <c r="C13" s="166"/>
      <c r="D13" s="166"/>
      <c r="E13" s="166"/>
      <c r="F13" s="253"/>
      <c r="G13" s="253"/>
      <c r="H13" s="253"/>
      <c r="I13" s="253"/>
      <c r="J13" s="341"/>
      <c r="K13" s="253"/>
      <c r="L13" s="254"/>
    </row>
    <row r="14" spans="2:15" ht="15.95" customHeight="1" x14ac:dyDescent="0.3">
      <c r="B14" s="238"/>
      <c r="C14" s="166" t="s">
        <v>20</v>
      </c>
      <c r="D14" s="166"/>
      <c r="E14" s="166"/>
      <c r="F14" s="341">
        <f>IF($H$77=0,'Cow Feed'!D19,'Cow Feed'!H19)</f>
        <v>2215.7931457985414</v>
      </c>
      <c r="G14" s="341"/>
      <c r="H14" s="341">
        <f t="shared" ref="H14:H20" si="0">F14/$H$50*100</f>
        <v>11.07909023026917</v>
      </c>
      <c r="I14" s="341"/>
      <c r="J14" s="341">
        <f>IF($H$77=0,'Cow Feed'!F19,'Cow Feed'!I19)</f>
        <v>2465.7755952857142</v>
      </c>
      <c r="K14" s="341"/>
      <c r="L14" s="342">
        <f>J14/J$50*100</f>
        <v>9.8631023811428555</v>
      </c>
    </row>
    <row r="15" spans="2:15" ht="15.95" customHeight="1" x14ac:dyDescent="0.3">
      <c r="B15" s="238"/>
      <c r="C15" s="166" t="s">
        <v>174</v>
      </c>
      <c r="D15" s="166"/>
      <c r="E15" s="166"/>
      <c r="F15" s="341">
        <f>($L59*$H79/H59)/$H81</f>
        <v>646.55172413793093</v>
      </c>
      <c r="G15" s="341"/>
      <c r="H15" s="341">
        <f t="shared" si="0"/>
        <v>3.2327949492228969</v>
      </c>
      <c r="I15" s="341"/>
      <c r="J15" s="341">
        <f>($L59*$H79/J59)/$H81</f>
        <v>646.55172413793093</v>
      </c>
      <c r="K15" s="341"/>
      <c r="L15" s="342">
        <f t="shared" ref="L15:L20" si="1">J15/$J$50*100</f>
        <v>2.5862068965517238</v>
      </c>
    </row>
    <row r="16" spans="2:15" ht="15.95" customHeight="1" x14ac:dyDescent="0.3">
      <c r="B16" s="238"/>
      <c r="C16" s="166" t="s">
        <v>1</v>
      </c>
      <c r="D16" s="166"/>
      <c r="E16" s="166"/>
      <c r="F16" s="341">
        <f>H60</f>
        <v>150</v>
      </c>
      <c r="G16" s="341"/>
      <c r="H16" s="341">
        <f t="shared" si="0"/>
        <v>0.75000842821971214</v>
      </c>
      <c r="I16" s="251"/>
      <c r="J16" s="251">
        <f>J60</f>
        <v>155</v>
      </c>
      <c r="K16" s="251"/>
      <c r="L16" s="347">
        <f t="shared" si="1"/>
        <v>0.62</v>
      </c>
    </row>
    <row r="17" spans="2:12" ht="15.95" customHeight="1" x14ac:dyDescent="0.3">
      <c r="B17" s="238"/>
      <c r="C17" s="166" t="s">
        <v>175</v>
      </c>
      <c r="D17" s="166"/>
      <c r="E17" s="166"/>
      <c r="F17" s="341">
        <f>H61+$L62/1000*H62*365</f>
        <v>65</v>
      </c>
      <c r="G17" s="341"/>
      <c r="H17" s="341">
        <f t="shared" si="0"/>
        <v>0.32500365222854194</v>
      </c>
      <c r="I17" s="251"/>
      <c r="J17" s="341">
        <f>J61+$L62/1000*J62*365</f>
        <v>80</v>
      </c>
      <c r="K17" s="251"/>
      <c r="L17" s="347">
        <f t="shared" si="1"/>
        <v>0.32</v>
      </c>
    </row>
    <row r="18" spans="2:12" ht="15.95" customHeight="1" x14ac:dyDescent="0.3">
      <c r="B18" s="238"/>
      <c r="C18" s="166" t="s">
        <v>176</v>
      </c>
      <c r="D18" s="166"/>
      <c r="E18" s="166"/>
      <c r="F18" s="341">
        <f>H63</f>
        <v>90</v>
      </c>
      <c r="G18" s="341"/>
      <c r="H18" s="341">
        <f t="shared" si="0"/>
        <v>0.45000505693182735</v>
      </c>
      <c r="I18" s="251"/>
      <c r="J18" s="251">
        <f>J63</f>
        <v>90</v>
      </c>
      <c r="K18" s="251"/>
      <c r="L18" s="347">
        <f t="shared" si="1"/>
        <v>0.36</v>
      </c>
    </row>
    <row r="19" spans="2:12" ht="15.95" customHeight="1" x14ac:dyDescent="0.3">
      <c r="B19" s="238"/>
      <c r="C19" s="166" t="s">
        <v>177</v>
      </c>
      <c r="D19" s="166"/>
      <c r="E19" s="166"/>
      <c r="F19" s="341">
        <f>H50*(H64+H65)/100</f>
        <v>369.99584212499997</v>
      </c>
      <c r="G19" s="341"/>
      <c r="H19" s="341">
        <f t="shared" si="0"/>
        <v>1.8499999999999999</v>
      </c>
      <c r="I19" s="251"/>
      <c r="J19" s="341">
        <f>J50*(J64+J65)/100</f>
        <v>462.5</v>
      </c>
      <c r="K19" s="251"/>
      <c r="L19" s="347">
        <f t="shared" si="1"/>
        <v>1.8499999999999999</v>
      </c>
    </row>
    <row r="20" spans="2:12" ht="15.95" customHeight="1" x14ac:dyDescent="0.3">
      <c r="B20" s="238"/>
      <c r="C20" s="166" t="s">
        <v>178</v>
      </c>
      <c r="D20" s="166"/>
      <c r="E20" s="166"/>
      <c r="F20" s="341">
        <f>H66*M131</f>
        <v>209.88678258983336</v>
      </c>
      <c r="G20" s="341"/>
      <c r="H20" s="341">
        <f t="shared" si="0"/>
        <v>1.0494457060952891</v>
      </c>
      <c r="I20" s="251"/>
      <c r="J20" s="251">
        <f>M131*$J$66</f>
        <v>209.88678258983336</v>
      </c>
      <c r="K20" s="251"/>
      <c r="L20" s="347">
        <f t="shared" si="1"/>
        <v>0.83954713035933348</v>
      </c>
    </row>
    <row r="21" spans="2:12" ht="15.95" customHeight="1" x14ac:dyDescent="0.3">
      <c r="B21" s="238"/>
      <c r="C21" s="166" t="s">
        <v>179</v>
      </c>
      <c r="D21" s="166"/>
      <c r="E21" s="166"/>
      <c r="F21" s="341"/>
      <c r="G21" s="341"/>
      <c r="H21" s="341"/>
      <c r="I21" s="251"/>
      <c r="J21" s="251"/>
      <c r="K21" s="251"/>
      <c r="L21" s="347"/>
    </row>
    <row r="22" spans="2:12" ht="15.95" customHeight="1" x14ac:dyDescent="0.3">
      <c r="B22" s="238"/>
      <c r="C22" s="440" t="s">
        <v>202</v>
      </c>
      <c r="D22" s="440"/>
      <c r="E22" s="166"/>
      <c r="F22" s="341">
        <f>H68</f>
        <v>0</v>
      </c>
      <c r="G22" s="341"/>
      <c r="H22" s="341">
        <f>F22/$H$50*100</f>
        <v>0</v>
      </c>
      <c r="I22" s="251"/>
      <c r="J22" s="251">
        <f>J68</f>
        <v>0</v>
      </c>
      <c r="K22" s="251"/>
      <c r="L22" s="347">
        <f>J22/$J$50*100</f>
        <v>0</v>
      </c>
    </row>
    <row r="23" spans="2:12" ht="15.95" customHeight="1" x14ac:dyDescent="0.3">
      <c r="B23" s="238"/>
      <c r="C23" s="166" t="s">
        <v>180</v>
      </c>
      <c r="D23" s="166"/>
      <c r="E23" s="166"/>
      <c r="F23" s="341">
        <f>L67*H67</f>
        <v>60</v>
      </c>
      <c r="G23" s="341"/>
      <c r="H23" s="341">
        <f>F23/$H$50*100</f>
        <v>0.3000033712878849</v>
      </c>
      <c r="I23" s="251"/>
      <c r="J23" s="251">
        <f>J67*L67</f>
        <v>60</v>
      </c>
      <c r="K23" s="251"/>
      <c r="L23" s="347">
        <f>J23/$J$50*100</f>
        <v>0.24</v>
      </c>
    </row>
    <row r="24" spans="2:12" ht="15.95" customHeight="1" x14ac:dyDescent="0.3">
      <c r="B24" s="238"/>
      <c r="C24" s="166" t="s">
        <v>181</v>
      </c>
      <c r="D24" s="166"/>
      <c r="E24" s="166"/>
      <c r="F24" s="341">
        <f>H71</f>
        <v>12</v>
      </c>
      <c r="G24" s="341"/>
      <c r="H24" s="341">
        <f>F24/$H$50*100</f>
        <v>6.0000674257576971E-2</v>
      </c>
      <c r="I24" s="341"/>
      <c r="J24" s="341">
        <f>J71</f>
        <v>12</v>
      </c>
      <c r="K24" s="341"/>
      <c r="L24" s="342">
        <f>J24/$J$50*100</f>
        <v>4.8000000000000001E-2</v>
      </c>
    </row>
    <row r="25" spans="2:12" ht="15.95" customHeight="1" x14ac:dyDescent="0.3">
      <c r="B25" s="238"/>
      <c r="C25" s="166" t="s">
        <v>238</v>
      </c>
      <c r="D25" s="166"/>
      <c r="E25" s="166"/>
      <c r="F25" s="341">
        <f>H72</f>
        <v>29.999662874999999</v>
      </c>
      <c r="G25" s="341"/>
      <c r="H25" s="341">
        <f>F25/$H$50*100</f>
        <v>0.15</v>
      </c>
      <c r="I25" s="341"/>
      <c r="J25" s="341">
        <f>J72</f>
        <v>37.5</v>
      </c>
      <c r="K25" s="341"/>
      <c r="L25" s="342">
        <f>J25/$J$50*100</f>
        <v>0.15</v>
      </c>
    </row>
    <row r="26" spans="2:12" ht="15.95" customHeight="1" x14ac:dyDescent="0.3">
      <c r="B26" s="238"/>
      <c r="C26" s="166" t="s">
        <v>237</v>
      </c>
      <c r="D26" s="166"/>
      <c r="E26" s="166"/>
      <c r="F26" s="251"/>
      <c r="G26" s="251"/>
      <c r="H26" s="251"/>
      <c r="I26" s="251"/>
      <c r="J26" s="251"/>
      <c r="K26" s="251"/>
      <c r="L26" s="347"/>
    </row>
    <row r="27" spans="2:12" ht="15.95" customHeight="1" x14ac:dyDescent="0.3">
      <c r="B27" s="238"/>
      <c r="C27" s="166" t="str">
        <f>"     (1/2 of selected operating costs x "&amp;Inputs!C36*100&amp;"%)"</f>
        <v xml:space="preserve">     (1/2 of selected operating costs x 7.75%)</v>
      </c>
      <c r="D27" s="166"/>
      <c r="E27" s="166"/>
      <c r="F27" s="343">
        <f>(SUM(F$14:F$18)+F$20+F$23+F$24+F$25)*(Inputs!C36/2)</f>
        <v>134.8202134718006</v>
      </c>
      <c r="G27" s="341"/>
      <c r="H27" s="343">
        <f>F27/$H$50*100</f>
        <v>0.67410864265487491</v>
      </c>
      <c r="I27" s="341"/>
      <c r="J27" s="343">
        <f>(SUM(J$14:J$18)+J$20+J$23+J$24+J$25)*(Inputs!C36/2)</f>
        <v>145.57267145302231</v>
      </c>
      <c r="K27" s="341"/>
      <c r="L27" s="344">
        <f>J27/$J$50*100</f>
        <v>0.5822906858120892</v>
      </c>
    </row>
    <row r="28" spans="2:12" ht="15.95" customHeight="1" x14ac:dyDescent="0.3">
      <c r="B28" s="238"/>
      <c r="C28" s="192"/>
      <c r="D28" s="242" t="s">
        <v>226</v>
      </c>
      <c r="E28" s="166"/>
      <c r="F28" s="250">
        <f>SUM(F14:F27)</f>
        <v>3984.0473709981065</v>
      </c>
      <c r="G28" s="251"/>
      <c r="H28" s="250">
        <f>SUM(H14:H27)</f>
        <v>19.92046071116777</v>
      </c>
      <c r="I28" s="251"/>
      <c r="J28" s="250">
        <f>SUM(J14:J27)</f>
        <v>4364.7867734665006</v>
      </c>
      <c r="K28" s="251"/>
      <c r="L28" s="252">
        <f>SUM(L14:L27)</f>
        <v>17.459147093865997</v>
      </c>
    </row>
    <row r="29" spans="2:12" ht="15.95" customHeight="1" x14ac:dyDescent="0.3">
      <c r="B29" s="238"/>
      <c r="C29" s="166"/>
      <c r="D29" s="166"/>
      <c r="E29" s="166"/>
      <c r="F29" s="253"/>
      <c r="G29" s="251"/>
      <c r="H29" s="253"/>
      <c r="I29" s="251"/>
      <c r="J29" s="251"/>
      <c r="K29" s="251"/>
      <c r="L29" s="347"/>
    </row>
    <row r="30" spans="2:12" ht="15.95" customHeight="1" x14ac:dyDescent="0.3">
      <c r="B30" s="240" t="s">
        <v>227</v>
      </c>
      <c r="C30" s="166"/>
      <c r="D30" s="166"/>
      <c r="E30" s="166"/>
      <c r="F30" s="253"/>
      <c r="G30" s="253"/>
      <c r="H30" s="253"/>
      <c r="I30" s="253"/>
      <c r="J30" s="253"/>
      <c r="K30" s="253"/>
      <c r="L30" s="254"/>
    </row>
    <row r="31" spans="2:12" ht="15.95" customHeight="1" x14ac:dyDescent="0.3">
      <c r="B31" s="238"/>
      <c r="C31" s="166" t="s">
        <v>182</v>
      </c>
      <c r="D31" s="166"/>
      <c r="E31" s="166"/>
      <c r="F31" s="341">
        <f>$N$141+$O$141</f>
        <v>469.99050129559015</v>
      </c>
      <c r="G31" s="251"/>
      <c r="H31" s="341">
        <f>F31/$H$50*100</f>
        <v>2.3499789143660013</v>
      </c>
      <c r="I31" s="251"/>
      <c r="J31" s="341">
        <f>$N$141+$O$141</f>
        <v>469.99050129559015</v>
      </c>
      <c r="K31" s="251"/>
      <c r="L31" s="342">
        <f>J31/$J$50*100</f>
        <v>1.8799620051823607</v>
      </c>
    </row>
    <row r="32" spans="2:12" ht="15.95" customHeight="1" x14ac:dyDescent="0.3">
      <c r="B32" s="238"/>
      <c r="C32" s="166" t="s">
        <v>183</v>
      </c>
      <c r="D32" s="166"/>
      <c r="E32" s="166"/>
      <c r="F32" s="341">
        <f>$N$138+$O$138</f>
        <v>328.35153556066086</v>
      </c>
      <c r="G32" s="341"/>
      <c r="H32" s="341">
        <f>F32/$H$50*100</f>
        <v>1.6417761272625346</v>
      </c>
      <c r="I32" s="341"/>
      <c r="J32" s="341">
        <f>$N$138+$O$138</f>
        <v>328.35153556066086</v>
      </c>
      <c r="K32" s="341"/>
      <c r="L32" s="342">
        <f>J32/$J$50*100</f>
        <v>1.3134061422426435</v>
      </c>
    </row>
    <row r="33" spans="2:26" ht="15.95" customHeight="1" x14ac:dyDescent="0.3">
      <c r="B33" s="238"/>
      <c r="C33" s="166" t="s">
        <v>235</v>
      </c>
      <c r="D33" s="166"/>
      <c r="E33" s="166"/>
      <c r="F33" s="341">
        <f>H69</f>
        <v>174.375</v>
      </c>
      <c r="G33" s="341"/>
      <c r="H33" s="341">
        <f>F33/$H$50*100</f>
        <v>0.87188479780541539</v>
      </c>
      <c r="I33" s="341"/>
      <c r="J33" s="341">
        <f>J69</f>
        <v>174.375</v>
      </c>
      <c r="K33" s="341"/>
      <c r="L33" s="342">
        <f>J33/$J$50*100</f>
        <v>0.69750000000000001</v>
      </c>
    </row>
    <row r="34" spans="2:26" ht="15.95" customHeight="1" x14ac:dyDescent="0.3">
      <c r="B34" s="238"/>
      <c r="C34" s="166" t="s">
        <v>236</v>
      </c>
      <c r="D34" s="166"/>
      <c r="E34" s="166"/>
      <c r="F34" s="348">
        <f>$N$139+$O$139+$N$140+$O$140+H70</f>
        <v>143.05039046408737</v>
      </c>
      <c r="G34" s="251"/>
      <c r="H34" s="343">
        <f>F34/$H$50*100</f>
        <v>0.71525999005457519</v>
      </c>
      <c r="I34" s="251"/>
      <c r="J34" s="348">
        <f>$N$139+$O$139+$N$140+$O$140+J70</f>
        <v>143.05039046408737</v>
      </c>
      <c r="K34" s="251"/>
      <c r="L34" s="344">
        <f>J34/$J$50*100</f>
        <v>0.57220156185634952</v>
      </c>
    </row>
    <row r="35" spans="2:26" ht="15.95" customHeight="1" x14ac:dyDescent="0.3">
      <c r="B35" s="238"/>
      <c r="C35" s="166"/>
      <c r="D35" s="242" t="s">
        <v>228</v>
      </c>
      <c r="E35" s="166"/>
      <c r="F35" s="250">
        <f>SUM(F31:F34)</f>
        <v>1115.7674273203384</v>
      </c>
      <c r="G35" s="251"/>
      <c r="H35" s="250">
        <f>SUM(H31:H34)</f>
        <v>5.5788998294885257</v>
      </c>
      <c r="I35" s="251"/>
      <c r="J35" s="250">
        <f>SUM(J31:J34)</f>
        <v>1115.7674273203384</v>
      </c>
      <c r="K35" s="251"/>
      <c r="L35" s="252">
        <f>SUM(L31:L34)</f>
        <v>4.4630697092813536</v>
      </c>
    </row>
    <row r="36" spans="2:26" ht="15.95" customHeight="1" x14ac:dyDescent="0.3">
      <c r="B36" s="238"/>
      <c r="C36" s="166"/>
      <c r="D36" s="166"/>
      <c r="E36" s="166"/>
      <c r="F36" s="251"/>
      <c r="G36" s="253"/>
      <c r="H36" s="251"/>
      <c r="I36" s="253"/>
      <c r="J36" s="251"/>
      <c r="K36" s="253"/>
      <c r="L36" s="254"/>
    </row>
    <row r="37" spans="2:26" ht="15.95" customHeight="1" x14ac:dyDescent="0.3">
      <c r="B37" s="240"/>
      <c r="C37" s="192"/>
      <c r="D37" s="242" t="s">
        <v>229</v>
      </c>
      <c r="E37" s="166"/>
      <c r="F37" s="250">
        <f>F28+F35</f>
        <v>5099.8147983184444</v>
      </c>
      <c r="G37" s="253"/>
      <c r="H37" s="250">
        <f>H28+H35</f>
        <v>25.499360540656298</v>
      </c>
      <c r="I37" s="253"/>
      <c r="J37" s="250">
        <f>J28+J35</f>
        <v>5480.5542007868389</v>
      </c>
      <c r="K37" s="253"/>
      <c r="L37" s="252">
        <f>L28+L35</f>
        <v>21.92221680314735</v>
      </c>
    </row>
    <row r="38" spans="2:26" ht="15.95" customHeight="1" x14ac:dyDescent="0.3">
      <c r="B38" s="246"/>
      <c r="C38" s="225"/>
      <c r="D38" s="225"/>
      <c r="E38" s="225"/>
      <c r="F38" s="255"/>
      <c r="G38" s="256"/>
      <c r="H38" s="255"/>
      <c r="I38" s="256"/>
      <c r="J38" s="255"/>
      <c r="K38" s="256"/>
      <c r="L38" s="257"/>
    </row>
    <row r="39" spans="2:26" ht="15.95" customHeight="1" x14ac:dyDescent="0.3">
      <c r="B39" s="238"/>
      <c r="C39" s="191" t="s">
        <v>269</v>
      </c>
      <c r="D39" s="166"/>
      <c r="E39" s="166"/>
      <c r="F39" s="250">
        <f>F11-F28</f>
        <v>1281.5220602518934</v>
      </c>
      <c r="G39" s="253"/>
      <c r="H39" s="250">
        <f>H11-H28</f>
        <v>6.407682307589404</v>
      </c>
      <c r="I39" s="253"/>
      <c r="J39" s="250">
        <f>J11-J28</f>
        <v>2025.8332265334993</v>
      </c>
      <c r="K39" s="253"/>
      <c r="L39" s="252">
        <f>L11-L28</f>
        <v>8.1033329061340034</v>
      </c>
    </row>
    <row r="40" spans="2:26" ht="15.95" customHeight="1" thickBot="1" x14ac:dyDescent="0.35">
      <c r="B40" s="247"/>
      <c r="C40" s="248" t="s">
        <v>270</v>
      </c>
      <c r="D40" s="249"/>
      <c r="E40" s="249"/>
      <c r="F40" s="258">
        <f>F11-F37</f>
        <v>165.75463293155553</v>
      </c>
      <c r="G40" s="259"/>
      <c r="H40" s="258">
        <f>H11-H37</f>
        <v>0.82878247810087657</v>
      </c>
      <c r="I40" s="259"/>
      <c r="J40" s="258">
        <f>J11-J37</f>
        <v>910.06579921316097</v>
      </c>
      <c r="K40" s="259"/>
      <c r="L40" s="260">
        <f>L11-L37</f>
        <v>3.6402631968526507</v>
      </c>
    </row>
    <row r="41" spans="2:26" ht="15.95" customHeight="1" x14ac:dyDescent="0.3">
      <c r="B41" s="192"/>
      <c r="C41" s="166"/>
      <c r="D41" s="166"/>
      <c r="E41" s="166"/>
      <c r="F41" s="166"/>
      <c r="G41" s="232"/>
      <c r="H41" s="166"/>
      <c r="I41" s="232"/>
      <c r="J41" s="229"/>
      <c r="K41" s="232"/>
      <c r="L41" s="166"/>
    </row>
    <row r="42" spans="2:26" ht="15.95" customHeight="1" x14ac:dyDescent="0.3">
      <c r="B42" s="233"/>
      <c r="C42" s="234"/>
      <c r="D42" s="166"/>
      <c r="E42" s="166"/>
      <c r="F42" s="166"/>
      <c r="G42" s="232"/>
      <c r="H42" s="166"/>
      <c r="I42" s="232"/>
      <c r="J42" s="229"/>
      <c r="K42" s="232"/>
      <c r="L42" s="235"/>
    </row>
    <row r="43" spans="2:26" ht="15.95" customHeight="1" x14ac:dyDescent="0.3">
      <c r="B43" s="176" t="s">
        <v>209</v>
      </c>
      <c r="C43" s="166"/>
      <c r="D43" s="166"/>
      <c r="E43" s="166"/>
      <c r="F43" s="166"/>
      <c r="G43" s="232"/>
      <c r="H43" s="166"/>
      <c r="I43" s="232"/>
      <c r="J43" s="229"/>
      <c r="K43" s="232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</row>
    <row r="44" spans="2:26" ht="15.95" customHeight="1" x14ac:dyDescent="0.3">
      <c r="B44" s="166"/>
      <c r="C44" s="177"/>
      <c r="D44" s="177"/>
      <c r="E44" s="166"/>
      <c r="F44" s="166"/>
      <c r="G44" s="192"/>
      <c r="H44" s="441" t="s">
        <v>17</v>
      </c>
      <c r="I44" s="441"/>
      <c r="J44" s="441"/>
      <c r="K44" s="230"/>
      <c r="L44" s="230"/>
      <c r="M44" s="177"/>
      <c r="N44" s="177"/>
      <c r="O44" s="177"/>
      <c r="P44" s="177"/>
      <c r="Q44" s="166"/>
      <c r="R44" s="166"/>
      <c r="S44" s="166"/>
      <c r="T44" s="177"/>
      <c r="U44" s="177"/>
      <c r="V44" s="166"/>
      <c r="W44" s="166"/>
      <c r="X44" s="166"/>
      <c r="Y44" s="166"/>
      <c r="Z44" s="166"/>
    </row>
    <row r="45" spans="2:26" ht="15.95" customHeight="1" x14ac:dyDescent="0.3">
      <c r="B45" s="176" t="s">
        <v>210</v>
      </c>
      <c r="C45" s="177"/>
      <c r="D45" s="177"/>
      <c r="E45" s="166"/>
      <c r="F45" s="195" t="s">
        <v>247</v>
      </c>
      <c r="G45" s="166"/>
      <c r="H45" s="312">
        <f>H50</f>
        <v>19999.775249999999</v>
      </c>
      <c r="I45" s="166"/>
      <c r="J45" s="312">
        <f>J50</f>
        <v>25000</v>
      </c>
      <c r="K45" s="166"/>
      <c r="L45" s="166"/>
      <c r="N45" s="186"/>
      <c r="O45" s="177"/>
      <c r="P45" s="177"/>
      <c r="Q45" s="261"/>
      <c r="R45" s="166"/>
      <c r="S45" s="166"/>
      <c r="T45" s="177"/>
      <c r="U45" s="177"/>
      <c r="V45" s="166"/>
      <c r="W45" s="166"/>
      <c r="X45" s="166"/>
      <c r="Y45" s="166"/>
      <c r="Z45" s="166"/>
    </row>
    <row r="46" spans="2:26" ht="15.95" customHeight="1" x14ac:dyDescent="0.3">
      <c r="B46" s="177"/>
      <c r="C46" s="177" t="s">
        <v>286</v>
      </c>
      <c r="D46" s="177"/>
      <c r="E46" s="166"/>
      <c r="F46" s="197" t="s">
        <v>272</v>
      </c>
      <c r="G46" s="166"/>
      <c r="H46" s="212">
        <v>65.454999999999998</v>
      </c>
      <c r="I46" s="166"/>
      <c r="J46" s="212">
        <v>78.545699999999997</v>
      </c>
      <c r="K46" s="166"/>
      <c r="L46" s="166"/>
      <c r="M46" s="177"/>
      <c r="N46" s="177"/>
      <c r="O46" s="177"/>
      <c r="P46" s="177"/>
      <c r="Q46" s="262"/>
      <c r="R46" s="166"/>
      <c r="S46" s="263"/>
      <c r="T46" s="177"/>
      <c r="U46" s="177"/>
      <c r="V46" s="166"/>
      <c r="W46" s="166"/>
      <c r="X46" s="166"/>
      <c r="Y46" s="166"/>
      <c r="Z46" s="166"/>
    </row>
    <row r="47" spans="2:26" ht="15.95" customHeight="1" x14ac:dyDescent="0.3">
      <c r="B47" s="177"/>
      <c r="C47" s="177" t="s">
        <v>287</v>
      </c>
      <c r="D47" s="177"/>
      <c r="E47" s="166"/>
      <c r="F47" s="197" t="s">
        <v>88</v>
      </c>
      <c r="G47" s="166"/>
      <c r="H47" s="216">
        <v>315</v>
      </c>
      <c r="I47" s="166"/>
      <c r="J47" s="216">
        <v>315</v>
      </c>
      <c r="K47" s="166"/>
      <c r="L47" s="166"/>
      <c r="M47" s="177"/>
      <c r="N47" s="177"/>
      <c r="O47" s="177"/>
      <c r="P47" s="177"/>
      <c r="Q47" s="177"/>
      <c r="R47" s="166"/>
      <c r="S47" s="177"/>
      <c r="T47" s="177"/>
      <c r="U47" s="177"/>
      <c r="V47" s="166"/>
      <c r="W47" s="166"/>
      <c r="X47" s="166"/>
      <c r="Y47" s="166"/>
      <c r="Z47" s="166"/>
    </row>
    <row r="48" spans="2:26" ht="15.95" customHeight="1" x14ac:dyDescent="0.3">
      <c r="B48" s="177"/>
      <c r="C48" s="177" t="s">
        <v>288</v>
      </c>
      <c r="D48" s="177"/>
      <c r="E48" s="166"/>
      <c r="F48" s="197" t="s">
        <v>272</v>
      </c>
      <c r="G48" s="166"/>
      <c r="H48" s="264">
        <f>H46*H47</f>
        <v>20618.325000000001</v>
      </c>
      <c r="I48" s="166"/>
      <c r="J48" s="264">
        <f>J46*J47</f>
        <v>24741.895499999999</v>
      </c>
      <c r="K48" s="166"/>
      <c r="L48" s="166"/>
      <c r="M48" s="177"/>
      <c r="N48" s="177"/>
      <c r="O48" s="177"/>
      <c r="P48" s="166"/>
      <c r="Q48" s="265"/>
      <c r="R48" s="166"/>
      <c r="S48" s="266"/>
      <c r="T48" s="177"/>
      <c r="U48" s="177"/>
      <c r="V48" s="166"/>
      <c r="W48" s="166"/>
      <c r="X48" s="166"/>
      <c r="Y48" s="166"/>
      <c r="Z48" s="166"/>
    </row>
    <row r="49" spans="2:26" ht="15.95" customHeight="1" x14ac:dyDescent="0.3">
      <c r="B49" s="177"/>
      <c r="C49" s="177" t="s">
        <v>325</v>
      </c>
      <c r="D49" s="177"/>
      <c r="E49" s="166"/>
      <c r="F49" s="197" t="s">
        <v>255</v>
      </c>
      <c r="G49" s="166"/>
      <c r="H49" s="194">
        <v>0.97</v>
      </c>
      <c r="I49" s="166"/>
      <c r="J49" s="194">
        <v>0.97</v>
      </c>
      <c r="K49" s="166"/>
      <c r="L49" s="166"/>
      <c r="M49" s="177"/>
      <c r="N49" s="177"/>
      <c r="O49" s="177"/>
      <c r="P49" s="166"/>
      <c r="Q49" s="267"/>
      <c r="R49" s="166"/>
      <c r="S49" s="267"/>
      <c r="T49" s="177"/>
      <c r="U49" s="177"/>
      <c r="V49" s="166"/>
      <c r="W49" s="166"/>
      <c r="X49" s="166"/>
      <c r="Y49" s="166"/>
      <c r="Z49" s="166"/>
    </row>
    <row r="50" spans="2:26" ht="15.95" customHeight="1" x14ac:dyDescent="0.3">
      <c r="B50" s="177"/>
      <c r="C50" s="177" t="s">
        <v>288</v>
      </c>
      <c r="D50" s="177"/>
      <c r="E50" s="166"/>
      <c r="F50" s="197" t="s">
        <v>289</v>
      </c>
      <c r="G50" s="166"/>
      <c r="H50" s="264">
        <f>H48*H49</f>
        <v>19999.775249999999</v>
      </c>
      <c r="I50" s="166"/>
      <c r="J50" s="264">
        <v>25000</v>
      </c>
      <c r="K50" s="166"/>
      <c r="L50" s="166"/>
      <c r="M50" s="177"/>
      <c r="N50" s="177"/>
      <c r="O50" s="177"/>
      <c r="P50" s="166"/>
      <c r="Q50" s="264"/>
      <c r="R50" s="166"/>
      <c r="S50" s="264"/>
      <c r="T50" s="177"/>
      <c r="U50" s="177"/>
      <c r="V50" s="166"/>
      <c r="W50" s="166"/>
      <c r="X50" s="166"/>
      <c r="Y50" s="166"/>
      <c r="Z50" s="166"/>
    </row>
    <row r="51" spans="2:26" ht="15.95" customHeight="1" x14ac:dyDescent="0.3">
      <c r="B51" s="177"/>
      <c r="C51" s="177" t="s">
        <v>290</v>
      </c>
      <c r="D51" s="177"/>
      <c r="E51" s="166"/>
      <c r="F51" s="197" t="s">
        <v>289</v>
      </c>
      <c r="G51" s="166"/>
      <c r="H51" s="264">
        <f>H50*$H79</f>
        <v>2599970.7824999997</v>
      </c>
      <c r="I51" s="166"/>
      <c r="J51" s="264">
        <f>J50*H79</f>
        <v>3250000</v>
      </c>
      <c r="K51" s="166"/>
      <c r="L51" s="166"/>
      <c r="M51" s="177"/>
      <c r="N51" s="177"/>
      <c r="O51" s="177"/>
      <c r="P51" s="166"/>
      <c r="Q51" s="268"/>
      <c r="R51" s="166"/>
      <c r="S51" s="268"/>
      <c r="T51" s="177"/>
      <c r="U51" s="177"/>
      <c r="V51" s="166"/>
      <c r="W51" s="166"/>
      <c r="X51" s="166"/>
      <c r="Y51" s="166"/>
      <c r="Z51" s="166"/>
    </row>
    <row r="52" spans="2:26" ht="15.95" customHeight="1" x14ac:dyDescent="0.3">
      <c r="B52" s="177"/>
      <c r="C52" s="177" t="s">
        <v>291</v>
      </c>
      <c r="D52" s="177"/>
      <c r="E52" s="166"/>
      <c r="F52" s="197" t="s">
        <v>289</v>
      </c>
      <c r="G52" s="166"/>
      <c r="H52" s="264">
        <f>H51/12</f>
        <v>216664.23187499997</v>
      </c>
      <c r="I52" s="166"/>
      <c r="J52" s="264">
        <f>J51/12</f>
        <v>270833.33333333331</v>
      </c>
      <c r="K52" s="166"/>
      <c r="L52" s="166"/>
      <c r="M52" s="177"/>
      <c r="N52" s="177"/>
      <c r="O52" s="177"/>
      <c r="P52" s="166"/>
      <c r="Q52" s="264"/>
      <c r="R52" s="166"/>
      <c r="S52" s="264"/>
      <c r="T52" s="177"/>
      <c r="U52" s="177"/>
      <c r="V52" s="166"/>
      <c r="W52" s="166"/>
      <c r="X52" s="166"/>
      <c r="Y52" s="166"/>
      <c r="Z52" s="166"/>
    </row>
    <row r="53" spans="2:26" ht="15.95" customHeight="1" x14ac:dyDescent="0.3">
      <c r="B53" s="177"/>
      <c r="C53" s="177" t="s">
        <v>292</v>
      </c>
      <c r="D53" s="177"/>
      <c r="E53" s="166"/>
      <c r="F53" s="167" t="s">
        <v>252</v>
      </c>
      <c r="G53" s="166"/>
      <c r="H53" s="221">
        <f>Inputs!C26</f>
        <v>22.5</v>
      </c>
      <c r="I53" s="166"/>
      <c r="J53" s="221">
        <f>Inputs!C26</f>
        <v>22.5</v>
      </c>
      <c r="K53" s="166"/>
      <c r="L53" s="166"/>
      <c r="M53" s="177"/>
      <c r="N53" s="177"/>
      <c r="O53" s="177"/>
      <c r="P53" s="166"/>
      <c r="Q53" s="166"/>
      <c r="R53" s="166"/>
      <c r="S53" s="166"/>
      <c r="T53" s="177"/>
      <c r="U53" s="177"/>
      <c r="V53" s="166"/>
      <c r="W53" s="166"/>
      <c r="X53" s="166"/>
      <c r="Y53" s="166"/>
      <c r="Z53" s="166"/>
    </row>
    <row r="54" spans="2:26" ht="15.95" customHeight="1" x14ac:dyDescent="0.3">
      <c r="B54" s="177"/>
      <c r="C54" s="177" t="s">
        <v>172</v>
      </c>
      <c r="D54" s="177"/>
      <c r="E54" s="166"/>
      <c r="F54" s="167" t="s">
        <v>252</v>
      </c>
      <c r="G54" s="166"/>
      <c r="H54" s="210">
        <v>0</v>
      </c>
      <c r="I54" s="166" t="s">
        <v>233</v>
      </c>
      <c r="J54" s="210">
        <v>0</v>
      </c>
      <c r="K54" s="166"/>
      <c r="L54" s="166"/>
      <c r="M54" s="177"/>
      <c r="N54" s="177"/>
      <c r="O54" s="177"/>
      <c r="P54" s="166"/>
      <c r="Q54" s="264"/>
      <c r="R54" s="166"/>
      <c r="S54" s="264"/>
      <c r="T54" s="177"/>
      <c r="U54" s="177"/>
      <c r="V54" s="166"/>
      <c r="W54" s="166"/>
      <c r="X54" s="166"/>
      <c r="Y54" s="166"/>
      <c r="Z54" s="166"/>
    </row>
    <row r="55" spans="2:26" ht="15.95" customHeight="1" x14ac:dyDescent="0.3">
      <c r="B55" s="177"/>
      <c r="C55" s="177" t="s">
        <v>293</v>
      </c>
      <c r="D55" s="177"/>
      <c r="E55" s="166"/>
      <c r="F55" s="167" t="s">
        <v>252</v>
      </c>
      <c r="G55" s="166"/>
      <c r="H55" s="210">
        <v>0</v>
      </c>
      <c r="I55" s="166" t="s">
        <v>233</v>
      </c>
      <c r="J55" s="210">
        <v>0</v>
      </c>
      <c r="K55" s="166"/>
      <c r="L55" s="166"/>
      <c r="M55" s="269"/>
      <c r="N55" s="177"/>
      <c r="O55" s="177"/>
      <c r="P55" s="166"/>
      <c r="Q55" s="166"/>
      <c r="R55" s="166"/>
      <c r="S55" s="166"/>
      <c r="T55" s="166"/>
      <c r="U55" s="177"/>
      <c r="V55" s="166"/>
      <c r="W55" s="166"/>
      <c r="X55" s="166"/>
      <c r="Y55" s="166"/>
      <c r="Z55" s="166"/>
    </row>
    <row r="56" spans="2:26" ht="15.95" customHeight="1" x14ac:dyDescent="0.3">
      <c r="B56" s="177"/>
      <c r="C56" s="177"/>
      <c r="D56" s="177"/>
      <c r="E56" s="270"/>
      <c r="F56" s="166"/>
      <c r="G56" s="166"/>
      <c r="H56" s="166"/>
      <c r="I56" s="166"/>
      <c r="J56" s="166"/>
      <c r="K56" s="166"/>
      <c r="L56" s="166"/>
      <c r="M56" s="177"/>
      <c r="N56" s="177"/>
      <c r="O56" s="177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</row>
    <row r="57" spans="2:26" ht="15.95" customHeight="1" x14ac:dyDescent="0.3">
      <c r="B57" s="177"/>
      <c r="C57" s="177"/>
      <c r="D57" s="177"/>
      <c r="E57" s="270"/>
      <c r="F57" s="166"/>
      <c r="G57" s="166"/>
      <c r="H57" s="441" t="s">
        <v>17</v>
      </c>
      <c r="I57" s="441"/>
      <c r="J57" s="441"/>
      <c r="K57" s="166"/>
      <c r="L57" s="166"/>
      <c r="M57" s="177"/>
      <c r="N57" s="177"/>
      <c r="O57" s="177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</row>
    <row r="58" spans="2:26" ht="15.95" customHeight="1" x14ac:dyDescent="0.3">
      <c r="B58" s="176" t="s">
        <v>211</v>
      </c>
      <c r="C58" s="177"/>
      <c r="D58" s="281"/>
      <c r="E58" s="177"/>
      <c r="F58" s="195" t="s">
        <v>247</v>
      </c>
      <c r="G58" s="166"/>
      <c r="H58" s="312">
        <f>H45</f>
        <v>19999.775249999999</v>
      </c>
      <c r="I58" s="166"/>
      <c r="J58" s="312">
        <f>J45</f>
        <v>25000</v>
      </c>
      <c r="K58" s="166"/>
      <c r="L58" s="186" t="s">
        <v>75</v>
      </c>
      <c r="M58" s="195" t="s">
        <v>247</v>
      </c>
      <c r="N58" s="166"/>
      <c r="O58" s="166"/>
      <c r="P58" s="166"/>
      <c r="Q58" s="269"/>
      <c r="R58" s="166"/>
      <c r="S58" s="166"/>
      <c r="T58" s="166"/>
      <c r="U58" s="166"/>
      <c r="V58" s="166"/>
      <c r="W58" s="166"/>
      <c r="X58" s="166"/>
      <c r="Y58" s="166"/>
      <c r="Z58" s="166"/>
    </row>
    <row r="59" spans="2:26" ht="15.95" customHeight="1" x14ac:dyDescent="0.3">
      <c r="B59" s="177"/>
      <c r="C59" s="177" t="s">
        <v>208</v>
      </c>
      <c r="E59" s="166"/>
      <c r="F59" s="197" t="s">
        <v>295</v>
      </c>
      <c r="G59" s="166"/>
      <c r="H59" s="216">
        <v>70</v>
      </c>
      <c r="I59" s="166"/>
      <c r="J59" s="216">
        <v>70</v>
      </c>
      <c r="K59" s="166"/>
      <c r="L59" s="315">
        <v>52500</v>
      </c>
      <c r="M59" s="167" t="s">
        <v>309</v>
      </c>
      <c r="N59" s="166"/>
      <c r="O59" s="166"/>
      <c r="P59" s="166"/>
      <c r="Q59" s="166"/>
      <c r="R59" s="166"/>
      <c r="S59" s="166"/>
      <c r="T59" s="177"/>
      <c r="U59" s="166"/>
      <c r="V59" s="166"/>
      <c r="W59" s="166"/>
      <c r="X59" s="166"/>
      <c r="Y59" s="166"/>
      <c r="Z59" s="166"/>
    </row>
    <row r="60" spans="2:26" ht="15.95" customHeight="1" x14ac:dyDescent="0.3">
      <c r="B60" s="177"/>
      <c r="C60" s="177" t="s">
        <v>302</v>
      </c>
      <c r="D60" s="166"/>
      <c r="E60" s="166"/>
      <c r="F60" s="197" t="s">
        <v>294</v>
      </c>
      <c r="G60" s="166"/>
      <c r="H60" s="210">
        <v>150</v>
      </c>
      <c r="I60" s="166"/>
      <c r="J60" s="210">
        <v>155</v>
      </c>
      <c r="M60" s="316"/>
      <c r="N60" s="267"/>
      <c r="O60" s="264"/>
      <c r="P60" s="166"/>
      <c r="Q60" s="166"/>
      <c r="R60" s="166"/>
      <c r="S60" s="271"/>
      <c r="T60" s="177"/>
      <c r="U60" s="177"/>
      <c r="V60" s="166"/>
      <c r="W60" s="166"/>
      <c r="X60" s="166"/>
      <c r="Y60" s="166"/>
      <c r="Z60" s="166"/>
    </row>
    <row r="61" spans="2:26" ht="15.95" customHeight="1" x14ac:dyDescent="0.3">
      <c r="B61" s="177"/>
      <c r="C61" s="177" t="s">
        <v>296</v>
      </c>
      <c r="E61" s="166"/>
      <c r="F61" s="197" t="s">
        <v>294</v>
      </c>
      <c r="G61" s="166"/>
      <c r="H61" s="210">
        <v>65</v>
      </c>
      <c r="I61" s="166"/>
      <c r="J61" s="210">
        <v>80</v>
      </c>
      <c r="M61" s="316"/>
      <c r="N61" s="272"/>
      <c r="O61" s="268"/>
      <c r="P61" s="166"/>
      <c r="Q61" s="166"/>
      <c r="R61" s="166"/>
      <c r="S61" s="265"/>
      <c r="T61" s="177"/>
      <c r="U61" s="177"/>
      <c r="V61" s="166"/>
      <c r="W61" s="166"/>
      <c r="X61" s="166"/>
      <c r="Y61" s="166"/>
      <c r="Z61" s="166"/>
    </row>
    <row r="62" spans="2:26" ht="15.95" customHeight="1" x14ac:dyDescent="0.3">
      <c r="B62" s="177"/>
      <c r="C62" s="177" t="s">
        <v>297</v>
      </c>
      <c r="E62" s="166"/>
      <c r="F62" s="197" t="s">
        <v>298</v>
      </c>
      <c r="G62" s="166"/>
      <c r="H62" s="193">
        <v>50</v>
      </c>
      <c r="I62" s="166"/>
      <c r="J62" s="193">
        <v>60</v>
      </c>
      <c r="L62" s="391">
        <v>0</v>
      </c>
      <c r="M62" s="167" t="s">
        <v>330</v>
      </c>
      <c r="N62" s="177"/>
      <c r="O62" s="273"/>
      <c r="P62" s="166"/>
      <c r="Q62" s="166"/>
      <c r="R62" s="166"/>
      <c r="S62" s="266"/>
      <c r="T62" s="177"/>
      <c r="U62" s="177"/>
      <c r="V62" s="166"/>
      <c r="W62" s="166"/>
      <c r="X62" s="166"/>
      <c r="Y62" s="166"/>
      <c r="Z62" s="166"/>
    </row>
    <row r="63" spans="2:26" ht="15.95" customHeight="1" x14ac:dyDescent="0.3">
      <c r="B63" s="177"/>
      <c r="C63" s="177" t="s">
        <v>299</v>
      </c>
      <c r="D63" s="166"/>
      <c r="E63" s="166"/>
      <c r="F63" s="197" t="s">
        <v>294</v>
      </c>
      <c r="G63" s="166"/>
      <c r="H63" s="210">
        <v>90</v>
      </c>
      <c r="I63" s="221"/>
      <c r="J63" s="210">
        <v>90</v>
      </c>
      <c r="M63" s="177"/>
      <c r="N63" s="273"/>
      <c r="O63" s="273"/>
      <c r="P63" s="166"/>
      <c r="Q63" s="271"/>
      <c r="R63" s="166"/>
      <c r="S63" s="265"/>
      <c r="T63" s="177"/>
      <c r="U63" s="177"/>
      <c r="V63" s="166"/>
      <c r="W63" s="166"/>
      <c r="X63" s="166"/>
      <c r="Y63" s="166"/>
      <c r="Z63" s="166"/>
    </row>
    <row r="64" spans="2:26" ht="15.95" customHeight="1" x14ac:dyDescent="0.3">
      <c r="B64" s="177"/>
      <c r="C64" s="177" t="s">
        <v>300</v>
      </c>
      <c r="D64" s="166"/>
      <c r="E64" s="166"/>
      <c r="F64" s="167" t="s">
        <v>252</v>
      </c>
      <c r="G64" s="166"/>
      <c r="H64" s="210">
        <v>1.7</v>
      </c>
      <c r="I64" s="221"/>
      <c r="J64" s="210">
        <v>1.7</v>
      </c>
      <c r="M64" s="177"/>
      <c r="N64" s="166"/>
      <c r="O64" s="222"/>
      <c r="P64" s="166"/>
      <c r="Q64" s="265"/>
      <c r="R64" s="166"/>
      <c r="S64" s="265"/>
      <c r="T64" s="177"/>
      <c r="U64" s="177"/>
      <c r="V64" s="166"/>
      <c r="W64" s="166"/>
      <c r="X64" s="166"/>
      <c r="Y64" s="166"/>
      <c r="Z64" s="166"/>
    </row>
    <row r="65" spans="2:26" ht="15.95" customHeight="1" x14ac:dyDescent="0.3">
      <c r="B65" s="177"/>
      <c r="C65" s="177" t="s">
        <v>301</v>
      </c>
      <c r="D65" s="166"/>
      <c r="E65" s="166"/>
      <c r="F65" s="167" t="s">
        <v>252</v>
      </c>
      <c r="G65" s="166"/>
      <c r="H65" s="210">
        <v>0.15</v>
      </c>
      <c r="I65" s="221"/>
      <c r="J65" s="220">
        <f>+H65</f>
        <v>0.15</v>
      </c>
      <c r="M65" s="177"/>
      <c r="N65" s="166"/>
      <c r="O65" s="177"/>
      <c r="P65" s="166"/>
      <c r="Q65" s="265"/>
      <c r="R65" s="166"/>
      <c r="S65" s="265"/>
      <c r="T65" s="177"/>
      <c r="U65" s="177"/>
      <c r="V65" s="166"/>
      <c r="W65" s="166"/>
      <c r="X65" s="166"/>
      <c r="Y65" s="166"/>
      <c r="Z65" s="166"/>
    </row>
    <row r="66" spans="2:26" ht="15.95" customHeight="1" x14ac:dyDescent="0.3">
      <c r="B66" s="177"/>
      <c r="C66" s="177" t="s">
        <v>28</v>
      </c>
      <c r="E66" s="166"/>
      <c r="F66" s="167" t="s">
        <v>255</v>
      </c>
      <c r="G66" s="166"/>
      <c r="H66" s="194">
        <v>2.75E-2</v>
      </c>
      <c r="I66" s="166"/>
      <c r="J66" s="194">
        <v>2.75E-2</v>
      </c>
      <c r="K66" s="166"/>
      <c r="L66" s="184"/>
      <c r="M66" s="177"/>
      <c r="N66" s="177"/>
      <c r="O66" s="177"/>
      <c r="P66" s="166"/>
      <c r="Q66" s="274"/>
      <c r="R66" s="166"/>
      <c r="S66" s="274"/>
      <c r="T66" s="177"/>
      <c r="U66" s="177"/>
      <c r="V66" s="166"/>
      <c r="W66" s="166"/>
      <c r="X66" s="166"/>
      <c r="Y66" s="166"/>
      <c r="Z66" s="166"/>
    </row>
    <row r="67" spans="2:26" ht="15.95" customHeight="1" x14ac:dyDescent="0.3">
      <c r="B67" s="177"/>
      <c r="C67" s="177" t="s">
        <v>306</v>
      </c>
      <c r="E67" s="166"/>
      <c r="F67" s="314" t="s">
        <v>307</v>
      </c>
      <c r="G67" s="166"/>
      <c r="H67" s="210">
        <v>20</v>
      </c>
      <c r="I67" s="166"/>
      <c r="J67" s="210">
        <v>20</v>
      </c>
      <c r="L67" s="212">
        <v>3</v>
      </c>
      <c r="M67" s="167" t="s">
        <v>308</v>
      </c>
      <c r="N67" s="177"/>
      <c r="O67" s="418"/>
      <c r="P67" s="166"/>
      <c r="Q67" s="271"/>
      <c r="R67" s="166"/>
      <c r="S67" s="271"/>
      <c r="T67" s="177"/>
      <c r="U67" s="177"/>
      <c r="V67" s="166"/>
      <c r="W67" s="166"/>
      <c r="X67" s="166"/>
      <c r="Y67" s="166"/>
      <c r="Z67" s="166"/>
    </row>
    <row r="68" spans="2:26" ht="15.95" customHeight="1" x14ac:dyDescent="0.3">
      <c r="B68" s="177"/>
      <c r="C68" s="177" t="s">
        <v>305</v>
      </c>
      <c r="D68" s="166"/>
      <c r="E68" s="166"/>
      <c r="F68" s="197" t="s">
        <v>294</v>
      </c>
      <c r="G68" s="166"/>
      <c r="H68" s="313">
        <f>IF(H77=1,0,H76*H89)</f>
        <v>0</v>
      </c>
      <c r="I68" s="221"/>
      <c r="J68" s="313">
        <f>IF(H77=1,0,H76*H89)</f>
        <v>0</v>
      </c>
      <c r="M68" s="166"/>
      <c r="N68" s="166"/>
      <c r="O68" s="177"/>
      <c r="P68" s="166"/>
      <c r="Q68" s="188"/>
      <c r="R68" s="166"/>
      <c r="S68" s="188"/>
      <c r="T68" s="177"/>
      <c r="U68" s="177"/>
      <c r="V68" s="166"/>
      <c r="W68" s="166"/>
      <c r="X68" s="166"/>
      <c r="Y68" s="166"/>
      <c r="Z68" s="166"/>
    </row>
    <row r="69" spans="2:26" ht="15.95" customHeight="1" x14ac:dyDescent="0.3">
      <c r="B69" s="177"/>
      <c r="C69" s="177" t="s">
        <v>303</v>
      </c>
      <c r="D69" s="166"/>
      <c r="E69" s="166"/>
      <c r="F69" s="197" t="s">
        <v>294</v>
      </c>
      <c r="G69" s="166"/>
      <c r="H69" s="222">
        <f>H76*Inputs!C36</f>
        <v>174.375</v>
      </c>
      <c r="I69" s="221"/>
      <c r="J69" s="222">
        <f>H78*Inputs!C36</f>
        <v>174.375</v>
      </c>
      <c r="M69" s="177"/>
      <c r="N69" s="166"/>
      <c r="O69" s="177"/>
      <c r="P69" s="166"/>
      <c r="Q69" s="188"/>
      <c r="R69" s="166"/>
      <c r="S69" s="188"/>
      <c r="T69" s="177"/>
      <c r="U69" s="177"/>
      <c r="V69" s="166"/>
      <c r="W69" s="166"/>
      <c r="X69" s="166"/>
      <c r="Y69" s="166"/>
      <c r="Z69" s="166"/>
    </row>
    <row r="70" spans="2:26" ht="15.95" customHeight="1" x14ac:dyDescent="0.3">
      <c r="B70" s="177"/>
      <c r="C70" s="177" t="s">
        <v>304</v>
      </c>
      <c r="D70" s="166"/>
      <c r="E70" s="166"/>
      <c r="F70" s="197" t="s">
        <v>294</v>
      </c>
      <c r="G70" s="166"/>
      <c r="H70" s="222">
        <f>H78*Inputs!C35</f>
        <v>22.5</v>
      </c>
      <c r="I70" s="221"/>
      <c r="J70" s="222">
        <f>H78*Inputs!C35</f>
        <v>22.5</v>
      </c>
      <c r="M70" s="177"/>
      <c r="N70" s="177"/>
      <c r="O70" s="177"/>
      <c r="P70" s="166"/>
      <c r="Q70" s="188"/>
      <c r="R70" s="166"/>
      <c r="S70" s="188"/>
      <c r="T70" s="177"/>
      <c r="U70" s="177"/>
      <c r="V70" s="166"/>
      <c r="W70" s="166"/>
      <c r="X70" s="166"/>
      <c r="Y70" s="166"/>
      <c r="Z70" s="166"/>
    </row>
    <row r="71" spans="2:26" ht="15.95" customHeight="1" x14ac:dyDescent="0.3">
      <c r="B71" s="177"/>
      <c r="C71" s="177" t="s">
        <v>5</v>
      </c>
      <c r="D71" s="166"/>
      <c r="E71" s="166"/>
      <c r="F71" s="197" t="s">
        <v>294</v>
      </c>
      <c r="G71" s="166"/>
      <c r="H71" s="212">
        <v>12</v>
      </c>
      <c r="I71" s="166"/>
      <c r="J71" s="212">
        <v>12</v>
      </c>
      <c r="M71" s="177"/>
      <c r="N71" s="177"/>
      <c r="O71" s="177"/>
      <c r="P71" s="166"/>
      <c r="Q71" s="265"/>
      <c r="R71" s="166"/>
      <c r="S71" s="265"/>
      <c r="T71" s="177"/>
      <c r="U71" s="177"/>
      <c r="V71" s="166"/>
      <c r="W71" s="166"/>
      <c r="X71" s="166"/>
      <c r="Y71" s="166"/>
      <c r="Z71" s="166"/>
    </row>
    <row r="72" spans="2:26" ht="15.95" customHeight="1" x14ac:dyDescent="0.3">
      <c r="B72" s="177"/>
      <c r="C72" s="177" t="s">
        <v>238</v>
      </c>
      <c r="D72" s="166"/>
      <c r="E72" s="166"/>
      <c r="F72" s="197" t="s">
        <v>294</v>
      </c>
      <c r="G72" s="166"/>
      <c r="H72" s="212">
        <f>0.15*(H45/100)</f>
        <v>29.999662874999999</v>
      </c>
      <c r="I72" s="166"/>
      <c r="J72" s="212">
        <f>0.15*(J45/100)</f>
        <v>37.5</v>
      </c>
      <c r="M72" s="177"/>
      <c r="N72" s="177"/>
      <c r="O72" s="177"/>
      <c r="P72" s="166"/>
      <c r="Q72" s="265"/>
      <c r="R72" s="166"/>
      <c r="S72" s="265"/>
      <c r="T72" s="177"/>
      <c r="U72" s="177"/>
      <c r="V72" s="166"/>
      <c r="W72" s="166"/>
      <c r="X72" s="166"/>
      <c r="Y72" s="166"/>
      <c r="Z72" s="166"/>
    </row>
    <row r="73" spans="2:26" ht="15.95" customHeight="1" x14ac:dyDescent="0.3">
      <c r="B73" s="177"/>
      <c r="C73" s="177"/>
      <c r="D73" s="166"/>
      <c r="E73" s="180"/>
      <c r="F73" s="182"/>
      <c r="G73" s="182"/>
      <c r="H73" s="182"/>
      <c r="I73" s="182"/>
      <c r="J73" s="182"/>
      <c r="K73" s="177"/>
      <c r="L73" s="177"/>
      <c r="M73" s="177"/>
      <c r="N73" s="177"/>
      <c r="O73" s="177"/>
      <c r="P73" s="177"/>
      <c r="Q73" s="177"/>
      <c r="R73" s="177"/>
      <c r="S73" s="177"/>
      <c r="T73" s="166"/>
      <c r="U73" s="166"/>
      <c r="V73" s="166"/>
      <c r="W73" s="166"/>
      <c r="X73" s="166"/>
      <c r="Y73" s="166"/>
      <c r="Z73" s="166"/>
    </row>
    <row r="74" spans="2:26" ht="15.95" customHeight="1" x14ac:dyDescent="0.3">
      <c r="B74" s="176" t="s">
        <v>318</v>
      </c>
      <c r="C74" s="166"/>
      <c r="D74" s="177"/>
      <c r="E74" s="276"/>
      <c r="F74" s="195" t="s">
        <v>247</v>
      </c>
      <c r="G74" s="166"/>
      <c r="H74" s="166"/>
      <c r="I74" s="166"/>
      <c r="J74" s="166"/>
      <c r="K74" s="177"/>
      <c r="L74" s="177"/>
      <c r="M74" s="177"/>
      <c r="N74" s="177"/>
      <c r="O74" s="177"/>
      <c r="P74" s="177"/>
      <c r="Q74" s="177"/>
      <c r="R74" s="177"/>
      <c r="S74" s="177"/>
      <c r="T74" s="166"/>
      <c r="U74" s="166"/>
      <c r="V74" s="166"/>
      <c r="W74" s="166"/>
      <c r="X74" s="166"/>
      <c r="Y74" s="166"/>
      <c r="Z74" s="166"/>
    </row>
    <row r="75" spans="2:26" ht="15.95" customHeight="1" x14ac:dyDescent="0.3">
      <c r="B75" s="177"/>
      <c r="C75" s="177" t="s">
        <v>7</v>
      </c>
      <c r="D75" s="177"/>
      <c r="E75" s="166"/>
      <c r="F75" s="197" t="s">
        <v>294</v>
      </c>
      <c r="G75" s="166"/>
      <c r="H75" s="279">
        <f>H76</f>
        <v>2250</v>
      </c>
      <c r="I75" s="166"/>
      <c r="J75" s="166"/>
      <c r="K75" s="166"/>
      <c r="L75" s="166"/>
      <c r="M75" s="166"/>
      <c r="N75" s="177"/>
      <c r="O75" s="177"/>
      <c r="P75" s="166"/>
      <c r="Q75" s="188"/>
      <c r="R75" s="184"/>
      <c r="S75" s="188"/>
      <c r="T75" s="166"/>
      <c r="U75" s="177"/>
      <c r="V75" s="177"/>
      <c r="W75" s="166"/>
      <c r="X75" s="166"/>
      <c r="Y75" s="166"/>
      <c r="Z75" s="166"/>
    </row>
    <row r="76" spans="2:26" ht="15.95" customHeight="1" x14ac:dyDescent="0.3">
      <c r="B76" s="177"/>
      <c r="C76" s="177" t="s">
        <v>8</v>
      </c>
      <c r="D76" s="177"/>
      <c r="E76" s="166"/>
      <c r="F76" s="197" t="s">
        <v>253</v>
      </c>
      <c r="G76" s="166"/>
      <c r="H76" s="279">
        <f>Inputs!C34</f>
        <v>2250</v>
      </c>
      <c r="I76" s="166"/>
      <c r="J76" s="166"/>
      <c r="K76" s="166"/>
      <c r="L76" s="166"/>
      <c r="M76" s="166"/>
      <c r="N76" s="166"/>
      <c r="O76" s="177"/>
      <c r="P76" s="166"/>
      <c r="Q76" s="274"/>
      <c r="R76" s="277"/>
      <c r="S76" s="274"/>
      <c r="T76" s="166"/>
      <c r="U76" s="166"/>
      <c r="V76" s="166"/>
      <c r="W76" s="166"/>
      <c r="X76" s="166"/>
      <c r="Y76" s="166"/>
      <c r="Z76" s="166"/>
    </row>
    <row r="77" spans="2:26" ht="15.95" customHeight="1" x14ac:dyDescent="0.3">
      <c r="B77" s="177"/>
      <c r="C77" s="177" t="s">
        <v>54</v>
      </c>
      <c r="D77" s="177"/>
      <c r="E77" s="166"/>
      <c r="F77" s="166"/>
      <c r="G77" s="166"/>
      <c r="H77" s="216">
        <v>1</v>
      </c>
      <c r="I77" s="166"/>
      <c r="J77" s="166"/>
      <c r="K77" s="166"/>
      <c r="L77" s="166"/>
      <c r="M77" s="166"/>
      <c r="N77" s="166"/>
      <c r="O77" s="177"/>
      <c r="P77" s="166"/>
      <c r="Q77" s="177"/>
      <c r="R77" s="187"/>
      <c r="S77" s="166"/>
      <c r="T77" s="166"/>
      <c r="U77" s="166"/>
      <c r="V77" s="166"/>
      <c r="W77" s="166"/>
      <c r="X77" s="166"/>
      <c r="Y77" s="166"/>
      <c r="Z77" s="166"/>
    </row>
    <row r="78" spans="2:26" ht="15.95" customHeight="1" x14ac:dyDescent="0.3">
      <c r="B78" s="177"/>
      <c r="C78" s="177" t="s">
        <v>9</v>
      </c>
      <c r="D78" s="177"/>
      <c r="E78" s="166"/>
      <c r="F78" s="166"/>
      <c r="G78" s="166"/>
      <c r="H78" s="279">
        <f>H75*(1-H84)+H76*H84</f>
        <v>2250</v>
      </c>
      <c r="I78" s="166"/>
      <c r="J78" s="166"/>
      <c r="K78" s="166"/>
      <c r="L78" s="166"/>
      <c r="M78" s="166"/>
      <c r="N78" s="166"/>
      <c r="O78" s="177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</row>
    <row r="79" spans="2:26" ht="15.95" customHeight="1" x14ac:dyDescent="0.3">
      <c r="B79" s="177"/>
      <c r="C79" s="177" t="s">
        <v>31</v>
      </c>
      <c r="D79" s="177"/>
      <c r="E79" s="166"/>
      <c r="F79" s="197" t="s">
        <v>317</v>
      </c>
      <c r="G79" s="166"/>
      <c r="H79" s="193">
        <v>130</v>
      </c>
      <c r="I79" s="166"/>
      <c r="J79" s="278"/>
      <c r="K79" s="166"/>
      <c r="L79" s="166"/>
      <c r="M79" s="166"/>
      <c r="N79" s="177"/>
      <c r="O79" s="177"/>
      <c r="P79" s="166"/>
      <c r="Q79" s="166"/>
      <c r="R79" s="187"/>
      <c r="S79" s="278"/>
      <c r="T79" s="166"/>
      <c r="U79" s="177"/>
      <c r="V79" s="177"/>
      <c r="W79" s="166"/>
      <c r="X79" s="166"/>
      <c r="Y79" s="166"/>
      <c r="Z79" s="166"/>
    </row>
    <row r="80" spans="2:26" ht="15.95" customHeight="1" x14ac:dyDescent="0.3">
      <c r="B80" s="177"/>
      <c r="C80" s="177" t="s">
        <v>152</v>
      </c>
      <c r="D80" s="166"/>
      <c r="E80" s="166"/>
      <c r="F80" s="197" t="s">
        <v>255</v>
      </c>
      <c r="G80" s="166"/>
      <c r="H80" s="194">
        <v>0.16</v>
      </c>
      <c r="I80" s="166"/>
      <c r="J80" s="278"/>
      <c r="K80" s="166"/>
      <c r="L80" s="166"/>
      <c r="M80" s="166"/>
      <c r="N80" s="177"/>
      <c r="O80" s="177"/>
      <c r="P80" s="166"/>
      <c r="Q80" s="166"/>
      <c r="R80" s="187"/>
      <c r="S80" s="278"/>
      <c r="T80" s="166"/>
      <c r="U80" s="177"/>
      <c r="V80" s="177"/>
      <c r="W80" s="166"/>
      <c r="X80" s="166"/>
      <c r="Y80" s="166"/>
      <c r="Z80" s="166"/>
    </row>
    <row r="81" spans="2:26" ht="15.95" customHeight="1" x14ac:dyDescent="0.3">
      <c r="B81" s="177"/>
      <c r="C81" s="177" t="s">
        <v>40</v>
      </c>
      <c r="D81" s="177"/>
      <c r="E81" s="166"/>
      <c r="F81" s="197" t="s">
        <v>317</v>
      </c>
      <c r="G81" s="166"/>
      <c r="H81" s="166">
        <f>+H79+(H80*H79)</f>
        <v>150.80000000000001</v>
      </c>
      <c r="I81" s="166"/>
      <c r="J81" s="322">
        <f>H81/H79</f>
        <v>1.1600000000000001</v>
      </c>
      <c r="K81" s="323"/>
      <c r="L81" s="323"/>
      <c r="M81" s="166"/>
      <c r="N81" s="177"/>
      <c r="O81" s="177"/>
      <c r="P81" s="166"/>
      <c r="Q81" s="166"/>
      <c r="R81" s="166"/>
      <c r="S81" s="279"/>
      <c r="T81" s="166"/>
      <c r="U81" s="177"/>
      <c r="V81" s="177"/>
      <c r="W81" s="166"/>
      <c r="X81" s="166"/>
      <c r="Y81" s="166"/>
      <c r="Z81" s="166"/>
    </row>
    <row r="82" spans="2:26" ht="15.95" customHeight="1" x14ac:dyDescent="0.3">
      <c r="B82" s="177"/>
      <c r="C82" s="177" t="s">
        <v>53</v>
      </c>
      <c r="D82" s="177"/>
      <c r="E82" s="166"/>
      <c r="F82" s="165" t="s">
        <v>255</v>
      </c>
      <c r="H82" s="194">
        <v>0.95</v>
      </c>
      <c r="I82" s="166"/>
      <c r="J82" s="322">
        <f>IF(H77=1,H82/2,H82)</f>
        <v>0.47499999999999998</v>
      </c>
      <c r="K82" s="323"/>
      <c r="L82" s="324">
        <f>IF(H77=1,H82/2-H89,H82)</f>
        <v>0.14499999999999996</v>
      </c>
      <c r="M82" s="166"/>
      <c r="N82" s="177"/>
      <c r="O82" s="177"/>
      <c r="P82" s="166"/>
      <c r="Q82" s="166"/>
      <c r="R82" s="166"/>
      <c r="S82" s="166"/>
      <c r="T82" s="166"/>
      <c r="U82" s="177"/>
      <c r="V82" s="177"/>
      <c r="W82" s="166"/>
      <c r="X82" s="166"/>
      <c r="Y82" s="166"/>
      <c r="Z82" s="166"/>
    </row>
    <row r="83" spans="2:26" ht="15.95" customHeight="1" x14ac:dyDescent="0.3">
      <c r="B83" s="166"/>
      <c r="C83" s="177" t="s">
        <v>60</v>
      </c>
      <c r="D83" s="281"/>
      <c r="E83" s="166"/>
      <c r="F83" s="166"/>
      <c r="G83" s="166"/>
      <c r="H83" s="282"/>
      <c r="I83" s="166"/>
      <c r="J83" s="166"/>
      <c r="K83" s="166"/>
      <c r="L83" s="166"/>
      <c r="M83" s="166"/>
      <c r="N83" s="177"/>
      <c r="O83" s="177"/>
      <c r="P83" s="166"/>
      <c r="Q83" s="166"/>
      <c r="R83" s="282"/>
      <c r="S83" s="166"/>
      <c r="T83" s="177"/>
      <c r="U83" s="177"/>
      <c r="V83" s="177"/>
      <c r="W83" s="166"/>
      <c r="X83" s="166"/>
      <c r="Y83" s="166"/>
      <c r="Z83" s="166"/>
    </row>
    <row r="84" spans="2:26" ht="15.95" customHeight="1" x14ac:dyDescent="0.3">
      <c r="B84" s="177"/>
      <c r="C84" s="177" t="s">
        <v>311</v>
      </c>
      <c r="D84" s="166"/>
      <c r="E84" s="166"/>
      <c r="F84" s="197" t="s">
        <v>255</v>
      </c>
      <c r="G84" s="166"/>
      <c r="H84" s="194">
        <v>0.06</v>
      </c>
      <c r="I84" s="166"/>
      <c r="J84" s="166"/>
      <c r="K84" s="166"/>
      <c r="L84" s="166"/>
      <c r="M84" s="166"/>
      <c r="N84" s="177"/>
      <c r="O84" s="177"/>
      <c r="P84" s="166"/>
      <c r="Q84" s="166"/>
      <c r="R84" s="180"/>
      <c r="S84" s="166"/>
      <c r="T84" s="177"/>
      <c r="U84" s="177"/>
      <c r="V84" s="177"/>
      <c r="W84" s="166"/>
      <c r="X84" s="166"/>
      <c r="Y84" s="166"/>
      <c r="Z84" s="166"/>
    </row>
    <row r="85" spans="2:26" ht="15.95" customHeight="1" x14ac:dyDescent="0.3">
      <c r="B85" s="177"/>
      <c r="C85" s="177" t="s">
        <v>310</v>
      </c>
      <c r="D85" s="166"/>
      <c r="E85" s="166"/>
      <c r="F85" s="197" t="s">
        <v>255</v>
      </c>
      <c r="G85" s="166"/>
      <c r="H85" s="194">
        <v>0.27</v>
      </c>
      <c r="I85" s="166"/>
      <c r="J85" s="166"/>
      <c r="K85" s="166"/>
      <c r="L85" s="166"/>
      <c r="M85" s="166"/>
      <c r="N85" s="177"/>
      <c r="O85" s="177"/>
      <c r="P85" s="166"/>
      <c r="Q85" s="166"/>
      <c r="R85" s="180"/>
      <c r="S85" s="166"/>
      <c r="T85" s="177"/>
      <c r="U85" s="177"/>
      <c r="V85" s="177"/>
      <c r="W85" s="166"/>
      <c r="X85" s="166"/>
      <c r="Y85" s="166"/>
      <c r="Z85" s="166"/>
    </row>
    <row r="86" spans="2:26" ht="15.95" customHeight="1" x14ac:dyDescent="0.3">
      <c r="B86" s="177"/>
      <c r="C86" s="177" t="s">
        <v>312</v>
      </c>
      <c r="D86" s="166"/>
      <c r="E86" s="166"/>
      <c r="F86" s="197" t="s">
        <v>252</v>
      </c>
      <c r="G86" s="166"/>
      <c r="H86" s="221">
        <f>Inputs!C33</f>
        <v>128</v>
      </c>
      <c r="I86" s="166"/>
      <c r="J86" s="166"/>
      <c r="K86" s="166"/>
      <c r="L86" s="166"/>
      <c r="M86" s="166"/>
      <c r="N86" s="177"/>
      <c r="O86" s="177"/>
      <c r="P86" s="166"/>
      <c r="Q86" s="166"/>
      <c r="R86" s="270"/>
      <c r="S86" s="166"/>
      <c r="T86" s="177"/>
      <c r="U86" s="177"/>
      <c r="V86" s="177"/>
      <c r="W86" s="166"/>
      <c r="X86" s="166"/>
      <c r="Y86" s="166"/>
      <c r="Z86" s="166"/>
    </row>
    <row r="87" spans="2:26" ht="15.95" customHeight="1" x14ac:dyDescent="0.3">
      <c r="B87" s="177"/>
      <c r="C87" s="177" t="s">
        <v>315</v>
      </c>
      <c r="D87" s="166"/>
      <c r="E87" s="166"/>
      <c r="F87" s="197" t="s">
        <v>313</v>
      </c>
      <c r="G87" s="166"/>
      <c r="H87" s="193">
        <v>1450</v>
      </c>
      <c r="I87" s="166"/>
      <c r="J87" s="166"/>
      <c r="K87" s="166"/>
      <c r="L87" s="166"/>
      <c r="M87" s="166"/>
      <c r="N87" s="177"/>
      <c r="O87" s="177"/>
      <c r="P87" s="166"/>
      <c r="Q87" s="166"/>
      <c r="R87" s="179"/>
      <c r="S87" s="166"/>
      <c r="T87" s="177"/>
      <c r="U87" s="177"/>
      <c r="V87" s="177"/>
      <c r="W87" s="166"/>
      <c r="X87" s="166"/>
      <c r="Y87" s="166"/>
      <c r="Z87" s="166"/>
    </row>
    <row r="88" spans="2:26" ht="15.95" customHeight="1" x14ac:dyDescent="0.3">
      <c r="B88" s="177"/>
      <c r="C88" s="177" t="s">
        <v>10</v>
      </c>
      <c r="D88" s="177"/>
      <c r="E88" s="166"/>
      <c r="F88" s="197" t="s">
        <v>314</v>
      </c>
      <c r="G88" s="166"/>
      <c r="H88" s="317">
        <f>H86/100*H87</f>
        <v>1856</v>
      </c>
      <c r="I88" s="166"/>
      <c r="J88" s="166"/>
      <c r="K88" s="166"/>
      <c r="L88" s="166"/>
      <c r="M88" s="166"/>
      <c r="N88" s="177"/>
      <c r="O88" s="177"/>
      <c r="P88" s="166"/>
      <c r="Q88" s="177"/>
      <c r="R88" s="188"/>
      <c r="S88" s="177"/>
      <c r="T88" s="177"/>
      <c r="U88" s="177"/>
      <c r="V88" s="177"/>
      <c r="W88" s="166"/>
      <c r="X88" s="166"/>
      <c r="Y88" s="166"/>
      <c r="Z88" s="166"/>
    </row>
    <row r="89" spans="2:26" ht="15.95" customHeight="1" x14ac:dyDescent="0.3">
      <c r="B89" s="177"/>
      <c r="C89" s="177" t="s">
        <v>316</v>
      </c>
      <c r="D89" s="177"/>
      <c r="E89" s="166"/>
      <c r="F89" s="197" t="s">
        <v>255</v>
      </c>
      <c r="G89" s="166"/>
      <c r="H89" s="280">
        <f>H84+H85</f>
        <v>0.33</v>
      </c>
      <c r="I89" s="166"/>
      <c r="J89" s="166"/>
      <c r="K89" s="166"/>
      <c r="L89" s="166"/>
      <c r="M89" s="166"/>
      <c r="N89" s="177"/>
      <c r="O89" s="177"/>
      <c r="P89" s="166"/>
      <c r="Q89" s="283" t="str">
        <f>IF(H89&lt;(H84+H85),"  Herd size is declining!","")</f>
        <v/>
      </c>
      <c r="R89" s="180"/>
      <c r="S89" s="177"/>
      <c r="T89" s="177"/>
      <c r="U89" s="177"/>
      <c r="V89" s="177"/>
      <c r="W89" s="166"/>
      <c r="X89" s="166"/>
      <c r="Y89" s="166"/>
      <c r="Z89" s="166"/>
    </row>
    <row r="90" spans="2:26" ht="15.95" customHeight="1" x14ac:dyDescent="0.3">
      <c r="B90" s="177"/>
      <c r="C90" s="177"/>
      <c r="D90" s="177"/>
      <c r="E90" s="166"/>
      <c r="F90" s="180"/>
      <c r="G90" s="283"/>
      <c r="H90" s="166"/>
      <c r="I90" s="180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66"/>
      <c r="U90" s="166"/>
      <c r="V90" s="166"/>
      <c r="W90" s="166"/>
      <c r="X90" s="166"/>
      <c r="Y90" s="166"/>
      <c r="Z90" s="166"/>
    </row>
    <row r="91" spans="2:26" ht="15.95" customHeight="1" x14ac:dyDescent="0.3">
      <c r="B91" s="393" t="str">
        <f>LEFT(J91,42)&amp;FIXED(H79,0,TRUE)&amp;" lactating cows)"</f>
        <v>Land, Building and Equipment Investment (130 lactating cows)</v>
      </c>
      <c r="C91" s="225"/>
      <c r="D91" s="284"/>
      <c r="E91" s="284"/>
      <c r="F91" s="284"/>
      <c r="G91" s="225"/>
      <c r="H91" s="225"/>
      <c r="I91" s="225"/>
      <c r="J91" s="285" t="s">
        <v>319</v>
      </c>
      <c r="K91" s="284"/>
      <c r="L91" s="284"/>
      <c r="M91" s="284"/>
      <c r="N91" s="284"/>
      <c r="O91" s="284"/>
      <c r="P91" s="284"/>
      <c r="Q91" s="284"/>
      <c r="R91" s="284"/>
      <c r="S91" s="284"/>
      <c r="T91" s="225"/>
      <c r="U91" s="225"/>
      <c r="V91" s="166"/>
      <c r="W91" s="166"/>
      <c r="X91" s="166"/>
      <c r="Y91" s="166"/>
      <c r="Z91" s="166"/>
    </row>
    <row r="92" spans="2:26" ht="15.95" customHeight="1" x14ac:dyDescent="0.3">
      <c r="B92" s="275"/>
      <c r="C92" s="166"/>
      <c r="D92" s="166"/>
      <c r="E92" s="166"/>
      <c r="J92" s="356"/>
      <c r="K92" s="356"/>
      <c r="L92" s="356"/>
      <c r="M92" s="397" t="s">
        <v>134</v>
      </c>
      <c r="N92" s="356" t="s">
        <v>134</v>
      </c>
      <c r="O92" s="356" t="s">
        <v>77</v>
      </c>
      <c r="P92" s="397" t="s">
        <v>74</v>
      </c>
      <c r="Q92" s="397"/>
      <c r="R92" s="397"/>
      <c r="S92" s="397"/>
      <c r="T92" s="397"/>
      <c r="U92" s="397"/>
      <c r="V92" s="166"/>
      <c r="W92" s="166"/>
      <c r="X92" s="166"/>
      <c r="Y92" s="166"/>
      <c r="Z92" s="166"/>
    </row>
    <row r="93" spans="2:26" ht="15.95" customHeight="1" x14ac:dyDescent="0.3">
      <c r="C93" s="177" t="s">
        <v>320</v>
      </c>
      <c r="D93" s="166"/>
      <c r="E93" s="166"/>
      <c r="F93" s="399" t="s">
        <v>331</v>
      </c>
      <c r="G93" s="398"/>
      <c r="H93" s="398" t="s">
        <v>247</v>
      </c>
      <c r="I93" s="398"/>
      <c r="J93" s="400" t="s">
        <v>332</v>
      </c>
      <c r="K93" s="400"/>
      <c r="L93" s="406" t="s">
        <v>18</v>
      </c>
      <c r="M93" s="406" t="s">
        <v>154</v>
      </c>
      <c r="N93" s="400" t="s">
        <v>135</v>
      </c>
      <c r="O93" s="400" t="s">
        <v>76</v>
      </c>
      <c r="P93" s="406" t="s">
        <v>75</v>
      </c>
      <c r="Q93" s="407" t="s">
        <v>78</v>
      </c>
      <c r="R93" s="407" t="s">
        <v>79</v>
      </c>
      <c r="S93" s="407" t="s">
        <v>24</v>
      </c>
      <c r="T93" s="407" t="s">
        <v>80</v>
      </c>
      <c r="U93" s="407" t="s">
        <v>18</v>
      </c>
      <c r="V93" s="166"/>
      <c r="W93" s="166"/>
      <c r="X93" s="166"/>
      <c r="Y93" s="166"/>
      <c r="Z93" s="166"/>
    </row>
    <row r="94" spans="2:26" ht="15.95" customHeight="1" x14ac:dyDescent="0.3">
      <c r="B94" s="275"/>
      <c r="C94" s="166" t="s">
        <v>158</v>
      </c>
      <c r="D94" s="166"/>
      <c r="E94" s="166"/>
      <c r="F94" s="216">
        <v>4</v>
      </c>
      <c r="G94" s="166"/>
      <c r="H94" s="166" t="s">
        <v>159</v>
      </c>
      <c r="I94" s="166"/>
      <c r="J94" s="193">
        <v>4800</v>
      </c>
      <c r="K94" s="166"/>
      <c r="L94" s="263">
        <f>F94*J94</f>
        <v>19200</v>
      </c>
      <c r="M94" s="279">
        <f>+L94/H$81</f>
        <v>127.32095490716179</v>
      </c>
      <c r="N94" s="279">
        <f>+L94/H79</f>
        <v>147.69230769230768</v>
      </c>
      <c r="O94" s="216">
        <v>20</v>
      </c>
      <c r="P94" s="194">
        <v>1</v>
      </c>
      <c r="Q94" s="289">
        <f>(M94*(1-P94)/O94)</f>
        <v>0</v>
      </c>
      <c r="R94" s="289">
        <f>((M94+M94*P94)/2*F138)</f>
        <v>9.8673740053050381</v>
      </c>
      <c r="S94" s="289">
        <f>M94*F139</f>
        <v>0</v>
      </c>
      <c r="T94" s="289">
        <f>M94*F140</f>
        <v>0.63660477453580899</v>
      </c>
      <c r="U94" s="290">
        <f>+Q94+R94+S94+T94</f>
        <v>10.503978779840846</v>
      </c>
      <c r="V94" s="166"/>
      <c r="W94" s="166"/>
      <c r="X94" s="166"/>
      <c r="Y94" s="166"/>
      <c r="Z94" s="166"/>
    </row>
    <row r="95" spans="2:26" ht="15.95" customHeight="1" x14ac:dyDescent="0.3">
      <c r="B95" s="177"/>
      <c r="C95" s="177" t="s">
        <v>32</v>
      </c>
      <c r="D95" s="166"/>
      <c r="E95" s="166"/>
      <c r="F95" s="177"/>
      <c r="G95" s="166"/>
      <c r="H95" s="166"/>
      <c r="I95" s="166"/>
      <c r="J95" s="179"/>
      <c r="K95" s="166"/>
      <c r="L95" s="263"/>
      <c r="M95" s="279"/>
      <c r="N95" s="279"/>
      <c r="O95" s="166"/>
      <c r="P95" s="177"/>
      <c r="Q95" s="166"/>
      <c r="R95" s="166"/>
      <c r="S95" s="166"/>
      <c r="T95" s="166"/>
      <c r="U95" s="166"/>
      <c r="V95" s="166"/>
      <c r="W95" s="166"/>
      <c r="X95" s="166"/>
      <c r="Y95" s="166"/>
      <c r="Z95" s="166"/>
    </row>
    <row r="96" spans="2:26" ht="15.95" customHeight="1" x14ac:dyDescent="0.3">
      <c r="B96" s="177"/>
      <c r="C96" s="177" t="s">
        <v>33</v>
      </c>
      <c r="D96" s="166"/>
      <c r="E96" s="166"/>
      <c r="F96" s="279">
        <f>H79</f>
        <v>130</v>
      </c>
      <c r="G96" s="166"/>
      <c r="H96" s="166" t="s">
        <v>34</v>
      </c>
      <c r="I96" s="166"/>
      <c r="J96" s="193">
        <v>3000</v>
      </c>
      <c r="K96" s="166"/>
      <c r="L96" s="263">
        <f>F96*J96</f>
        <v>390000</v>
      </c>
      <c r="M96" s="279">
        <f>+L96/H$81</f>
        <v>2586.2068965517237</v>
      </c>
      <c r="N96" s="279">
        <f>+L96/H$79</f>
        <v>3000</v>
      </c>
      <c r="O96" s="216">
        <v>15</v>
      </c>
      <c r="P96" s="194">
        <v>0.1</v>
      </c>
      <c r="Q96" s="289">
        <f>(M96*(1-P96)/O96)</f>
        <v>155.17241379310343</v>
      </c>
      <c r="R96" s="289">
        <f>((M96+M96*P96)/2*$H$138)</f>
        <v>110.23706896551722</v>
      </c>
      <c r="S96" s="289">
        <f>M96*$H$139</f>
        <v>6.4655172413793096</v>
      </c>
      <c r="T96" s="289">
        <f>M96*$H$140</f>
        <v>38.793103448275858</v>
      </c>
      <c r="U96" s="290">
        <f t="shared" ref="U96:U101" si="2">+Q96+R96+S96+T96</f>
        <v>310.66810344827582</v>
      </c>
      <c r="V96" s="166"/>
      <c r="W96" s="166"/>
      <c r="X96" s="166"/>
      <c r="Y96" s="166"/>
      <c r="Z96" s="166"/>
    </row>
    <row r="97" spans="2:26" ht="15.95" customHeight="1" x14ac:dyDescent="0.3">
      <c r="B97" s="177"/>
      <c r="C97" s="177" t="s">
        <v>35</v>
      </c>
      <c r="D97" s="166"/>
      <c r="E97" s="166"/>
      <c r="F97" s="216">
        <v>0</v>
      </c>
      <c r="G97" s="166"/>
      <c r="H97" s="166" t="s">
        <v>36</v>
      </c>
      <c r="I97" s="166"/>
      <c r="J97" s="193">
        <v>500</v>
      </c>
      <c r="K97" s="166"/>
      <c r="L97" s="263">
        <f>F97*J97</f>
        <v>0</v>
      </c>
      <c r="M97" s="279">
        <f>+L97/H$81</f>
        <v>0</v>
      </c>
      <c r="N97" s="279">
        <f>+L97/H$79</f>
        <v>0</v>
      </c>
      <c r="O97" s="216">
        <v>15</v>
      </c>
      <c r="P97" s="194">
        <v>0.1</v>
      </c>
      <c r="Q97" s="289">
        <f>(M97*(1-P97)/O97)</f>
        <v>0</v>
      </c>
      <c r="R97" s="289">
        <f>((M97+M97*P97)/2*$H$138)</f>
        <v>0</v>
      </c>
      <c r="S97" s="289">
        <f>M97*$H$139</f>
        <v>0</v>
      </c>
      <c r="T97" s="289">
        <f>M97*$H$140</f>
        <v>0</v>
      </c>
      <c r="U97" s="290">
        <f t="shared" si="2"/>
        <v>0</v>
      </c>
      <c r="V97" s="166"/>
      <c r="W97" s="166"/>
      <c r="X97" s="166"/>
      <c r="Y97" s="166"/>
      <c r="Z97" s="166"/>
    </row>
    <row r="98" spans="2:26" ht="15.95" customHeight="1" x14ac:dyDescent="0.3">
      <c r="B98" s="177"/>
      <c r="C98" s="177" t="s">
        <v>37</v>
      </c>
      <c r="D98" s="166"/>
      <c r="E98" s="166"/>
      <c r="F98" s="216">
        <v>0</v>
      </c>
      <c r="G98" s="166"/>
      <c r="H98" s="166" t="s">
        <v>36</v>
      </c>
      <c r="I98" s="166"/>
      <c r="J98" s="193">
        <v>300</v>
      </c>
      <c r="K98" s="166"/>
      <c r="L98" s="263">
        <f>F98*J98</f>
        <v>0</v>
      </c>
      <c r="M98" s="279">
        <f>+L98/H$81</f>
        <v>0</v>
      </c>
      <c r="N98" s="279">
        <f>+L98/H$79</f>
        <v>0</v>
      </c>
      <c r="O98" s="216">
        <v>15</v>
      </c>
      <c r="P98" s="194">
        <v>0.1</v>
      </c>
      <c r="Q98" s="289">
        <f>(M98*(1-P98)/O98)</f>
        <v>0</v>
      </c>
      <c r="R98" s="289">
        <f>((M98+M98*P98)/2*$H$138)</f>
        <v>0</v>
      </c>
      <c r="S98" s="289">
        <f>M98*$H$139</f>
        <v>0</v>
      </c>
      <c r="T98" s="289">
        <f>M98*$H$140</f>
        <v>0</v>
      </c>
      <c r="U98" s="290">
        <f t="shared" si="2"/>
        <v>0</v>
      </c>
      <c r="V98" s="166"/>
      <c r="W98" s="166"/>
      <c r="X98" s="166"/>
      <c r="Y98" s="166"/>
      <c r="Z98" s="166"/>
    </row>
    <row r="99" spans="2:26" ht="15.95" customHeight="1" x14ac:dyDescent="0.3">
      <c r="B99" s="177"/>
      <c r="C99" s="177" t="s">
        <v>38</v>
      </c>
      <c r="D99" s="166"/>
      <c r="E99" s="166"/>
      <c r="F99" s="166"/>
      <c r="G99" s="166"/>
      <c r="H99" s="166"/>
      <c r="I99" s="166"/>
      <c r="J99" s="277"/>
      <c r="K99" s="166"/>
      <c r="L99" s="193">
        <v>5000</v>
      </c>
      <c r="M99" s="279">
        <f>+L99/H$81</f>
        <v>33.156498673740053</v>
      </c>
      <c r="N99" s="279">
        <f>+L99/H$79</f>
        <v>38.46153846153846</v>
      </c>
      <c r="O99" s="216">
        <v>15</v>
      </c>
      <c r="P99" s="194">
        <v>0.1</v>
      </c>
      <c r="Q99" s="289">
        <f>(M99*(1-P99)/O99)</f>
        <v>1.9893899204244032</v>
      </c>
      <c r="R99" s="289">
        <f>((M99+M99*P99)/2*$H$138)</f>
        <v>1.4132957559681698</v>
      </c>
      <c r="S99" s="289">
        <f>M99*$H$139</f>
        <v>8.2891246684350134E-2</v>
      </c>
      <c r="T99" s="289">
        <f>M99*$H$140</f>
        <v>0.4973474801061008</v>
      </c>
      <c r="U99" s="290">
        <f t="shared" si="2"/>
        <v>3.982924403183024</v>
      </c>
      <c r="V99" s="166"/>
      <c r="W99" s="166"/>
      <c r="X99" s="166"/>
      <c r="Y99" s="166"/>
      <c r="Z99" s="166"/>
    </row>
    <row r="100" spans="2:26" ht="15.95" customHeight="1" x14ac:dyDescent="0.3">
      <c r="B100" s="177"/>
      <c r="C100" s="216" t="s">
        <v>39</v>
      </c>
      <c r="D100" s="166"/>
      <c r="E100" s="166"/>
      <c r="F100" s="166"/>
      <c r="G100" s="166"/>
      <c r="H100" s="166"/>
      <c r="I100" s="166"/>
      <c r="J100" s="166"/>
      <c r="K100" s="166"/>
      <c r="L100" s="320">
        <v>0</v>
      </c>
      <c r="M100" s="292">
        <f>+L100/H$81</f>
        <v>0</v>
      </c>
      <c r="N100" s="292">
        <f>+L100/H$79</f>
        <v>0</v>
      </c>
      <c r="O100" s="318">
        <v>15</v>
      </c>
      <c r="P100" s="319">
        <v>0.1</v>
      </c>
      <c r="Q100" s="293">
        <f>(M100*(1-P100)/O100)</f>
        <v>0</v>
      </c>
      <c r="R100" s="293">
        <f>((M100+M100*P100)/2*$H$138)</f>
        <v>0</v>
      </c>
      <c r="S100" s="293">
        <f>M100*$H$139</f>
        <v>0</v>
      </c>
      <c r="T100" s="293">
        <f>M100*$H$140</f>
        <v>0</v>
      </c>
      <c r="U100" s="294">
        <f t="shared" si="2"/>
        <v>0</v>
      </c>
      <c r="V100" s="166"/>
      <c r="W100" s="166"/>
      <c r="X100" s="166"/>
      <c r="Y100" s="166"/>
      <c r="Z100" s="166"/>
    </row>
    <row r="101" spans="2:26" ht="15.95" customHeight="1" x14ac:dyDescent="0.3">
      <c r="B101" s="177"/>
      <c r="C101" s="215" t="s">
        <v>18</v>
      </c>
      <c r="D101" s="166"/>
      <c r="E101" s="166"/>
      <c r="F101" s="166"/>
      <c r="G101" s="166"/>
      <c r="H101" s="166"/>
      <c r="I101" s="166"/>
      <c r="J101" s="277"/>
      <c r="K101" s="166"/>
      <c r="L101" s="263">
        <f>SUM(L96:L100)</f>
        <v>395000</v>
      </c>
      <c r="M101" s="279">
        <f>L101/H$81</f>
        <v>2619.363395225464</v>
      </c>
      <c r="N101" s="279">
        <f>L101/H$79</f>
        <v>3038.4615384615386</v>
      </c>
      <c r="O101" s="166"/>
      <c r="P101" s="177"/>
      <c r="Q101" s="290">
        <f>SUM(Q96:Q100)</f>
        <v>157.16180371352783</v>
      </c>
      <c r="R101" s="290">
        <f>SUM(R96:R100)</f>
        <v>111.65036472148539</v>
      </c>
      <c r="S101" s="290">
        <f>SUM(S96:S100)</f>
        <v>6.5484084880636599</v>
      </c>
      <c r="T101" s="290">
        <f>SUM(T96:T100)</f>
        <v>39.290450928381958</v>
      </c>
      <c r="U101" s="290">
        <f t="shared" si="2"/>
        <v>314.65102785145888</v>
      </c>
      <c r="V101" s="166"/>
      <c r="W101" s="166"/>
      <c r="X101" s="166"/>
      <c r="Y101" s="166"/>
      <c r="Z101" s="166"/>
    </row>
    <row r="102" spans="2:26" ht="15.95" customHeight="1" x14ac:dyDescent="0.3">
      <c r="B102" s="177"/>
      <c r="C102" s="177"/>
      <c r="D102" s="166"/>
      <c r="E102" s="177"/>
      <c r="F102" s="166"/>
      <c r="G102" s="277"/>
      <c r="H102" s="277"/>
      <c r="I102" s="181"/>
      <c r="J102" s="263"/>
      <c r="K102" s="263"/>
      <c r="L102" s="166"/>
      <c r="M102" s="166"/>
      <c r="N102" s="177"/>
      <c r="O102" s="166"/>
      <c r="P102" s="177"/>
      <c r="Q102" s="177"/>
      <c r="R102" s="177"/>
      <c r="S102" s="166"/>
      <c r="T102" s="166"/>
      <c r="U102" s="166"/>
      <c r="V102" s="166"/>
      <c r="W102" s="166"/>
      <c r="X102" s="166"/>
      <c r="Y102" s="166"/>
      <c r="Z102" s="166"/>
    </row>
    <row r="103" spans="2:26" ht="15.95" customHeight="1" x14ac:dyDescent="0.3">
      <c r="B103" s="177"/>
      <c r="C103" s="177" t="s">
        <v>41</v>
      </c>
      <c r="D103" s="295"/>
      <c r="E103" s="177"/>
      <c r="F103" s="166"/>
      <c r="G103" s="277"/>
      <c r="H103" s="277"/>
      <c r="I103" s="181"/>
      <c r="J103" s="263"/>
      <c r="K103" s="263"/>
      <c r="L103" s="166"/>
      <c r="M103" s="166"/>
      <c r="N103" s="177"/>
      <c r="O103" s="166"/>
      <c r="P103" s="177"/>
      <c r="Q103" s="177"/>
      <c r="R103" s="177"/>
      <c r="S103" s="166"/>
      <c r="T103" s="166"/>
      <c r="U103" s="166"/>
      <c r="V103" s="166"/>
      <c r="W103" s="166"/>
      <c r="X103" s="166"/>
      <c r="Y103" s="166"/>
      <c r="Z103" s="166"/>
    </row>
    <row r="104" spans="2:26" ht="15.95" customHeight="1" x14ac:dyDescent="0.3">
      <c r="B104" s="177"/>
      <c r="C104" s="177" t="s">
        <v>42</v>
      </c>
      <c r="D104" s="166"/>
      <c r="E104" s="166"/>
      <c r="F104" s="209">
        <f>('Cow Feed'!E11+'Cow Feed'!E12)/2000*H81*6/12</f>
        <v>107.35452000000002</v>
      </c>
      <c r="G104" s="166"/>
      <c r="H104" s="166" t="s">
        <v>43</v>
      </c>
      <c r="I104" s="166"/>
      <c r="J104" s="210">
        <v>50</v>
      </c>
      <c r="K104" s="166"/>
      <c r="L104" s="263">
        <f>F104*J104</f>
        <v>5367.7260000000015</v>
      </c>
      <c r="M104" s="279">
        <f t="shared" ref="M104:M110" si="3">+L104/H$81</f>
        <v>35.595000000000006</v>
      </c>
      <c r="N104" s="279">
        <f t="shared" ref="N104:N110" si="4">+L104/H$79</f>
        <v>41.290200000000013</v>
      </c>
      <c r="O104" s="216">
        <v>15</v>
      </c>
      <c r="P104" s="194">
        <v>0.1</v>
      </c>
      <c r="Q104" s="289">
        <f>(M104*(1-P104)/O104)</f>
        <v>2.1357000000000004</v>
      </c>
      <c r="R104" s="289">
        <f>((M104+M104*P104)/2*$H$138)</f>
        <v>1.5172368750000003</v>
      </c>
      <c r="S104" s="289">
        <f>M104*$H$139</f>
        <v>8.8987500000000011E-2</v>
      </c>
      <c r="T104" s="289">
        <f>M104*$H$140</f>
        <v>0.53392500000000009</v>
      </c>
      <c r="U104" s="290">
        <f>+Q104+R104+S104+T104</f>
        <v>4.2758493750000008</v>
      </c>
      <c r="V104" s="166"/>
      <c r="W104" s="166"/>
      <c r="X104" s="166"/>
      <c r="Y104" s="166"/>
      <c r="Z104" s="166"/>
    </row>
    <row r="105" spans="2:26" ht="15.95" customHeight="1" x14ac:dyDescent="0.3">
      <c r="B105" s="177"/>
      <c r="C105" s="177" t="s">
        <v>62</v>
      </c>
      <c r="D105" s="166"/>
      <c r="E105" s="166"/>
      <c r="F105" s="209">
        <f>('Cow Feed'!E9+'Cow Feed'!E10)/2000*H81*12/12</f>
        <v>1486.29611</v>
      </c>
      <c r="G105" s="166"/>
      <c r="H105" s="166" t="s">
        <v>43</v>
      </c>
      <c r="I105" s="166"/>
      <c r="J105" s="210">
        <v>40</v>
      </c>
      <c r="K105" s="166"/>
      <c r="L105" s="263">
        <f>F105*J105</f>
        <v>59451.844400000002</v>
      </c>
      <c r="M105" s="279">
        <f t="shared" si="3"/>
        <v>394.24299999999999</v>
      </c>
      <c r="N105" s="279">
        <f t="shared" si="4"/>
        <v>457.32188000000002</v>
      </c>
      <c r="O105" s="216">
        <v>15</v>
      </c>
      <c r="P105" s="194">
        <v>0.1</v>
      </c>
      <c r="Q105" s="289">
        <f>(M105*(1-P105)/O105)</f>
        <v>23.654579999999999</v>
      </c>
      <c r="R105" s="289">
        <f>((M105+M105*P105)/2*$H$138)</f>
        <v>16.804607875000002</v>
      </c>
      <c r="S105" s="289">
        <f>M105*$H$139</f>
        <v>0.98560749999999997</v>
      </c>
      <c r="T105" s="289">
        <f>M105*$H$140</f>
        <v>5.9136449999999998</v>
      </c>
      <c r="U105" s="290">
        <f>+Q105+R105+S105+T105</f>
        <v>47.358440375000001</v>
      </c>
      <c r="V105" s="166"/>
      <c r="W105" s="166"/>
      <c r="X105" s="166"/>
      <c r="Y105" s="166"/>
      <c r="Z105" s="166"/>
    </row>
    <row r="106" spans="2:26" ht="15.95" customHeight="1" x14ac:dyDescent="0.3">
      <c r="B106" s="177"/>
      <c r="C106" s="177" t="s">
        <v>63</v>
      </c>
      <c r="D106" s="166"/>
      <c r="E106" s="166"/>
      <c r="F106" s="209">
        <f>('Cow Feed'!E13+'Cow Feed'!E15+'Cow Feed'!E16+'Cow Feed'!E17)/2000*H81*1.5/12</f>
        <v>68.381390999999994</v>
      </c>
      <c r="G106" s="166"/>
      <c r="H106" s="166" t="s">
        <v>43</v>
      </c>
      <c r="I106" s="166"/>
      <c r="J106" s="210">
        <v>100</v>
      </c>
      <c r="K106" s="166"/>
      <c r="L106" s="263">
        <f>F106*J106</f>
        <v>6838.1390999999994</v>
      </c>
      <c r="M106" s="279">
        <f t="shared" si="3"/>
        <v>45.345749999999995</v>
      </c>
      <c r="N106" s="279">
        <f t="shared" si="4"/>
        <v>52.601069999999993</v>
      </c>
      <c r="O106" s="216">
        <v>15</v>
      </c>
      <c r="P106" s="194">
        <v>0.1</v>
      </c>
      <c r="Q106" s="289">
        <f>(M106*(1-P106)/O106)</f>
        <v>2.720745</v>
      </c>
      <c r="R106" s="289">
        <f>((M106+M106*P106)/2*$H$138)</f>
        <v>1.9328625937499997</v>
      </c>
      <c r="S106" s="289">
        <f>M106*$H$139</f>
        <v>0.11336437499999999</v>
      </c>
      <c r="T106" s="289">
        <f>M106*$H$140</f>
        <v>0.68018624999999988</v>
      </c>
      <c r="U106" s="290">
        <f>+Q106+R106+S106+T106</f>
        <v>5.4471582187499994</v>
      </c>
      <c r="V106" s="166"/>
      <c r="W106" s="166"/>
      <c r="X106" s="166"/>
      <c r="Y106" s="166"/>
      <c r="Z106" s="166"/>
    </row>
    <row r="107" spans="2:26" ht="15.95" customHeight="1" x14ac:dyDescent="0.3">
      <c r="B107" s="177"/>
      <c r="C107" s="177" t="s">
        <v>241</v>
      </c>
      <c r="D107" s="166"/>
      <c r="E107" s="166"/>
      <c r="F107" s="193">
        <v>2</v>
      </c>
      <c r="G107" s="166"/>
      <c r="H107" s="166" t="s">
        <v>165</v>
      </c>
      <c r="I107" s="166"/>
      <c r="J107" s="210">
        <v>2500</v>
      </c>
      <c r="K107" s="166"/>
      <c r="L107" s="263">
        <f>F107*J107</f>
        <v>5000</v>
      </c>
      <c r="M107" s="279">
        <f t="shared" si="3"/>
        <v>33.156498673740053</v>
      </c>
      <c r="N107" s="279">
        <f t="shared" si="4"/>
        <v>38.46153846153846</v>
      </c>
      <c r="O107" s="216">
        <v>15</v>
      </c>
      <c r="P107" s="194">
        <v>0.1</v>
      </c>
      <c r="Q107" s="289"/>
      <c r="R107" s="289"/>
      <c r="S107" s="289"/>
      <c r="T107" s="289"/>
      <c r="U107" s="290"/>
      <c r="V107" s="166"/>
      <c r="W107" s="166"/>
      <c r="X107" s="166"/>
      <c r="Y107" s="166"/>
      <c r="Z107" s="166"/>
    </row>
    <row r="108" spans="2:26" ht="15.95" customHeight="1" x14ac:dyDescent="0.3">
      <c r="B108" s="177"/>
      <c r="C108" s="177" t="s">
        <v>44</v>
      </c>
      <c r="D108" s="166"/>
      <c r="E108" s="166"/>
      <c r="F108" s="209">
        <f>'Cow Feed'!E14/2000*H81*1.5/12*34</f>
        <v>434.03350250000011</v>
      </c>
      <c r="G108" s="166"/>
      <c r="H108" s="166" t="s">
        <v>64</v>
      </c>
      <c r="I108" s="166"/>
      <c r="J108" s="210">
        <v>2.5</v>
      </c>
      <c r="K108" s="166"/>
      <c r="L108" s="263">
        <f>F108*J108</f>
        <v>1085.0837562500003</v>
      </c>
      <c r="M108" s="279">
        <f t="shared" si="3"/>
        <v>7.1955156250000014</v>
      </c>
      <c r="N108" s="279">
        <f t="shared" si="4"/>
        <v>8.346798125000003</v>
      </c>
      <c r="O108" s="216">
        <v>15</v>
      </c>
      <c r="P108" s="194">
        <v>0.1</v>
      </c>
      <c r="Q108" s="289">
        <f>(M108*(1-P108)/O108)</f>
        <v>0.43173093750000008</v>
      </c>
      <c r="R108" s="289">
        <f>((M108+M108*P108)/2*$H$138)</f>
        <v>0.30670885351562505</v>
      </c>
      <c r="S108" s="289">
        <f>M108*$H$139</f>
        <v>1.7988789062500003E-2</v>
      </c>
      <c r="T108" s="289">
        <f>M108*$H$140</f>
        <v>0.10793273437500002</v>
      </c>
      <c r="U108" s="290">
        <f>+Q108+R108+S108+T108</f>
        <v>0.86436131445312514</v>
      </c>
      <c r="V108" s="166"/>
      <c r="W108" s="166"/>
      <c r="X108" s="166"/>
      <c r="Y108" s="166"/>
      <c r="Z108" s="166"/>
    </row>
    <row r="109" spans="2:26" ht="15.95" customHeight="1" x14ac:dyDescent="0.3">
      <c r="B109" s="177"/>
      <c r="C109" s="216" t="s">
        <v>39</v>
      </c>
      <c r="D109" s="166"/>
      <c r="E109" s="166"/>
      <c r="F109" s="166"/>
      <c r="G109" s="166"/>
      <c r="H109" s="166"/>
      <c r="I109" s="166"/>
      <c r="J109" s="166"/>
      <c r="K109" s="166"/>
      <c r="L109" s="320">
        <v>0</v>
      </c>
      <c r="M109" s="292">
        <f t="shared" si="3"/>
        <v>0</v>
      </c>
      <c r="N109" s="292">
        <f t="shared" si="4"/>
        <v>0</v>
      </c>
      <c r="O109" s="318">
        <v>15</v>
      </c>
      <c r="P109" s="319">
        <v>0.1</v>
      </c>
      <c r="Q109" s="293">
        <f>(M109*(1-P109)/O109)</f>
        <v>0</v>
      </c>
      <c r="R109" s="293">
        <f>((M109+M109*P109)/2*$H$138)</f>
        <v>0</v>
      </c>
      <c r="S109" s="293">
        <f>M109*$H$139</f>
        <v>0</v>
      </c>
      <c r="T109" s="293">
        <f>M109*$H$140</f>
        <v>0</v>
      </c>
      <c r="U109" s="294">
        <f>+Q109+R109+S109+T109</f>
        <v>0</v>
      </c>
      <c r="V109" s="166"/>
      <c r="W109" s="166"/>
      <c r="X109" s="166"/>
      <c r="Y109" s="166"/>
      <c r="Z109" s="166"/>
    </row>
    <row r="110" spans="2:26" ht="15.95" customHeight="1" x14ac:dyDescent="0.3">
      <c r="B110" s="177"/>
      <c r="C110" s="215" t="s">
        <v>18</v>
      </c>
      <c r="D110" s="166"/>
      <c r="E110" s="166"/>
      <c r="F110" s="166"/>
      <c r="G110" s="166"/>
      <c r="H110" s="177"/>
      <c r="I110" s="166"/>
      <c r="J110" s="166"/>
      <c r="K110" s="166"/>
      <c r="L110" s="263">
        <f>SUM(L104:L109)</f>
        <v>77742.793256249992</v>
      </c>
      <c r="M110" s="279">
        <f t="shared" si="3"/>
        <v>515.53576429873999</v>
      </c>
      <c r="N110" s="279">
        <f t="shared" si="4"/>
        <v>598.02148658653834</v>
      </c>
      <c r="O110" s="166"/>
      <c r="P110" s="177"/>
      <c r="Q110" s="290">
        <f>SUM(Q104:Q109)</f>
        <v>28.942755937499999</v>
      </c>
      <c r="R110" s="290">
        <f>SUM(R104:R109)</f>
        <v>20.561416197265629</v>
      </c>
      <c r="S110" s="290">
        <f>SUM(S104:S109)</f>
        <v>1.2059481640624998</v>
      </c>
      <c r="T110" s="290">
        <f>SUM(T104:T109)</f>
        <v>7.2356889843749999</v>
      </c>
      <c r="U110" s="290">
        <f>+Q110+R110+S110+T110</f>
        <v>57.945809283203126</v>
      </c>
      <c r="V110" s="166"/>
      <c r="W110" s="166"/>
      <c r="X110" s="166"/>
      <c r="Y110" s="166"/>
      <c r="Z110" s="166"/>
    </row>
    <row r="111" spans="2:26" ht="15.95" customHeight="1" x14ac:dyDescent="0.3">
      <c r="B111" s="177"/>
      <c r="C111" s="177"/>
      <c r="D111" s="166"/>
      <c r="E111" s="166"/>
      <c r="F111" s="166"/>
      <c r="G111" s="166"/>
      <c r="H111" s="177"/>
      <c r="I111" s="166"/>
      <c r="J111" s="166"/>
      <c r="K111" s="166"/>
      <c r="L111" s="277"/>
      <c r="M111" s="279"/>
      <c r="N111" s="279"/>
      <c r="O111" s="166"/>
      <c r="P111" s="177"/>
      <c r="Q111" s="177"/>
      <c r="R111" s="177"/>
      <c r="S111" s="177"/>
      <c r="T111" s="177"/>
      <c r="U111" s="177"/>
      <c r="V111" s="166"/>
      <c r="W111" s="166"/>
      <c r="X111" s="166"/>
      <c r="Y111" s="166"/>
      <c r="Z111" s="166"/>
    </row>
    <row r="112" spans="2:26" ht="15.95" customHeight="1" x14ac:dyDescent="0.3">
      <c r="B112" s="177"/>
      <c r="C112" s="177" t="s">
        <v>322</v>
      </c>
      <c r="D112" s="166"/>
      <c r="E112" s="166"/>
      <c r="F112" s="166"/>
      <c r="G112" s="166"/>
      <c r="H112" s="177"/>
      <c r="I112" s="166"/>
      <c r="J112" s="166"/>
      <c r="K112" s="166"/>
      <c r="L112" s="277"/>
      <c r="M112" s="279"/>
      <c r="N112" s="279"/>
      <c r="O112" s="166"/>
      <c r="P112" s="177"/>
      <c r="Q112" s="177"/>
      <c r="R112" s="177"/>
      <c r="S112" s="177"/>
      <c r="T112" s="177"/>
      <c r="U112" s="177"/>
      <c r="V112" s="166"/>
      <c r="W112" s="166"/>
      <c r="X112" s="166"/>
      <c r="Y112" s="166"/>
      <c r="Z112" s="166"/>
    </row>
    <row r="113" spans="2:26" ht="15.95" customHeight="1" x14ac:dyDescent="0.3">
      <c r="B113" s="177"/>
      <c r="C113" s="177" t="s">
        <v>66</v>
      </c>
      <c r="D113" s="166"/>
      <c r="E113" s="166"/>
      <c r="F113" s="193">
        <v>12</v>
      </c>
      <c r="G113" s="166"/>
      <c r="H113" s="166" t="s">
        <v>34</v>
      </c>
      <c r="I113" s="166"/>
      <c r="J113" s="193">
        <v>35000</v>
      </c>
      <c r="K113" s="166"/>
      <c r="L113" s="263">
        <f>F113*J113</f>
        <v>420000</v>
      </c>
      <c r="M113" s="279">
        <f>+L113/H$81</f>
        <v>2785.1458885941643</v>
      </c>
      <c r="N113" s="279">
        <f>+L113/H$79</f>
        <v>3230.7692307692309</v>
      </c>
      <c r="O113" s="216">
        <v>15</v>
      </c>
      <c r="P113" s="194">
        <v>0.1</v>
      </c>
      <c r="Q113" s="289">
        <f>(M113*(1-P113)/O113)</f>
        <v>167.10875331564984</v>
      </c>
      <c r="R113" s="289">
        <f>((M113+M113*P113)/2*$H$138)</f>
        <v>118.71684350132625</v>
      </c>
      <c r="S113" s="289">
        <f>M113*$H$139</f>
        <v>6.9628647214854107</v>
      </c>
      <c r="T113" s="289">
        <f>M113*$H$140</f>
        <v>41.777188328912466</v>
      </c>
      <c r="U113" s="290">
        <f>+Q113+R113+S113+T113</f>
        <v>334.56564986737396</v>
      </c>
      <c r="V113" s="166"/>
      <c r="W113" s="166"/>
      <c r="X113" s="166"/>
      <c r="Y113" s="166"/>
      <c r="Z113" s="166"/>
    </row>
    <row r="114" spans="2:26" ht="15.95" customHeight="1" x14ac:dyDescent="0.3">
      <c r="B114" s="177"/>
      <c r="C114" s="177" t="s">
        <v>67</v>
      </c>
      <c r="D114" s="166"/>
      <c r="E114" s="166"/>
      <c r="F114" s="209">
        <f>+H79</f>
        <v>130</v>
      </c>
      <c r="G114" s="166"/>
      <c r="H114" s="166" t="s">
        <v>73</v>
      </c>
      <c r="I114" s="166"/>
      <c r="J114" s="193">
        <v>1000</v>
      </c>
      <c r="K114" s="166"/>
      <c r="L114" s="263">
        <f>F114*J114</f>
        <v>130000</v>
      </c>
      <c r="M114" s="279">
        <f>+L114/H$81</f>
        <v>862.06896551724128</v>
      </c>
      <c r="N114" s="279">
        <f>+L114/H$79</f>
        <v>1000</v>
      </c>
      <c r="O114" s="216">
        <v>15</v>
      </c>
      <c r="P114" s="194">
        <v>0.1</v>
      </c>
      <c r="Q114" s="289">
        <f>(M114*(1-P114)/O114)</f>
        <v>51.724137931034484</v>
      </c>
      <c r="R114" s="289">
        <f>((M114+M114*P114)/2*$H$138)</f>
        <v>36.745689655172406</v>
      </c>
      <c r="S114" s="289">
        <f>M114*$H$139</f>
        <v>2.1551724137931032</v>
      </c>
      <c r="T114" s="289">
        <f>M114*$H$140</f>
        <v>12.931034482758619</v>
      </c>
      <c r="U114" s="290">
        <f>+Q114+R114+S114+T114</f>
        <v>103.55603448275862</v>
      </c>
      <c r="V114" s="166"/>
      <c r="W114" s="166"/>
      <c r="X114" s="166"/>
      <c r="Y114" s="166"/>
      <c r="Z114" s="166"/>
    </row>
    <row r="115" spans="2:26" ht="15.95" customHeight="1" x14ac:dyDescent="0.3">
      <c r="B115" s="177"/>
      <c r="C115" s="216" t="s">
        <v>39</v>
      </c>
      <c r="D115" s="166"/>
      <c r="E115" s="166"/>
      <c r="F115" s="193">
        <v>0</v>
      </c>
      <c r="G115" s="166"/>
      <c r="H115" s="166"/>
      <c r="I115" s="166"/>
      <c r="J115" s="193">
        <v>0</v>
      </c>
      <c r="K115" s="166"/>
      <c r="L115" s="263">
        <f>F115*J115</f>
        <v>0</v>
      </c>
      <c r="M115" s="279">
        <f>+L115/H$81</f>
        <v>0</v>
      </c>
      <c r="N115" s="279">
        <f>+L115/H$79</f>
        <v>0</v>
      </c>
      <c r="O115" s="216">
        <v>15</v>
      </c>
      <c r="P115" s="194">
        <v>0.1</v>
      </c>
      <c r="Q115" s="289">
        <f>(M115*(1-P115)/O115)</f>
        <v>0</v>
      </c>
      <c r="R115" s="289">
        <f>((M115+M115*P115)/2*$H$138)</f>
        <v>0</v>
      </c>
      <c r="S115" s="289">
        <f>M115*$H$139</f>
        <v>0</v>
      </c>
      <c r="T115" s="289">
        <f>M115*$H$140</f>
        <v>0</v>
      </c>
      <c r="U115" s="290">
        <f>+Q115+R115+S115+T115</f>
        <v>0</v>
      </c>
      <c r="V115" s="166"/>
      <c r="W115" s="166"/>
      <c r="X115" s="166"/>
      <c r="Y115" s="166"/>
      <c r="Z115" s="166"/>
    </row>
    <row r="116" spans="2:26" ht="15.95" customHeight="1" x14ac:dyDescent="0.3">
      <c r="B116" s="177"/>
      <c r="C116" s="216" t="s">
        <v>39</v>
      </c>
      <c r="D116" s="166"/>
      <c r="E116" s="166"/>
      <c r="F116" s="193">
        <v>0</v>
      </c>
      <c r="G116" s="166"/>
      <c r="H116" s="166"/>
      <c r="I116" s="166"/>
      <c r="J116" s="193">
        <v>0</v>
      </c>
      <c r="K116" s="166"/>
      <c r="L116" s="321">
        <f>F116*J116</f>
        <v>0</v>
      </c>
      <c r="M116" s="292">
        <f>+L116/H$81</f>
        <v>0</v>
      </c>
      <c r="N116" s="292">
        <f>+L116/H$79</f>
        <v>0</v>
      </c>
      <c r="O116" s="318">
        <v>15</v>
      </c>
      <c r="P116" s="319">
        <v>0.1</v>
      </c>
      <c r="Q116" s="293">
        <f>(M116*(1-P116)/O116)</f>
        <v>0</v>
      </c>
      <c r="R116" s="293">
        <f>((M116+M116*P116)/2*$H$138)</f>
        <v>0</v>
      </c>
      <c r="S116" s="293">
        <f>M116*$H$139</f>
        <v>0</v>
      </c>
      <c r="T116" s="293">
        <f>M116*$H$140</f>
        <v>0</v>
      </c>
      <c r="U116" s="294">
        <f>+Q116+R116+S116+T116</f>
        <v>0</v>
      </c>
      <c r="V116" s="166"/>
      <c r="W116" s="166"/>
      <c r="X116" s="166"/>
      <c r="Y116" s="166"/>
      <c r="Z116" s="166"/>
    </row>
    <row r="117" spans="2:26" ht="15.95" customHeight="1" x14ac:dyDescent="0.3">
      <c r="B117" s="177"/>
      <c r="C117" s="215" t="s">
        <v>18</v>
      </c>
      <c r="D117" s="166"/>
      <c r="E117" s="166"/>
      <c r="F117" s="166"/>
      <c r="G117" s="166"/>
      <c r="H117" s="166"/>
      <c r="I117" s="166"/>
      <c r="J117" s="277"/>
      <c r="K117" s="166"/>
      <c r="L117" s="263">
        <f>SUM(L113:L116)</f>
        <v>550000</v>
      </c>
      <c r="M117" s="279">
        <f>+L117/H$81</f>
        <v>3647.2148541114057</v>
      </c>
      <c r="N117" s="279">
        <f>+L117/H$79</f>
        <v>4230.7692307692305</v>
      </c>
      <c r="O117" s="166"/>
      <c r="P117" s="177"/>
      <c r="Q117" s="290">
        <f>SUM(Q113:Q116)</f>
        <v>218.83289124668431</v>
      </c>
      <c r="R117" s="290">
        <f>SUM(R113:R116)</f>
        <v>155.46253315649867</v>
      </c>
      <c r="S117" s="290">
        <f>SUM(S113:S116)</f>
        <v>9.118037135278513</v>
      </c>
      <c r="T117" s="290">
        <f>SUM(T113:T116)</f>
        <v>54.708222811671085</v>
      </c>
      <c r="U117" s="290">
        <f>SUM(U113:U116)</f>
        <v>438.12168435013257</v>
      </c>
      <c r="V117" s="166"/>
      <c r="W117" s="166"/>
      <c r="X117" s="166"/>
      <c r="Y117" s="166"/>
      <c r="Z117" s="166"/>
    </row>
    <row r="118" spans="2:26" ht="15.95" customHeight="1" x14ac:dyDescent="0.3">
      <c r="B118" s="177"/>
      <c r="C118" s="177"/>
      <c r="D118" s="166"/>
      <c r="E118" s="166"/>
      <c r="F118" s="166"/>
      <c r="G118" s="166"/>
      <c r="H118" s="166"/>
      <c r="I118" s="166"/>
      <c r="J118" s="277"/>
      <c r="K118" s="166"/>
      <c r="L118" s="263"/>
      <c r="M118" s="279"/>
      <c r="N118" s="279"/>
      <c r="O118" s="166"/>
      <c r="P118" s="177"/>
      <c r="Q118" s="177"/>
      <c r="R118" s="177"/>
      <c r="S118" s="177"/>
      <c r="T118" s="177"/>
      <c r="U118" s="177"/>
      <c r="V118" s="166"/>
      <c r="W118" s="166"/>
      <c r="X118" s="166"/>
      <c r="Y118" s="166"/>
      <c r="Z118" s="166"/>
    </row>
    <row r="119" spans="2:26" ht="15.95" customHeight="1" x14ac:dyDescent="0.3">
      <c r="C119" s="275"/>
      <c r="D119" s="177" t="s">
        <v>162</v>
      </c>
      <c r="E119" s="166"/>
      <c r="F119" s="166"/>
      <c r="G119" s="166"/>
      <c r="H119" s="166"/>
      <c r="I119" s="166"/>
      <c r="J119" s="405"/>
      <c r="K119" s="166"/>
      <c r="L119" s="263">
        <f>L94+L101+L110+L117</f>
        <v>1041942.79325625</v>
      </c>
      <c r="M119" s="279">
        <f>L119/H$81</f>
        <v>6909.4349685427715</v>
      </c>
      <c r="N119" s="279">
        <f>L119/H$79</f>
        <v>8014.9445635096154</v>
      </c>
      <c r="O119" s="181"/>
      <c r="P119" s="181"/>
      <c r="Q119" s="325">
        <f>Q94+Q101+Q110+Q117</f>
        <v>404.93745089771215</v>
      </c>
      <c r="R119" s="325">
        <f>R94+R101+R110+R117</f>
        <v>297.54168808055476</v>
      </c>
      <c r="S119" s="325">
        <f>S94+S101+S110+S117</f>
        <v>16.872393787404672</v>
      </c>
      <c r="T119" s="325">
        <f>T94+T101+T110+T117</f>
        <v>101.87096749896386</v>
      </c>
      <c r="U119" s="325">
        <f>U94+U101+U110+U117</f>
        <v>821.22250026463541</v>
      </c>
      <c r="V119" s="166"/>
      <c r="W119" s="166"/>
      <c r="X119" s="166"/>
      <c r="Y119" s="166"/>
      <c r="Z119" s="166"/>
    </row>
    <row r="120" spans="2:26" ht="15.95" customHeight="1" x14ac:dyDescent="0.3">
      <c r="B120" s="177"/>
      <c r="C120" s="177"/>
      <c r="D120" s="166"/>
      <c r="E120" s="166"/>
      <c r="F120" s="166"/>
      <c r="G120" s="166"/>
      <c r="H120" s="166"/>
      <c r="I120" s="166"/>
      <c r="J120" s="166"/>
      <c r="K120" s="166"/>
      <c r="L120" s="166"/>
      <c r="M120" s="279"/>
      <c r="N120" s="279"/>
      <c r="O120" s="166"/>
      <c r="P120" s="166"/>
      <c r="Q120" s="166"/>
      <c r="R120" s="177"/>
      <c r="S120" s="177"/>
      <c r="T120" s="177"/>
      <c r="U120" s="177"/>
      <c r="V120" s="177"/>
      <c r="W120" s="166"/>
      <c r="X120" s="166"/>
      <c r="Y120" s="166"/>
      <c r="Z120" s="166"/>
    </row>
    <row r="121" spans="2:26" ht="15.95" customHeight="1" x14ac:dyDescent="0.3">
      <c r="B121" s="177"/>
      <c r="C121" s="177" t="s">
        <v>46</v>
      </c>
      <c r="D121" s="177"/>
      <c r="E121" s="166"/>
      <c r="F121" s="277"/>
      <c r="G121" s="181"/>
      <c r="H121" s="181"/>
      <c r="I121" s="181"/>
      <c r="J121" s="279"/>
      <c r="K121" s="166"/>
      <c r="L121" s="166"/>
      <c r="M121" s="166"/>
      <c r="N121" s="177"/>
      <c r="O121" s="166"/>
      <c r="P121" s="166"/>
      <c r="Q121" s="166"/>
      <c r="R121" s="166"/>
      <c r="S121" s="166"/>
      <c r="T121" s="183"/>
      <c r="U121" s="166"/>
      <c r="V121" s="166"/>
      <c r="W121" s="166"/>
      <c r="X121" s="166"/>
      <c r="Y121" s="166"/>
      <c r="Z121" s="166"/>
    </row>
    <row r="122" spans="2:26" ht="15.95" customHeight="1" x14ac:dyDescent="0.3">
      <c r="B122" s="177"/>
      <c r="C122" s="177" t="s">
        <v>66</v>
      </c>
      <c r="D122" s="166"/>
      <c r="E122" s="166"/>
      <c r="F122" s="193">
        <v>12</v>
      </c>
      <c r="G122" s="166"/>
      <c r="H122" s="166" t="s">
        <v>34</v>
      </c>
      <c r="I122" s="166"/>
      <c r="J122" s="193">
        <v>0</v>
      </c>
      <c r="K122" s="279"/>
      <c r="L122" s="263">
        <f t="shared" ref="L122:L128" si="5">F122*J122</f>
        <v>0</v>
      </c>
      <c r="M122" s="279">
        <f t="shared" ref="M122:M128" si="6">+L122/H$81</f>
        <v>0</v>
      </c>
      <c r="N122" s="279">
        <f t="shared" ref="N122:N128" si="7">+L122/H$79</f>
        <v>0</v>
      </c>
      <c r="O122" s="216">
        <v>10</v>
      </c>
      <c r="P122" s="194">
        <v>0.1</v>
      </c>
      <c r="Q122" s="289">
        <f t="shared" ref="Q122:Q128" si="8">(M122*(1-P122)/O122)</f>
        <v>0</v>
      </c>
      <c r="R122" s="289">
        <f t="shared" ref="R122:R128" si="9">((M122+M122*P122)/2*$J$138)</f>
        <v>0</v>
      </c>
      <c r="S122" s="289">
        <f t="shared" ref="S122:S128" si="10">M122*$J$139</f>
        <v>0</v>
      </c>
      <c r="T122" s="289">
        <f t="shared" ref="T122:T129" si="11">M122*$J$140</f>
        <v>0</v>
      </c>
      <c r="U122" s="290">
        <f t="shared" ref="U122:U128" si="12">+Q122+R122+S122+T122</f>
        <v>0</v>
      </c>
      <c r="V122" s="166"/>
      <c r="W122" s="166"/>
      <c r="X122" s="166"/>
      <c r="Y122" s="166"/>
      <c r="Z122" s="166"/>
    </row>
    <row r="123" spans="2:26" ht="15.95" customHeight="1" x14ac:dyDescent="0.3">
      <c r="B123" s="177"/>
      <c r="C123" s="177" t="s">
        <v>65</v>
      </c>
      <c r="D123" s="166"/>
      <c r="E123" s="166"/>
      <c r="F123" s="193">
        <v>1</v>
      </c>
      <c r="G123" s="166"/>
      <c r="H123" s="166" t="s">
        <v>19</v>
      </c>
      <c r="I123" s="166"/>
      <c r="J123" s="193">
        <v>1500</v>
      </c>
      <c r="K123" s="279"/>
      <c r="L123" s="263">
        <f t="shared" si="5"/>
        <v>1500</v>
      </c>
      <c r="M123" s="279">
        <f t="shared" si="6"/>
        <v>9.9469496021220145</v>
      </c>
      <c r="N123" s="279">
        <f t="shared" si="7"/>
        <v>11.538461538461538</v>
      </c>
      <c r="O123" s="216">
        <v>10</v>
      </c>
      <c r="P123" s="194">
        <v>0.1</v>
      </c>
      <c r="Q123" s="289">
        <f t="shared" si="8"/>
        <v>0.89522546419098137</v>
      </c>
      <c r="R123" s="289">
        <f t="shared" si="9"/>
        <v>0.42398872679045091</v>
      </c>
      <c r="S123" s="289">
        <f t="shared" si="10"/>
        <v>2.4867374005305035E-2</v>
      </c>
      <c r="T123" s="289">
        <f t="shared" si="11"/>
        <v>0</v>
      </c>
      <c r="U123" s="290">
        <f t="shared" si="12"/>
        <v>1.3440815649867375</v>
      </c>
      <c r="V123" s="166"/>
      <c r="W123" s="166"/>
      <c r="X123" s="166"/>
      <c r="Y123" s="166"/>
      <c r="Z123" s="166"/>
    </row>
    <row r="124" spans="2:26" ht="15.95" customHeight="1" x14ac:dyDescent="0.3">
      <c r="B124" s="177"/>
      <c r="C124" s="177" t="s">
        <v>72</v>
      </c>
      <c r="D124" s="166"/>
      <c r="E124" s="166"/>
      <c r="F124" s="193">
        <v>1</v>
      </c>
      <c r="G124" s="166"/>
      <c r="H124" s="166" t="s">
        <v>19</v>
      </c>
      <c r="I124" s="166"/>
      <c r="J124" s="193">
        <v>7500</v>
      </c>
      <c r="K124" s="279"/>
      <c r="L124" s="263">
        <f t="shared" si="5"/>
        <v>7500</v>
      </c>
      <c r="M124" s="279">
        <f t="shared" si="6"/>
        <v>49.734748010610076</v>
      </c>
      <c r="N124" s="279">
        <f t="shared" si="7"/>
        <v>57.692307692307693</v>
      </c>
      <c r="O124" s="216">
        <v>10</v>
      </c>
      <c r="P124" s="194">
        <v>0.1</v>
      </c>
      <c r="Q124" s="289">
        <f t="shared" si="8"/>
        <v>4.4761273209549071</v>
      </c>
      <c r="R124" s="289">
        <f t="shared" si="9"/>
        <v>2.1199436339522544</v>
      </c>
      <c r="S124" s="289">
        <f t="shared" si="10"/>
        <v>0.12433687002652519</v>
      </c>
      <c r="T124" s="289">
        <f t="shared" si="11"/>
        <v>0</v>
      </c>
      <c r="U124" s="290">
        <f t="shared" si="12"/>
        <v>6.7204078249336865</v>
      </c>
      <c r="V124" s="166"/>
      <c r="W124" s="166"/>
      <c r="X124" s="166"/>
      <c r="Y124" s="166"/>
      <c r="Z124" s="166"/>
    </row>
    <row r="125" spans="2:26" ht="15.95" customHeight="1" x14ac:dyDescent="0.3">
      <c r="B125" s="177"/>
      <c r="C125" s="177" t="s">
        <v>70</v>
      </c>
      <c r="D125" s="166"/>
      <c r="E125" s="166"/>
      <c r="F125" s="209">
        <f>+H79</f>
        <v>130</v>
      </c>
      <c r="G125" s="166"/>
      <c r="H125" s="166" t="s">
        <v>73</v>
      </c>
      <c r="I125" s="166"/>
      <c r="J125" s="193">
        <v>0</v>
      </c>
      <c r="K125" s="279"/>
      <c r="L125" s="263">
        <f t="shared" si="5"/>
        <v>0</v>
      </c>
      <c r="M125" s="279">
        <f t="shared" si="6"/>
        <v>0</v>
      </c>
      <c r="N125" s="279">
        <f t="shared" si="7"/>
        <v>0</v>
      </c>
      <c r="O125" s="216">
        <v>10</v>
      </c>
      <c r="P125" s="194">
        <v>0.1</v>
      </c>
      <c r="Q125" s="289">
        <f t="shared" si="8"/>
        <v>0</v>
      </c>
      <c r="R125" s="289">
        <f t="shared" si="9"/>
        <v>0</v>
      </c>
      <c r="S125" s="289">
        <f t="shared" si="10"/>
        <v>0</v>
      </c>
      <c r="T125" s="289">
        <f t="shared" si="11"/>
        <v>0</v>
      </c>
      <c r="U125" s="290">
        <f t="shared" si="12"/>
        <v>0</v>
      </c>
      <c r="V125" s="166"/>
      <c r="W125" s="166"/>
      <c r="X125" s="166"/>
      <c r="Y125" s="166"/>
      <c r="Z125" s="166"/>
    </row>
    <row r="126" spans="2:26" ht="15.95" customHeight="1" x14ac:dyDescent="0.3">
      <c r="B126" s="177"/>
      <c r="C126" s="177" t="s">
        <v>69</v>
      </c>
      <c r="D126" s="166"/>
      <c r="E126" s="166"/>
      <c r="F126" s="193">
        <v>1</v>
      </c>
      <c r="G126" s="166"/>
      <c r="H126" s="166" t="s">
        <v>19</v>
      </c>
      <c r="I126" s="166"/>
      <c r="J126" s="193">
        <v>100000</v>
      </c>
      <c r="K126" s="279"/>
      <c r="L126" s="263">
        <f t="shared" si="5"/>
        <v>100000</v>
      </c>
      <c r="M126" s="279">
        <f t="shared" si="6"/>
        <v>663.12997347480098</v>
      </c>
      <c r="N126" s="279">
        <f t="shared" si="7"/>
        <v>769.23076923076928</v>
      </c>
      <c r="O126" s="216">
        <v>10</v>
      </c>
      <c r="P126" s="194">
        <v>0.1</v>
      </c>
      <c r="Q126" s="289">
        <f t="shared" si="8"/>
        <v>59.681697612732094</v>
      </c>
      <c r="R126" s="289">
        <f t="shared" si="9"/>
        <v>28.265915119363392</v>
      </c>
      <c r="S126" s="289">
        <f t="shared" si="10"/>
        <v>1.6578249336870026</v>
      </c>
      <c r="T126" s="289">
        <f t="shared" si="11"/>
        <v>0</v>
      </c>
      <c r="U126" s="290">
        <f t="shared" si="12"/>
        <v>89.605437665782475</v>
      </c>
      <c r="V126" s="166"/>
      <c r="W126" s="166"/>
      <c r="X126" s="166"/>
      <c r="Y126" s="166"/>
      <c r="Z126" s="166"/>
    </row>
    <row r="127" spans="2:26" ht="15.95" customHeight="1" x14ac:dyDescent="0.3">
      <c r="B127" s="177"/>
      <c r="C127" s="216" t="s">
        <v>39</v>
      </c>
      <c r="D127" s="166"/>
      <c r="E127" s="166"/>
      <c r="F127" s="193">
        <v>1</v>
      </c>
      <c r="G127" s="166"/>
      <c r="H127" s="166" t="s">
        <v>19</v>
      </c>
      <c r="I127" s="166"/>
      <c r="J127" s="193">
        <v>0</v>
      </c>
      <c r="K127" s="279"/>
      <c r="L127" s="263">
        <f t="shared" si="5"/>
        <v>0</v>
      </c>
      <c r="M127" s="279">
        <f t="shared" si="6"/>
        <v>0</v>
      </c>
      <c r="N127" s="279">
        <f t="shared" si="7"/>
        <v>0</v>
      </c>
      <c r="O127" s="216">
        <v>10</v>
      </c>
      <c r="P127" s="194">
        <v>0.1</v>
      </c>
      <c r="Q127" s="289">
        <f t="shared" si="8"/>
        <v>0</v>
      </c>
      <c r="R127" s="289">
        <f t="shared" si="9"/>
        <v>0</v>
      </c>
      <c r="S127" s="289">
        <f t="shared" si="10"/>
        <v>0</v>
      </c>
      <c r="T127" s="289">
        <f t="shared" si="11"/>
        <v>0</v>
      </c>
      <c r="U127" s="290">
        <f t="shared" si="12"/>
        <v>0</v>
      </c>
      <c r="V127" s="166"/>
      <c r="W127" s="166"/>
      <c r="X127" s="166"/>
      <c r="Y127" s="166"/>
      <c r="Z127" s="166"/>
    </row>
    <row r="128" spans="2:26" ht="15.95" customHeight="1" x14ac:dyDescent="0.3">
      <c r="B128" s="177"/>
      <c r="C128" s="216" t="s">
        <v>39</v>
      </c>
      <c r="D128" s="166"/>
      <c r="E128" s="166"/>
      <c r="F128" s="193">
        <v>0</v>
      </c>
      <c r="G128" s="166"/>
      <c r="H128" s="166"/>
      <c r="I128" s="166"/>
      <c r="J128" s="193">
        <v>0</v>
      </c>
      <c r="K128" s="279"/>
      <c r="L128" s="321">
        <f t="shared" si="5"/>
        <v>0</v>
      </c>
      <c r="M128" s="292">
        <f t="shared" si="6"/>
        <v>0</v>
      </c>
      <c r="N128" s="292">
        <f t="shared" si="7"/>
        <v>0</v>
      </c>
      <c r="O128" s="318">
        <v>10</v>
      </c>
      <c r="P128" s="319">
        <v>0.1</v>
      </c>
      <c r="Q128" s="293">
        <f t="shared" si="8"/>
        <v>0</v>
      </c>
      <c r="R128" s="293">
        <f t="shared" si="9"/>
        <v>0</v>
      </c>
      <c r="S128" s="293">
        <f t="shared" si="10"/>
        <v>0</v>
      </c>
      <c r="T128" s="293">
        <f t="shared" si="11"/>
        <v>0</v>
      </c>
      <c r="U128" s="294">
        <f t="shared" si="12"/>
        <v>0</v>
      </c>
      <c r="V128" s="166"/>
      <c r="W128" s="166"/>
      <c r="X128" s="166"/>
      <c r="Y128" s="166"/>
      <c r="Z128" s="166"/>
    </row>
    <row r="129" spans="2:30" ht="15.95" customHeight="1" x14ac:dyDescent="0.3">
      <c r="B129" s="177"/>
      <c r="C129" s="215" t="s">
        <v>18</v>
      </c>
      <c r="D129" s="166"/>
      <c r="E129" s="166"/>
      <c r="F129" s="166"/>
      <c r="G129" s="166"/>
      <c r="H129" s="166"/>
      <c r="I129" s="166"/>
      <c r="J129" s="279"/>
      <c r="K129" s="279"/>
      <c r="L129" s="263">
        <f>SUM(L122:L128)</f>
        <v>109000</v>
      </c>
      <c r="M129" s="263">
        <f>L129/H$81</f>
        <v>722.81167108753311</v>
      </c>
      <c r="N129" s="263">
        <f>L129/H$79</f>
        <v>838.46153846153845</v>
      </c>
      <c r="O129" s="166"/>
      <c r="P129" s="177"/>
      <c r="Q129" s="290">
        <f>SUM(Q122:Q128)</f>
        <v>65.053050397877982</v>
      </c>
      <c r="R129" s="290">
        <f>SUM(R122:R128)</f>
        <v>30.809847480106097</v>
      </c>
      <c r="S129" s="290">
        <f>SUM(S122:S128)</f>
        <v>1.8070291777188328</v>
      </c>
      <c r="T129" s="289">
        <f t="shared" si="11"/>
        <v>0</v>
      </c>
      <c r="U129" s="290">
        <f>SUM(U122:U128)</f>
        <v>97.6699270557029</v>
      </c>
      <c r="V129" s="166"/>
      <c r="W129" s="166"/>
      <c r="X129" s="166"/>
      <c r="Y129" s="166"/>
      <c r="Z129" s="166"/>
    </row>
    <row r="130" spans="2:30" ht="15.95" customHeight="1" x14ac:dyDescent="0.3">
      <c r="B130" s="177"/>
      <c r="C130" s="177"/>
      <c r="D130" s="166"/>
      <c r="E130" s="166"/>
      <c r="F130" s="277"/>
      <c r="G130" s="181"/>
      <c r="H130" s="181"/>
      <c r="I130" s="166"/>
      <c r="J130" s="166"/>
      <c r="K130" s="166"/>
      <c r="L130" s="166"/>
      <c r="M130" s="166"/>
      <c r="N130" s="177"/>
      <c r="O130" s="166"/>
      <c r="P130" s="177"/>
      <c r="Q130" s="177"/>
      <c r="R130" s="177"/>
      <c r="S130" s="166"/>
      <c r="T130" s="166"/>
      <c r="U130" s="166"/>
      <c r="V130" s="166"/>
      <c r="W130" s="166"/>
      <c r="X130" s="166"/>
      <c r="Y130" s="166"/>
      <c r="Z130" s="166"/>
    </row>
    <row r="131" spans="2:30" ht="15.95" customHeight="1" x14ac:dyDescent="0.3">
      <c r="B131" s="299" t="s">
        <v>86</v>
      </c>
      <c r="C131" s="299"/>
      <c r="D131" s="300"/>
      <c r="E131" s="300"/>
      <c r="F131" s="300"/>
      <c r="G131" s="300"/>
      <c r="H131" s="300"/>
      <c r="I131" s="300"/>
      <c r="J131" s="328">
        <f>+L119+L129</f>
        <v>1150942.79325625</v>
      </c>
      <c r="K131" s="329"/>
      <c r="L131" s="329"/>
      <c r="M131" s="329">
        <f>+J131/H$81</f>
        <v>7632.2466396303043</v>
      </c>
      <c r="N131" s="329">
        <f>+J131/H$79</f>
        <v>8853.4061019711535</v>
      </c>
      <c r="O131" s="166"/>
      <c r="P131" s="166"/>
      <c r="Q131" s="325"/>
      <c r="R131" s="325"/>
      <c r="S131" s="325"/>
      <c r="T131" s="325"/>
      <c r="U131" s="325"/>
      <c r="V131" s="166"/>
      <c r="W131" s="181"/>
      <c r="X131" s="166"/>
      <c r="Y131" s="166"/>
      <c r="Z131" s="166"/>
    </row>
    <row r="132" spans="2:30" ht="15.95" customHeight="1" x14ac:dyDescent="0.3">
      <c r="B132" s="177" t="s">
        <v>87</v>
      </c>
      <c r="C132" s="177"/>
      <c r="D132" s="166"/>
      <c r="E132" s="166"/>
      <c r="F132" s="166"/>
      <c r="G132" s="166"/>
      <c r="H132" s="166"/>
      <c r="I132" s="166"/>
      <c r="J132" s="263">
        <f>H76*H81</f>
        <v>339300</v>
      </c>
      <c r="K132" s="279"/>
      <c r="L132" s="279"/>
      <c r="M132" s="279">
        <f>+J132/H$81</f>
        <v>2250</v>
      </c>
      <c r="N132" s="279">
        <f>+J132/H$79</f>
        <v>2610</v>
      </c>
      <c r="O132" s="166"/>
      <c r="P132" s="166"/>
      <c r="Q132" s="166"/>
      <c r="R132" s="181"/>
      <c r="S132" s="166"/>
      <c r="T132" s="166"/>
      <c r="U132" s="181"/>
      <c r="V132" s="181"/>
      <c r="W132" s="181"/>
      <c r="X132" s="301"/>
      <c r="Y132" s="181"/>
      <c r="Z132" s="181"/>
      <c r="AA132" s="175"/>
      <c r="AB132" s="175"/>
      <c r="AC132" s="223"/>
      <c r="AD132" s="223"/>
    </row>
    <row r="133" spans="2:30" ht="15.95" customHeight="1" x14ac:dyDescent="0.3">
      <c r="B133" s="284" t="s">
        <v>68</v>
      </c>
      <c r="C133" s="284"/>
      <c r="D133" s="225"/>
      <c r="E133" s="225"/>
      <c r="F133" s="225"/>
      <c r="G133" s="225"/>
      <c r="H133" s="225"/>
      <c r="I133" s="225"/>
      <c r="J133" s="321">
        <f>+J131+J132</f>
        <v>1490242.79325625</v>
      </c>
      <c r="K133" s="292"/>
      <c r="L133" s="292"/>
      <c r="M133" s="321">
        <f>+M131+M132</f>
        <v>9882.2466396303043</v>
      </c>
      <c r="N133" s="321">
        <f>+N131+N132</f>
        <v>11463.406101971153</v>
      </c>
      <c r="O133" s="166"/>
      <c r="P133" s="166"/>
      <c r="Q133" s="166"/>
      <c r="R133" s="181"/>
      <c r="S133" s="166"/>
      <c r="T133" s="166"/>
      <c r="U133" s="181"/>
      <c r="V133" s="181"/>
      <c r="W133" s="181"/>
      <c r="X133" s="301"/>
      <c r="Y133" s="181"/>
      <c r="Z133" s="181"/>
      <c r="AA133" s="175"/>
      <c r="AB133" s="175"/>
      <c r="AC133" s="223"/>
      <c r="AD133" s="223"/>
    </row>
    <row r="134" spans="2:30" ht="15.95" customHeight="1" x14ac:dyDescent="0.3">
      <c r="B134" s="275"/>
      <c r="C134" s="177"/>
      <c r="D134" s="166"/>
      <c r="E134" s="166"/>
      <c r="F134" s="277"/>
      <c r="G134" s="297"/>
      <c r="H134" s="181"/>
      <c r="I134" s="181"/>
      <c r="J134" s="298"/>
      <c r="K134" s="181"/>
      <c r="L134" s="181"/>
      <c r="M134" s="181"/>
      <c r="N134" s="181"/>
      <c r="O134" s="302"/>
      <c r="P134" s="181"/>
      <c r="Q134" s="181"/>
      <c r="R134" s="181"/>
      <c r="S134" s="181"/>
      <c r="T134" s="166"/>
      <c r="U134" s="166"/>
      <c r="V134" s="166"/>
      <c r="W134" s="166"/>
      <c r="X134" s="166"/>
      <c r="Y134" s="166"/>
      <c r="Z134" s="166"/>
    </row>
    <row r="135" spans="2:30" ht="15.95" customHeight="1" x14ac:dyDescent="0.3">
      <c r="B135" s="284" t="s">
        <v>47</v>
      </c>
      <c r="C135" s="284"/>
      <c r="D135" s="284"/>
      <c r="E135" s="225"/>
      <c r="F135" s="291"/>
      <c r="G135" s="296"/>
      <c r="H135" s="296"/>
      <c r="I135" s="296"/>
      <c r="J135" s="225"/>
      <c r="K135" s="225"/>
      <c r="L135" s="225"/>
      <c r="M135" s="284"/>
      <c r="N135" s="284"/>
      <c r="O135" s="284"/>
      <c r="P135" s="284"/>
      <c r="Q135" s="177"/>
      <c r="R135" s="177"/>
      <c r="S135" s="177"/>
      <c r="T135" s="166"/>
      <c r="U135" s="166"/>
      <c r="V135" s="166"/>
      <c r="W135" s="166"/>
      <c r="X135" s="166"/>
      <c r="Y135" s="166"/>
      <c r="Z135" s="166"/>
    </row>
    <row r="136" spans="2:30" ht="15.95" customHeight="1" x14ac:dyDescent="0.3">
      <c r="B136" s="177"/>
      <c r="C136" s="177"/>
      <c r="D136" s="177"/>
      <c r="E136" s="166"/>
      <c r="F136" s="434" t="s">
        <v>83</v>
      </c>
      <c r="G136" s="434"/>
      <c r="H136" s="434"/>
      <c r="I136" s="434"/>
      <c r="J136" s="434"/>
      <c r="K136" s="303"/>
      <c r="L136" s="434" t="s">
        <v>84</v>
      </c>
      <c r="M136" s="434"/>
      <c r="N136" s="434" t="s">
        <v>85</v>
      </c>
      <c r="O136" s="434"/>
      <c r="P136" s="303" t="s">
        <v>18</v>
      </c>
      <c r="Q136" s="177"/>
      <c r="R136" s="177"/>
      <c r="S136" s="177"/>
      <c r="T136" s="166"/>
      <c r="U136" s="166"/>
      <c r="V136" s="166"/>
      <c r="W136" s="166"/>
      <c r="X136" s="166"/>
      <c r="Y136" s="166"/>
      <c r="Z136" s="166"/>
    </row>
    <row r="137" spans="2:30" ht="15.95" customHeight="1" x14ac:dyDescent="0.3">
      <c r="B137" s="166"/>
      <c r="C137" s="166"/>
      <c r="D137" s="166"/>
      <c r="E137" s="166"/>
      <c r="F137" s="288" t="s">
        <v>158</v>
      </c>
      <c r="G137" s="286"/>
      <c r="H137" s="288" t="s">
        <v>51</v>
      </c>
      <c r="I137" s="286"/>
      <c r="J137" s="304" t="s">
        <v>16</v>
      </c>
      <c r="K137" s="286"/>
      <c r="L137" s="288" t="s">
        <v>160</v>
      </c>
      <c r="M137" s="304" t="s">
        <v>161</v>
      </c>
      <c r="N137" s="288" t="s">
        <v>160</v>
      </c>
      <c r="O137" s="304" t="s">
        <v>161</v>
      </c>
      <c r="P137" s="287" t="s">
        <v>82</v>
      </c>
      <c r="Q137" s="166"/>
      <c r="R137" s="166"/>
      <c r="S137" s="305"/>
      <c r="T137" s="181"/>
      <c r="U137" s="166"/>
      <c r="V137" s="305"/>
      <c r="W137" s="166"/>
      <c r="X137" s="166"/>
      <c r="Y137" s="166"/>
      <c r="Z137" s="166"/>
    </row>
    <row r="138" spans="2:30" ht="15.95" customHeight="1" x14ac:dyDescent="0.3">
      <c r="B138" s="166"/>
      <c r="C138" s="177" t="s">
        <v>48</v>
      </c>
      <c r="D138" s="166"/>
      <c r="E138" s="166"/>
      <c r="F138" s="306">
        <f>Inputs!C36</f>
        <v>7.7499999999999999E-2</v>
      </c>
      <c r="G138" s="307"/>
      <c r="H138" s="306">
        <f>Inputs!C36</f>
        <v>7.7499999999999999E-2</v>
      </c>
      <c r="I138" s="307"/>
      <c r="J138" s="308">
        <f>H138</f>
        <v>7.7499999999999999E-2</v>
      </c>
      <c r="K138" s="166"/>
      <c r="L138" s="326">
        <f t="shared" ref="L138:M141" si="13">N138*$H$81</f>
        <v>44869.286562547662</v>
      </c>
      <c r="M138" s="326">
        <f t="shared" si="13"/>
        <v>4646.125</v>
      </c>
      <c r="N138" s="279">
        <f>R119</f>
        <v>297.54168808055476</v>
      </c>
      <c r="O138" s="279">
        <f>R129</f>
        <v>30.809847480106097</v>
      </c>
      <c r="P138" s="263">
        <f>N138+O138</f>
        <v>328.35153556066086</v>
      </c>
      <c r="Q138" s="166"/>
      <c r="R138" s="166"/>
      <c r="S138" s="166"/>
      <c r="T138" s="181"/>
      <c r="U138" s="166"/>
      <c r="V138" s="166"/>
      <c r="W138" s="166"/>
      <c r="X138" s="166"/>
      <c r="Y138" s="166"/>
      <c r="Z138" s="166"/>
    </row>
    <row r="139" spans="2:30" ht="15.95" customHeight="1" x14ac:dyDescent="0.3">
      <c r="B139" s="166"/>
      <c r="C139" s="177" t="s">
        <v>49</v>
      </c>
      <c r="D139" s="166"/>
      <c r="E139" s="166"/>
      <c r="F139" s="217">
        <v>0</v>
      </c>
      <c r="G139" s="166"/>
      <c r="H139" s="217">
        <v>2.5000000000000001E-3</v>
      </c>
      <c r="I139" s="166"/>
      <c r="J139" s="217">
        <v>2.5000000000000001E-3</v>
      </c>
      <c r="K139" s="166"/>
      <c r="L139" s="326">
        <f t="shared" si="13"/>
        <v>2544.3569831406248</v>
      </c>
      <c r="M139" s="326">
        <f t="shared" si="13"/>
        <v>272.5</v>
      </c>
      <c r="N139" s="279">
        <f>S119</f>
        <v>16.872393787404672</v>
      </c>
      <c r="O139" s="279">
        <f>S129</f>
        <v>1.8070291777188328</v>
      </c>
      <c r="P139" s="263">
        <f>N139+O139</f>
        <v>18.679422965123504</v>
      </c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</row>
    <row r="140" spans="2:30" ht="15.95" customHeight="1" x14ac:dyDescent="0.3">
      <c r="B140" s="166"/>
      <c r="C140" s="177" t="s">
        <v>321</v>
      </c>
      <c r="D140" s="166"/>
      <c r="E140" s="166"/>
      <c r="F140" s="217">
        <v>5.0000000000000001E-3</v>
      </c>
      <c r="G140" s="166"/>
      <c r="H140" s="217">
        <v>1.4999999999999999E-2</v>
      </c>
      <c r="I140" s="166"/>
      <c r="J140" s="217">
        <v>0</v>
      </c>
      <c r="K140" s="166"/>
      <c r="L140" s="326">
        <f t="shared" si="13"/>
        <v>15362.141898843753</v>
      </c>
      <c r="M140" s="326">
        <f t="shared" si="13"/>
        <v>0</v>
      </c>
      <c r="N140" s="279">
        <f>T119</f>
        <v>101.87096749896386</v>
      </c>
      <c r="O140" s="279">
        <f>T129</f>
        <v>0</v>
      </c>
      <c r="P140" s="263">
        <f>N140+O140</f>
        <v>101.87096749896386</v>
      </c>
      <c r="Q140" s="166"/>
      <c r="R140" s="166"/>
      <c r="S140" s="166"/>
      <c r="T140" s="166"/>
      <c r="U140" s="166"/>
      <c r="V140" s="166"/>
      <c r="W140" s="166"/>
      <c r="X140" s="166"/>
      <c r="Y140" s="166"/>
      <c r="Z140" s="166"/>
    </row>
    <row r="141" spans="2:30" ht="15.95" customHeight="1" x14ac:dyDescent="0.3">
      <c r="B141" s="166"/>
      <c r="C141" s="177" t="s">
        <v>25</v>
      </c>
      <c r="D141" s="166"/>
      <c r="E141" s="166"/>
      <c r="F141" s="309" t="s">
        <v>81</v>
      </c>
      <c r="G141" s="166"/>
      <c r="H141" s="309" t="s">
        <v>81</v>
      </c>
      <c r="I141" s="166"/>
      <c r="J141" s="309" t="s">
        <v>81</v>
      </c>
      <c r="K141" s="166"/>
      <c r="L141" s="326">
        <f t="shared" si="13"/>
        <v>61064.567595374996</v>
      </c>
      <c r="M141" s="326">
        <f t="shared" si="13"/>
        <v>9810</v>
      </c>
      <c r="N141" s="279">
        <f>Q119</f>
        <v>404.93745089771215</v>
      </c>
      <c r="O141" s="279">
        <f>Q129</f>
        <v>65.053050397877982</v>
      </c>
      <c r="P141" s="263">
        <f>N141+O141</f>
        <v>469.99050129559015</v>
      </c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</row>
    <row r="142" spans="2:30" ht="15.95" customHeight="1" x14ac:dyDescent="0.3"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279"/>
      <c r="M142" s="279"/>
      <c r="N142" s="263"/>
      <c r="O142" s="279"/>
      <c r="P142" s="263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</row>
    <row r="143" spans="2:30" ht="15.95" customHeight="1" x14ac:dyDescent="0.3">
      <c r="B143" s="284" t="s">
        <v>52</v>
      </c>
      <c r="C143" s="225"/>
      <c r="D143" s="225"/>
      <c r="E143" s="225"/>
      <c r="F143" s="225"/>
      <c r="G143" s="225"/>
      <c r="H143" s="225"/>
      <c r="I143" s="225"/>
      <c r="J143" s="225"/>
      <c r="K143" s="225"/>
      <c r="L143" s="327">
        <f>N143*$H$81</f>
        <v>123840.35303990704</v>
      </c>
      <c r="M143" s="327">
        <f>O143*$H$81</f>
        <v>14728.625</v>
      </c>
      <c r="N143" s="292">
        <f>SUM(N138:N141)</f>
        <v>821.22250026463553</v>
      </c>
      <c r="O143" s="292">
        <f>SUM(O138:O141)</f>
        <v>97.669927055702914</v>
      </c>
      <c r="P143" s="321">
        <f>N143+O143</f>
        <v>918.89242732033847</v>
      </c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</row>
    <row r="144" spans="2:30" ht="15.95" customHeight="1" x14ac:dyDescent="0.3">
      <c r="B144" s="310" t="str">
        <f>"* Per cow in the herd (multiply by "&amp;FIXED(J81*100,0,TRUE)&amp;"% for lactating cow basis)"</f>
        <v>* Per cow in the herd (multiply by 116% for lactating cow basis)</v>
      </c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77"/>
      <c r="O144" s="177"/>
      <c r="P144" s="177"/>
      <c r="Q144" s="177"/>
      <c r="R144" s="177"/>
      <c r="S144" s="177"/>
      <c r="T144" s="166"/>
      <c r="U144" s="166"/>
      <c r="V144" s="166"/>
      <c r="W144" s="166"/>
      <c r="X144" s="166"/>
      <c r="Y144" s="166"/>
      <c r="Z144" s="166"/>
    </row>
    <row r="145" spans="2:26" ht="15.95" hidden="1" customHeight="1" x14ac:dyDescent="0.3"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66"/>
      <c r="U145" s="166"/>
      <c r="V145" s="166"/>
      <c r="W145" s="166"/>
      <c r="X145" s="166"/>
      <c r="Y145" s="166"/>
      <c r="Z145" s="166"/>
    </row>
    <row r="146" spans="2:26" ht="16.5" hidden="1" x14ac:dyDescent="0.3"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</row>
    <row r="147" spans="2:26" ht="16.5" hidden="1" x14ac:dyDescent="0.3"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</row>
    <row r="148" spans="2:26" ht="16.5" hidden="1" x14ac:dyDescent="0.3"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</row>
    <row r="149" spans="2:26" ht="16.5" hidden="1" x14ac:dyDescent="0.3">
      <c r="B149" s="192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</row>
    <row r="150" spans="2:26" ht="16.5" hidden="1" x14ac:dyDescent="0.3"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</row>
    <row r="151" spans="2:26" ht="16.5" hidden="1" x14ac:dyDescent="0.3"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/>
    </row>
    <row r="152" spans="2:26" ht="16.5" hidden="1" x14ac:dyDescent="0.3"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</row>
    <row r="153" spans="2:26" ht="16.5" hidden="1" x14ac:dyDescent="0.3">
      <c r="B153" s="192"/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</row>
    <row r="154" spans="2:26" ht="16.5" hidden="1" x14ac:dyDescent="0.3"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</row>
    <row r="155" spans="2:26" ht="16.5" hidden="1" x14ac:dyDescent="0.3">
      <c r="B155" s="166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</row>
    <row r="156" spans="2:26" ht="16.5" hidden="1" x14ac:dyDescent="0.3">
      <c r="B156" s="166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</row>
    <row r="157" spans="2:26" ht="16.5" hidden="1" x14ac:dyDescent="0.3">
      <c r="B157" s="166"/>
      <c r="C157" s="192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  <c r="Z157" s="166"/>
    </row>
    <row r="158" spans="2:26" ht="16.5" hidden="1" x14ac:dyDescent="0.3"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  <c r="Z158" s="166"/>
    </row>
    <row r="159" spans="2:26" ht="16.5" hidden="1" x14ac:dyDescent="0.3">
      <c r="B159" s="166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6"/>
    </row>
    <row r="160" spans="2:26" ht="16.5" hidden="1" x14ac:dyDescent="0.3">
      <c r="B160" s="166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</row>
    <row r="161" spans="2:26" ht="16.5" hidden="1" x14ac:dyDescent="0.3">
      <c r="B161" s="166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</row>
    <row r="162" spans="2:26" ht="16.5" hidden="1" x14ac:dyDescent="0.3">
      <c r="B162" s="166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</row>
    <row r="163" spans="2:26" ht="16.5" hidden="1" x14ac:dyDescent="0.3">
      <c r="B163" s="166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</row>
    <row r="164" spans="2:26" ht="16.5" hidden="1" x14ac:dyDescent="0.3"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</row>
    <row r="165" spans="2:26" ht="16.5" hidden="1" x14ac:dyDescent="0.3">
      <c r="B165" s="166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6"/>
    </row>
    <row r="166" spans="2:26" ht="16.5" hidden="1" x14ac:dyDescent="0.3"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6"/>
    </row>
    <row r="167" spans="2:26" ht="16.5" hidden="1" x14ac:dyDescent="0.3"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6"/>
    </row>
    <row r="168" spans="2:26" ht="16.5" hidden="1" x14ac:dyDescent="0.3">
      <c r="B168" s="166"/>
      <c r="C168" s="192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66"/>
      <c r="W168" s="166"/>
      <c r="X168" s="166"/>
      <c r="Y168" s="166"/>
      <c r="Z168" s="166"/>
    </row>
    <row r="169" spans="2:26" ht="16.5" hidden="1" x14ac:dyDescent="0.3">
      <c r="B169" s="166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</row>
    <row r="170" spans="2:26" ht="16.5" hidden="1" x14ac:dyDescent="0.3">
      <c r="B170" s="192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6"/>
    </row>
    <row r="171" spans="2:26" ht="16.5" hidden="1" x14ac:dyDescent="0.3">
      <c r="B171" s="166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6"/>
    </row>
    <row r="172" spans="2:26" ht="16.5" hidden="1" x14ac:dyDescent="0.3"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6"/>
      <c r="W172" s="166"/>
      <c r="X172" s="166"/>
      <c r="Y172" s="166"/>
      <c r="Z172" s="166"/>
    </row>
    <row r="173" spans="2:26" ht="16.5" hidden="1" x14ac:dyDescent="0.3">
      <c r="B173" s="166"/>
      <c r="C173" s="192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  <c r="S173" s="166"/>
      <c r="T173" s="166"/>
      <c r="U173" s="166"/>
      <c r="V173" s="166"/>
      <c r="W173" s="166"/>
      <c r="X173" s="166"/>
      <c r="Y173" s="166"/>
      <c r="Z173" s="166"/>
    </row>
    <row r="174" spans="2:26" ht="16.5" hidden="1" x14ac:dyDescent="0.3">
      <c r="B174" s="166"/>
      <c r="C174" s="166"/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</row>
    <row r="175" spans="2:26" ht="16.5" hidden="1" x14ac:dyDescent="0.3">
      <c r="B175" s="192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</row>
    <row r="176" spans="2:26" ht="16.5" hidden="1" x14ac:dyDescent="0.3"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</row>
    <row r="177" spans="2:26" ht="16.5" hidden="1" x14ac:dyDescent="0.3">
      <c r="B177" s="192"/>
      <c r="C177" s="166"/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  <c r="S177" s="166"/>
      <c r="T177" s="166"/>
      <c r="U177" s="166"/>
      <c r="V177" s="166"/>
      <c r="W177" s="166"/>
      <c r="X177" s="166"/>
      <c r="Y177" s="166"/>
      <c r="Z177" s="166"/>
    </row>
    <row r="178" spans="2:26" ht="16.5" hidden="1" x14ac:dyDescent="0.3">
      <c r="B178" s="192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  <c r="S178" s="166"/>
      <c r="T178" s="166"/>
      <c r="U178" s="166"/>
      <c r="V178" s="166"/>
      <c r="W178" s="166"/>
      <c r="X178" s="166"/>
      <c r="Y178" s="166"/>
      <c r="Z178" s="166"/>
    </row>
    <row r="179" spans="2:26" ht="16.5" hidden="1" x14ac:dyDescent="0.3"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66"/>
      <c r="W179" s="166"/>
      <c r="X179" s="166"/>
      <c r="Y179" s="166"/>
      <c r="Z179" s="166"/>
    </row>
    <row r="180" spans="2:26" ht="16.5" hidden="1" x14ac:dyDescent="0.3">
      <c r="B180" s="166"/>
      <c r="C180" s="166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  <c r="S180" s="166"/>
      <c r="T180" s="166"/>
      <c r="U180" s="166"/>
      <c r="V180" s="166"/>
      <c r="W180" s="166"/>
      <c r="X180" s="166"/>
      <c r="Y180" s="166"/>
      <c r="Z180" s="166"/>
    </row>
    <row r="181" spans="2:26" ht="16.5" hidden="1" x14ac:dyDescent="0.3">
      <c r="B181" s="166"/>
      <c r="C181" s="166"/>
      <c r="D181" s="166"/>
      <c r="E181" s="166"/>
      <c r="F181" s="311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6"/>
      <c r="Z181" s="166"/>
    </row>
    <row r="182" spans="2:26" ht="16.5" hidden="1" x14ac:dyDescent="0.3"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6"/>
      <c r="U182" s="166"/>
      <c r="V182" s="166"/>
      <c r="W182" s="166"/>
      <c r="X182" s="166"/>
      <c r="Y182" s="166"/>
      <c r="Z182" s="166"/>
    </row>
    <row r="183" spans="2:26" ht="16.5" hidden="1" x14ac:dyDescent="0.3">
      <c r="B183" s="166"/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6"/>
      <c r="Z183" s="166"/>
    </row>
    <row r="184" spans="2:26" ht="16.5" hidden="1" x14ac:dyDescent="0.3">
      <c r="B184" s="166"/>
      <c r="C184" s="166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  <c r="S184" s="166"/>
      <c r="T184" s="166"/>
      <c r="U184" s="166"/>
      <c r="V184" s="166"/>
      <c r="W184" s="166"/>
      <c r="X184" s="166"/>
      <c r="Y184" s="166"/>
      <c r="Z184" s="166"/>
    </row>
    <row r="185" spans="2:26" ht="16.5" hidden="1" x14ac:dyDescent="0.3"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  <c r="U185" s="166"/>
      <c r="V185" s="166"/>
      <c r="W185" s="166"/>
      <c r="X185" s="166"/>
      <c r="Y185" s="166"/>
      <c r="Z185" s="166"/>
    </row>
    <row r="186" spans="2:26" ht="16.5" hidden="1" x14ac:dyDescent="0.3">
      <c r="B186" s="166"/>
      <c r="C186" s="166"/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6"/>
      <c r="U186" s="166"/>
      <c r="V186" s="166"/>
      <c r="W186" s="166"/>
      <c r="X186" s="166"/>
      <c r="Y186" s="166"/>
      <c r="Z186" s="166"/>
    </row>
    <row r="191" spans="2:26" hidden="1" x14ac:dyDescent="0.25">
      <c r="B191" s="164"/>
    </row>
    <row r="195" spans="2:3" hidden="1" x14ac:dyDescent="0.25">
      <c r="B195" s="164"/>
    </row>
    <row r="199" spans="2:3" hidden="1" x14ac:dyDescent="0.25">
      <c r="C199" s="164"/>
    </row>
    <row r="210" spans="2:6" hidden="1" x14ac:dyDescent="0.25">
      <c r="C210" s="164"/>
    </row>
    <row r="212" spans="2:6" hidden="1" x14ac:dyDescent="0.25">
      <c r="B212" s="164"/>
    </row>
    <row r="215" spans="2:6" hidden="1" x14ac:dyDescent="0.25">
      <c r="C215" s="164"/>
    </row>
    <row r="217" spans="2:6" hidden="1" x14ac:dyDescent="0.25">
      <c r="B217" s="164"/>
    </row>
    <row r="219" spans="2:6" hidden="1" x14ac:dyDescent="0.25">
      <c r="B219" s="164"/>
    </row>
    <row r="220" spans="2:6" hidden="1" x14ac:dyDescent="0.25">
      <c r="B220" s="164"/>
    </row>
    <row r="223" spans="2:6" hidden="1" x14ac:dyDescent="0.25">
      <c r="F223" s="224"/>
    </row>
    <row r="238" spans="2:2" hidden="1" x14ac:dyDescent="0.25">
      <c r="B238" s="164"/>
    </row>
    <row r="242" spans="2:3" hidden="1" x14ac:dyDescent="0.25">
      <c r="B242" s="164"/>
    </row>
    <row r="246" spans="2:3" hidden="1" x14ac:dyDescent="0.25">
      <c r="C246" s="164"/>
    </row>
    <row r="257" spans="2:6" hidden="1" x14ac:dyDescent="0.25">
      <c r="C257" s="164"/>
    </row>
    <row r="259" spans="2:6" hidden="1" x14ac:dyDescent="0.25">
      <c r="B259" s="164"/>
    </row>
    <row r="262" spans="2:6" hidden="1" x14ac:dyDescent="0.25">
      <c r="C262" s="164"/>
    </row>
    <row r="264" spans="2:6" hidden="1" x14ac:dyDescent="0.25">
      <c r="B264" s="164"/>
    </row>
    <row r="266" spans="2:6" hidden="1" x14ac:dyDescent="0.25">
      <c r="B266" s="164"/>
    </row>
    <row r="267" spans="2:6" hidden="1" x14ac:dyDescent="0.25">
      <c r="B267" s="164"/>
    </row>
    <row r="270" spans="2:6" hidden="1" x14ac:dyDescent="0.25">
      <c r="F270" s="224"/>
    </row>
  </sheetData>
  <sheetProtection sheet="1" objects="1" scenarios="1"/>
  <mergeCells count="9">
    <mergeCell ref="N136:O136"/>
    <mergeCell ref="B1:L1"/>
    <mergeCell ref="F3:H3"/>
    <mergeCell ref="J3:L3"/>
    <mergeCell ref="F136:J136"/>
    <mergeCell ref="L136:M136"/>
    <mergeCell ref="C22:D22"/>
    <mergeCell ref="H44:J44"/>
    <mergeCell ref="H57:J57"/>
  </mergeCells>
  <pageMargins left="0.7" right="0.7" top="0.75" bottom="0.75" header="0.3" footer="0.3"/>
  <pageSetup orientation="portrait" r:id="rId1"/>
  <ignoredErrors>
    <ignoredError sqref="F138 H138 H53 J53 J65 H76 F104:F108 F114 L82 F12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91"/>
  <sheetViews>
    <sheetView topLeftCell="A116" zoomScale="130" zoomScaleNormal="130" zoomScaleSheetLayoutView="100" workbookViewId="0">
      <selection activeCell="J79" sqref="J79"/>
    </sheetView>
  </sheetViews>
  <sheetFormatPr defaultColWidth="0" defaultRowHeight="14.25" zeroHeight="1" x14ac:dyDescent="0.25"/>
  <cols>
    <col min="1" max="1" width="2.77734375" style="165" customWidth="1"/>
    <col min="2" max="2" width="3.21875" style="165" customWidth="1"/>
    <col min="3" max="3" width="18.5546875" style="165" customWidth="1"/>
    <col min="4" max="4" width="18.21875" style="165" customWidth="1"/>
    <col min="5" max="5" width="2" style="165" customWidth="1"/>
    <col min="6" max="6" width="10" style="165" customWidth="1"/>
    <col min="7" max="7" width="1.33203125" style="165" customWidth="1"/>
    <col min="8" max="8" width="9.44140625" style="165" customWidth="1"/>
    <col min="9" max="9" width="1.33203125" style="165" customWidth="1"/>
    <col min="10" max="10" width="9.5546875" style="165" customWidth="1"/>
    <col min="11" max="11" width="1.33203125" style="165" customWidth="1"/>
    <col min="12" max="12" width="8.77734375" style="165" customWidth="1"/>
    <col min="13" max="13" width="6.88671875" style="165" customWidth="1"/>
    <col min="14" max="14" width="7.5546875" style="165" customWidth="1"/>
    <col min="15" max="15" width="6.109375" style="165" customWidth="1"/>
    <col min="16" max="16" width="7.6640625" style="165" customWidth="1"/>
    <col min="17" max="21" width="6.77734375" style="165" customWidth="1"/>
    <col min="22" max="22" width="6.77734375" style="165" hidden="1" customWidth="1"/>
    <col min="23" max="33" width="0" style="165" hidden="1" customWidth="1"/>
    <col min="34" max="16384" width="7.109375" style="165" hidden="1"/>
  </cols>
  <sheetData>
    <row r="1" spans="2:12" ht="21" thickBot="1" x14ac:dyDescent="0.4">
      <c r="B1" s="435" t="s">
        <v>323</v>
      </c>
      <c r="C1" s="436"/>
      <c r="D1" s="436"/>
      <c r="E1" s="436"/>
      <c r="F1" s="436"/>
      <c r="G1" s="436"/>
      <c r="H1" s="436"/>
      <c r="I1" s="436"/>
      <c r="J1" s="436"/>
      <c r="K1" s="436"/>
      <c r="L1" s="437"/>
    </row>
    <row r="2" spans="2:12" ht="15.95" customHeight="1" x14ac:dyDescent="0.3">
      <c r="B2" s="238"/>
      <c r="C2" s="166"/>
      <c r="D2" s="166"/>
      <c r="E2" s="166"/>
      <c r="F2" s="166"/>
      <c r="G2" s="166"/>
      <c r="H2" s="166"/>
      <c r="I2" s="166"/>
      <c r="J2" s="166"/>
      <c r="K2" s="166"/>
      <c r="L2" s="241"/>
    </row>
    <row r="3" spans="2:12" ht="15.95" customHeight="1" x14ac:dyDescent="0.3">
      <c r="B3" s="351"/>
      <c r="C3" s="300"/>
      <c r="D3" s="300"/>
      <c r="E3" s="300"/>
      <c r="F3" s="447" t="s">
        <v>184</v>
      </c>
      <c r="G3" s="447"/>
      <c r="H3" s="447"/>
      <c r="I3" s="300"/>
      <c r="J3" s="447" t="s">
        <v>185</v>
      </c>
      <c r="K3" s="447"/>
      <c r="L3" s="448"/>
    </row>
    <row r="4" spans="2:12" ht="15.95" customHeight="1" x14ac:dyDescent="0.3">
      <c r="B4" s="236"/>
      <c r="C4" s="225"/>
      <c r="D4" s="225"/>
      <c r="E4" s="225"/>
      <c r="F4" s="226" t="s">
        <v>45</v>
      </c>
      <c r="G4" s="227"/>
      <c r="H4" s="226" t="s">
        <v>324</v>
      </c>
      <c r="I4" s="225"/>
      <c r="J4" s="226" t="s">
        <v>45</v>
      </c>
      <c r="K4" s="227"/>
      <c r="L4" s="239" t="s">
        <v>324</v>
      </c>
    </row>
    <row r="5" spans="2:12" ht="15.95" customHeight="1" x14ac:dyDescent="0.3">
      <c r="B5" s="238"/>
      <c r="C5" s="166"/>
      <c r="D5" s="166"/>
      <c r="E5" s="370"/>
      <c r="F5" s="371"/>
      <c r="G5" s="371"/>
      <c r="H5" s="371"/>
      <c r="I5" s="371"/>
      <c r="J5" s="371"/>
      <c r="K5" s="371"/>
      <c r="L5" s="352"/>
    </row>
    <row r="6" spans="2:12" ht="15.95" customHeight="1" x14ac:dyDescent="0.3">
      <c r="B6" s="240" t="s">
        <v>223</v>
      </c>
      <c r="C6" s="166"/>
      <c r="D6" s="166"/>
      <c r="E6" s="166"/>
      <c r="F6" s="166"/>
      <c r="G6" s="166"/>
      <c r="H6" s="166"/>
      <c r="I6" s="166"/>
      <c r="J6" s="166"/>
      <c r="K6" s="166"/>
      <c r="L6" s="241"/>
    </row>
    <row r="7" spans="2:12" ht="15.95" customHeight="1" x14ac:dyDescent="0.3">
      <c r="B7" s="238"/>
      <c r="C7" s="166" t="str">
        <f>"Milk sales @ $"&amp;H54&amp;"/cwt"</f>
        <v>Milk sales @ $22.5/cwt</v>
      </c>
      <c r="D7" s="166"/>
      <c r="E7" s="166"/>
      <c r="F7" s="357">
        <f>H51*H54/100</f>
        <v>2475.0532125</v>
      </c>
      <c r="G7" s="358"/>
      <c r="H7" s="358">
        <f>F7/$H$51*100</f>
        <v>22.5</v>
      </c>
      <c r="I7" s="358"/>
      <c r="J7" s="357">
        <f>J51*J54/100</f>
        <v>3150.0677250000003</v>
      </c>
      <c r="K7" s="358"/>
      <c r="L7" s="359">
        <f>J7/$J$51*100</f>
        <v>22.5</v>
      </c>
    </row>
    <row r="8" spans="2:12" ht="15.95" customHeight="1" x14ac:dyDescent="0.3">
      <c r="B8" s="238"/>
      <c r="C8" s="166" t="s">
        <v>172</v>
      </c>
      <c r="D8" s="166"/>
      <c r="E8" s="166"/>
      <c r="F8" s="357">
        <f>H51*H55/100</f>
        <v>0</v>
      </c>
      <c r="G8" s="358"/>
      <c r="H8" s="358">
        <f>F8/$H$51*100</f>
        <v>0</v>
      </c>
      <c r="I8" s="358"/>
      <c r="J8" s="357">
        <f>J51*J55/100</f>
        <v>0</v>
      </c>
      <c r="K8" s="358"/>
      <c r="L8" s="359">
        <f>J8/$J$51*100</f>
        <v>0</v>
      </c>
    </row>
    <row r="9" spans="2:12" ht="15.95" customHeight="1" x14ac:dyDescent="0.3">
      <c r="B9" s="238"/>
      <c r="C9" s="166" t="s">
        <v>173</v>
      </c>
      <c r="D9" s="166"/>
      <c r="E9" s="166"/>
      <c r="F9" s="357">
        <f>H51*H56/100</f>
        <v>0</v>
      </c>
      <c r="G9" s="358"/>
      <c r="H9" s="358">
        <f>F9/$H$51*100</f>
        <v>0</v>
      </c>
      <c r="I9" s="358"/>
      <c r="J9" s="357">
        <f>J51*J56/100</f>
        <v>0</v>
      </c>
      <c r="K9" s="358"/>
      <c r="L9" s="359">
        <f>J9/$J$51*100</f>
        <v>0</v>
      </c>
    </row>
    <row r="10" spans="2:12" ht="15.95" customHeight="1" x14ac:dyDescent="0.3">
      <c r="B10" s="238"/>
      <c r="C10" s="166" t="s">
        <v>239</v>
      </c>
      <c r="D10" s="166"/>
      <c r="E10" s="166"/>
      <c r="F10" s="357">
        <f>IF($H$78=0,$H$84*((Inputs!C29+Inputs!C32)/2),($J$84*Inputs!C29)+($L$84*Inputs!C32))</f>
        <v>310</v>
      </c>
      <c r="G10" s="358"/>
      <c r="H10" s="358">
        <f>F10/$H$51*100</f>
        <v>2.818121228575404</v>
      </c>
      <c r="I10" s="358"/>
      <c r="J10" s="357">
        <f>IF($H$78=0,$H$84*((Inputs!C29+Inputs!C32)/2),($J$84*Inputs!C29)+($L$84*Inputs!C32))</f>
        <v>310</v>
      </c>
      <c r="K10" s="358"/>
      <c r="L10" s="359">
        <f>J10/$J$51*100</f>
        <v>2.2142381081663887</v>
      </c>
    </row>
    <row r="11" spans="2:12" ht="15.95" customHeight="1" x14ac:dyDescent="0.3">
      <c r="B11" s="238"/>
      <c r="C11" s="166" t="str">
        <f>"Cull cow sales: "&amp;H89&amp;" lbs. x "&amp;H87*100&amp;"% x $"&amp;H88&amp;"/cwt"</f>
        <v>Cull cow sales: 1100 lbs. x 18% x $128/cwt</v>
      </c>
      <c r="D11" s="166"/>
      <c r="E11" s="166"/>
      <c r="F11" s="360">
        <f>$H$89*$H$87*$H$88/100</f>
        <v>253.44</v>
      </c>
      <c r="G11" s="358"/>
      <c r="H11" s="361">
        <f>F11/$H$51*100</f>
        <v>2.3039504650650011</v>
      </c>
      <c r="I11" s="358"/>
      <c r="J11" s="360">
        <f>$H$89*$H$87*$H$88/100</f>
        <v>253.44</v>
      </c>
      <c r="K11" s="358"/>
      <c r="L11" s="362">
        <f>J11/$J$51*100</f>
        <v>1.8102467939796436</v>
      </c>
    </row>
    <row r="12" spans="2:12" ht="15.95" customHeight="1" x14ac:dyDescent="0.3">
      <c r="B12" s="238"/>
      <c r="C12" s="192"/>
      <c r="D12" s="242" t="s">
        <v>225</v>
      </c>
      <c r="E12" s="166"/>
      <c r="F12" s="372">
        <f>SUM(F7:F11)</f>
        <v>3038.4932125</v>
      </c>
      <c r="G12" s="221"/>
      <c r="H12" s="372">
        <f>SUM(H7:H11)</f>
        <v>27.622071693640404</v>
      </c>
      <c r="I12" s="221"/>
      <c r="J12" s="372">
        <f>SUM(J7:J11)</f>
        <v>3713.5077250000004</v>
      </c>
      <c r="K12" s="221"/>
      <c r="L12" s="243">
        <f>SUM(L7:L11)</f>
        <v>26.524484902146032</v>
      </c>
    </row>
    <row r="13" spans="2:12" ht="15.95" customHeight="1" x14ac:dyDescent="0.3">
      <c r="B13" s="238"/>
      <c r="C13" s="166"/>
      <c r="D13" s="166"/>
      <c r="E13" s="166"/>
      <c r="F13" s="166"/>
      <c r="G13" s="232"/>
      <c r="H13" s="166"/>
      <c r="I13" s="232"/>
      <c r="J13" s="337"/>
      <c r="K13" s="232"/>
      <c r="L13" s="241"/>
    </row>
    <row r="14" spans="2:12" ht="15.95" customHeight="1" x14ac:dyDescent="0.3">
      <c r="B14" s="240" t="s">
        <v>224</v>
      </c>
      <c r="C14" s="166"/>
      <c r="D14" s="166"/>
      <c r="E14" s="166"/>
      <c r="F14" s="166"/>
      <c r="G14" s="232"/>
      <c r="H14" s="166"/>
      <c r="I14" s="232"/>
      <c r="J14" s="337"/>
      <c r="K14" s="232"/>
      <c r="L14" s="241"/>
    </row>
    <row r="15" spans="2:12" ht="15.95" customHeight="1" x14ac:dyDescent="0.3">
      <c r="B15" s="238"/>
      <c r="C15" s="166" t="s">
        <v>20</v>
      </c>
      <c r="D15" s="166"/>
      <c r="E15" s="166"/>
      <c r="F15" s="357">
        <f>IF($H$78=0,'Cow Feed'!$D$63,'Cow Feed'!$H$63)</f>
        <v>1066.0543269047619</v>
      </c>
      <c r="G15" s="358"/>
      <c r="H15" s="357">
        <f t="shared" ref="H15:H21" si="0">F15/$H$51*100</f>
        <v>9.6911946111773322</v>
      </c>
      <c r="I15" s="358"/>
      <c r="J15" s="357">
        <f>IF($H$78=0,'Cow Feed'!F63,'Cow Feed'!I63)</f>
        <v>1146.5113526190476</v>
      </c>
      <c r="K15" s="358"/>
      <c r="L15" s="359">
        <f t="shared" ref="L15:L21" si="1">J15/$J$51*100</f>
        <v>8.189190736820926</v>
      </c>
    </row>
    <row r="16" spans="2:12" ht="15.95" customHeight="1" x14ac:dyDescent="0.3">
      <c r="B16" s="238"/>
      <c r="C16" s="166" t="s">
        <v>174</v>
      </c>
      <c r="D16" s="166"/>
      <c r="E16" s="166"/>
      <c r="F16" s="357">
        <f>($L$60*$H$81/$H$60)/$H$83</f>
        <v>437.5</v>
      </c>
      <c r="G16" s="358"/>
      <c r="H16" s="357">
        <f t="shared" si="0"/>
        <v>3.9771872177475456</v>
      </c>
      <c r="I16" s="358"/>
      <c r="J16" s="357">
        <f>($L$60*$H$81/$J$60)/$H$83</f>
        <v>437.5</v>
      </c>
      <c r="K16" s="358"/>
      <c r="L16" s="359">
        <f t="shared" si="1"/>
        <v>3.1249328139445001</v>
      </c>
    </row>
    <row r="17" spans="2:12" ht="15.95" customHeight="1" x14ac:dyDescent="0.3">
      <c r="B17" s="238"/>
      <c r="C17" s="166" t="s">
        <v>1</v>
      </c>
      <c r="D17" s="166"/>
      <c r="E17" s="166"/>
      <c r="F17" s="357">
        <f>H61</f>
        <v>110</v>
      </c>
      <c r="G17" s="363"/>
      <c r="H17" s="364">
        <f t="shared" si="0"/>
        <v>0.99997850046224024</v>
      </c>
      <c r="I17" s="363"/>
      <c r="J17" s="357">
        <f>J61</f>
        <v>120</v>
      </c>
      <c r="K17" s="363"/>
      <c r="L17" s="365">
        <f t="shared" si="1"/>
        <v>0.85712442896763419</v>
      </c>
    </row>
    <row r="18" spans="2:12" ht="15.95" customHeight="1" x14ac:dyDescent="0.3">
      <c r="B18" s="238"/>
      <c r="C18" s="166" t="s">
        <v>175</v>
      </c>
      <c r="D18" s="166"/>
      <c r="E18" s="166"/>
      <c r="F18" s="357">
        <f>$H$62+$L$63/1000*$H$63*365</f>
        <v>60</v>
      </c>
      <c r="G18" s="358"/>
      <c r="H18" s="357">
        <f t="shared" si="0"/>
        <v>0.54544281843394915</v>
      </c>
      <c r="I18" s="358"/>
      <c r="J18" s="357">
        <f>$J$62+$L$63/1000*$J$63*365</f>
        <v>60</v>
      </c>
      <c r="K18" s="358"/>
      <c r="L18" s="359">
        <f t="shared" si="1"/>
        <v>0.42856221448381709</v>
      </c>
    </row>
    <row r="19" spans="2:12" ht="15.95" customHeight="1" x14ac:dyDescent="0.3">
      <c r="B19" s="238"/>
      <c r="C19" s="166" t="s">
        <v>176</v>
      </c>
      <c r="D19" s="166"/>
      <c r="E19" s="166"/>
      <c r="F19" s="357">
        <f>$H$64</f>
        <v>70</v>
      </c>
      <c r="G19" s="363"/>
      <c r="H19" s="364">
        <f t="shared" si="0"/>
        <v>0.63634995483960732</v>
      </c>
      <c r="I19" s="363"/>
      <c r="J19" s="357">
        <f>$J$64</f>
        <v>70</v>
      </c>
      <c r="K19" s="363"/>
      <c r="L19" s="365">
        <f t="shared" si="1"/>
        <v>0.49998925023112001</v>
      </c>
    </row>
    <row r="20" spans="2:12" ht="15.95" customHeight="1" x14ac:dyDescent="0.3">
      <c r="B20" s="238"/>
      <c r="C20" s="166" t="s">
        <v>177</v>
      </c>
      <c r="D20" s="166"/>
      <c r="E20" s="166"/>
      <c r="F20" s="357">
        <f>H51*(H65+H66)/100</f>
        <v>203.50437524999998</v>
      </c>
      <c r="G20" s="358"/>
      <c r="H20" s="357">
        <f t="shared" si="0"/>
        <v>1.8499999999999999</v>
      </c>
      <c r="I20" s="358"/>
      <c r="J20" s="357">
        <f>J51*(J65+J66)/100</f>
        <v>259.00556849999998</v>
      </c>
      <c r="K20" s="358"/>
      <c r="L20" s="359">
        <f t="shared" si="1"/>
        <v>1.8499999999999996</v>
      </c>
    </row>
    <row r="21" spans="2:12" ht="15.95" customHeight="1" x14ac:dyDescent="0.3">
      <c r="B21" s="238"/>
      <c r="C21" s="166" t="s">
        <v>178</v>
      </c>
      <c r="D21" s="166"/>
      <c r="E21" s="166"/>
      <c r="F21" s="357">
        <f>H67*M132</f>
        <v>194.16680555555556</v>
      </c>
      <c r="G21" s="363"/>
      <c r="H21" s="364">
        <f t="shared" si="0"/>
        <v>1.7651148278089799</v>
      </c>
      <c r="I21" s="363"/>
      <c r="J21" s="357">
        <f>J67*M132</f>
        <v>194.16680555555556</v>
      </c>
      <c r="K21" s="363"/>
      <c r="L21" s="365">
        <f t="shared" si="1"/>
        <v>1.3868759361356269</v>
      </c>
    </row>
    <row r="22" spans="2:12" ht="15.95" customHeight="1" x14ac:dyDescent="0.3">
      <c r="B22" s="238"/>
      <c r="C22" s="166" t="s">
        <v>179</v>
      </c>
      <c r="D22" s="166"/>
      <c r="E22" s="166"/>
      <c r="F22" s="357"/>
      <c r="G22" s="358"/>
      <c r="H22" s="358"/>
      <c r="I22" s="358"/>
      <c r="J22" s="357"/>
      <c r="K22" s="358"/>
      <c r="L22" s="359"/>
    </row>
    <row r="23" spans="2:12" ht="15.95" customHeight="1" x14ac:dyDescent="0.3">
      <c r="B23" s="238"/>
      <c r="C23" s="440" t="s">
        <v>202</v>
      </c>
      <c r="D23" s="440"/>
      <c r="E23" s="166"/>
      <c r="F23" s="357">
        <f>H69</f>
        <v>0</v>
      </c>
      <c r="G23" s="358"/>
      <c r="H23" s="358">
        <f>F23/$H$51*100</f>
        <v>0</v>
      </c>
      <c r="I23" s="358"/>
      <c r="J23" s="357">
        <f>J69</f>
        <v>0</v>
      </c>
      <c r="K23" s="358"/>
      <c r="L23" s="359">
        <f>J23/$J$51*100</f>
        <v>0</v>
      </c>
    </row>
    <row r="24" spans="2:12" ht="15.95" customHeight="1" x14ac:dyDescent="0.3">
      <c r="B24" s="238"/>
      <c r="C24" s="166" t="s">
        <v>180</v>
      </c>
      <c r="D24" s="166"/>
      <c r="E24" s="166"/>
      <c r="F24" s="357">
        <f>L68*H68</f>
        <v>60</v>
      </c>
      <c r="G24" s="358"/>
      <c r="H24" s="358">
        <f>F24/$H$51*100</f>
        <v>0.54544281843394915</v>
      </c>
      <c r="I24" s="358"/>
      <c r="J24" s="357">
        <f>L68*J68</f>
        <v>60</v>
      </c>
      <c r="K24" s="358"/>
      <c r="L24" s="359">
        <f>J24/$J$51*100</f>
        <v>0.42856221448381709</v>
      </c>
    </row>
    <row r="25" spans="2:12" ht="15.95" customHeight="1" x14ac:dyDescent="0.3">
      <c r="B25" s="238"/>
      <c r="C25" s="166" t="s">
        <v>181</v>
      </c>
      <c r="D25" s="166"/>
      <c r="E25" s="166"/>
      <c r="F25" s="357">
        <f>H72</f>
        <v>12</v>
      </c>
      <c r="G25" s="358"/>
      <c r="H25" s="358">
        <f>F25/$H$51*100</f>
        <v>0.10908856368678982</v>
      </c>
      <c r="I25" s="358"/>
      <c r="J25" s="357">
        <f>H72</f>
        <v>12</v>
      </c>
      <c r="K25" s="358"/>
      <c r="L25" s="359">
        <f>J25/$J$51*100</f>
        <v>8.5712442896763427E-2</v>
      </c>
    </row>
    <row r="26" spans="2:12" ht="15.95" customHeight="1" x14ac:dyDescent="0.3">
      <c r="B26" s="238"/>
      <c r="C26" s="177" t="s">
        <v>238</v>
      </c>
      <c r="D26" s="166"/>
      <c r="E26" s="166"/>
      <c r="F26" s="357">
        <f>H73</f>
        <v>16.50035475</v>
      </c>
      <c r="G26" s="363"/>
      <c r="H26" s="363">
        <f>F26/$H$51*100</f>
        <v>0.15</v>
      </c>
      <c r="I26" s="363"/>
      <c r="J26" s="357">
        <f>J73</f>
        <v>21.0004515</v>
      </c>
      <c r="K26" s="363"/>
      <c r="L26" s="365">
        <f>J26/$J$51*100</f>
        <v>0.15</v>
      </c>
    </row>
    <row r="27" spans="2:12" ht="15.95" customHeight="1" x14ac:dyDescent="0.3">
      <c r="B27" s="238"/>
      <c r="C27" s="166" t="s">
        <v>237</v>
      </c>
      <c r="D27" s="166"/>
      <c r="E27" s="166"/>
      <c r="F27" s="357"/>
      <c r="G27" s="358"/>
      <c r="H27" s="358"/>
      <c r="I27" s="358"/>
      <c r="J27" s="357"/>
      <c r="K27" s="358"/>
      <c r="L27" s="359"/>
    </row>
    <row r="28" spans="2:12" ht="15.95" customHeight="1" x14ac:dyDescent="0.3">
      <c r="B28" s="238"/>
      <c r="C28" s="166" t="str">
        <f>"     (1/2 of selected operating costs x "&amp;Inputs!C36*100&amp;"%)"</f>
        <v xml:space="preserve">     (1/2 of selected operating costs x 7.75%)</v>
      </c>
      <c r="D28" s="166"/>
      <c r="E28" s="166"/>
      <c r="F28" s="360">
        <f>(SUM(F$15:F$19)+F$21+F$24+F$25+F$26)*(Inputs!C36/2)</f>
        <v>78.516082629399804</v>
      </c>
      <c r="G28" s="363"/>
      <c r="H28" s="366">
        <f>F28/$H$51*100</f>
        <v>0.71376722336287779</v>
      </c>
      <c r="I28" s="363"/>
      <c r="J28" s="360">
        <f>(SUM(J$15:J$19)+J$21+J$24+J$25+J$26)*(Inputs!C36/2)</f>
        <v>82.195671124890879</v>
      </c>
      <c r="K28" s="363"/>
      <c r="L28" s="367">
        <f>J28/$J$51*100</f>
        <v>0.58709931397111292</v>
      </c>
    </row>
    <row r="29" spans="2:12" ht="15.95" customHeight="1" x14ac:dyDescent="0.3">
      <c r="B29" s="238"/>
      <c r="C29" s="192"/>
      <c r="D29" s="242" t="s">
        <v>226</v>
      </c>
      <c r="E29" s="166"/>
      <c r="F29" s="368">
        <f>SUM(F15:F28)</f>
        <v>2308.2419450897173</v>
      </c>
      <c r="G29" s="358"/>
      <c r="H29" s="368">
        <f>SUM(H15:H28)</f>
        <v>20.983566535953269</v>
      </c>
      <c r="I29" s="358"/>
      <c r="J29" s="368">
        <f>SUM(J15:J28)</f>
        <v>2462.3798492994943</v>
      </c>
      <c r="K29" s="358"/>
      <c r="L29" s="369">
        <f>SUM(L15:L28)</f>
        <v>17.588049351935318</v>
      </c>
    </row>
    <row r="30" spans="2:12" ht="15.95" customHeight="1" x14ac:dyDescent="0.3">
      <c r="B30" s="238"/>
      <c r="C30" s="166"/>
      <c r="D30" s="166"/>
      <c r="E30" s="166"/>
      <c r="F30" s="166"/>
      <c r="G30" s="231"/>
      <c r="H30" s="166"/>
      <c r="I30" s="231"/>
      <c r="J30" s="231"/>
      <c r="K30" s="231"/>
      <c r="L30" s="244"/>
    </row>
    <row r="31" spans="2:12" ht="15.95" customHeight="1" x14ac:dyDescent="0.3">
      <c r="B31" s="240" t="s">
        <v>227</v>
      </c>
      <c r="C31" s="166"/>
      <c r="D31" s="166"/>
      <c r="E31" s="166"/>
      <c r="F31" s="166"/>
      <c r="G31" s="232"/>
      <c r="H31" s="166"/>
      <c r="I31" s="232"/>
      <c r="J31" s="373"/>
      <c r="K31" s="232"/>
      <c r="L31" s="245"/>
    </row>
    <row r="32" spans="2:12" ht="15.95" customHeight="1" x14ac:dyDescent="0.3">
      <c r="B32" s="238"/>
      <c r="C32" s="166" t="s">
        <v>182</v>
      </c>
      <c r="D32" s="166"/>
      <c r="E32" s="166"/>
      <c r="F32" s="338">
        <f>$N$142+$O$142</f>
        <v>136.97000000000003</v>
      </c>
      <c r="G32" s="335"/>
      <c r="H32" s="338">
        <f>F32/$H$51*100</f>
        <v>1.2451550473483004</v>
      </c>
      <c r="I32" s="334"/>
      <c r="J32" s="338">
        <f>$N$142+$O$142</f>
        <v>136.97000000000003</v>
      </c>
      <c r="K32" s="334"/>
      <c r="L32" s="354">
        <f>J32/140</f>
        <v>0.97835714285714304</v>
      </c>
    </row>
    <row r="33" spans="1:24" ht="15.95" customHeight="1" x14ac:dyDescent="0.3">
      <c r="B33" s="238"/>
      <c r="C33" s="166" t="s">
        <v>198</v>
      </c>
      <c r="D33" s="166"/>
      <c r="E33" s="166"/>
      <c r="F33" s="338">
        <f>$N$139+$O$139</f>
        <v>486.9585486111111</v>
      </c>
      <c r="G33" s="228"/>
      <c r="H33" s="339">
        <f>F33/$H$51*100</f>
        <v>4.4268007202491608</v>
      </c>
      <c r="I33" s="228"/>
      <c r="J33" s="338">
        <f>$N$139+$O$139</f>
        <v>486.9585486111111</v>
      </c>
      <c r="K33" s="228"/>
      <c r="L33" s="354">
        <f>J33/$J$51*100</f>
        <v>3.478200565910055</v>
      </c>
    </row>
    <row r="34" spans="1:24" ht="15.95" customHeight="1" x14ac:dyDescent="0.3">
      <c r="B34" s="238"/>
      <c r="C34" s="166" t="s">
        <v>235</v>
      </c>
      <c r="D34" s="166"/>
      <c r="E34" s="166"/>
      <c r="F34" s="338">
        <f>H70</f>
        <v>174.375</v>
      </c>
      <c r="G34" s="228"/>
      <c r="H34" s="339">
        <f>F34/$H$51*100</f>
        <v>1.585193191073665</v>
      </c>
      <c r="I34" s="228"/>
      <c r="J34" s="338">
        <f>J70</f>
        <v>174.375</v>
      </c>
      <c r="K34" s="228"/>
      <c r="L34" s="354">
        <f>J34/$J$51*100</f>
        <v>1.2455089358435933</v>
      </c>
    </row>
    <row r="35" spans="1:24" ht="15.95" customHeight="1" x14ac:dyDescent="0.3">
      <c r="B35" s="238"/>
      <c r="C35" s="166" t="s">
        <v>236</v>
      </c>
      <c r="D35" s="166"/>
      <c r="E35" s="166"/>
      <c r="F35" s="349">
        <f>$N$140+$O$140+$N$141+$O$141+H71</f>
        <v>75.227361111111108</v>
      </c>
      <c r="G35" s="231"/>
      <c r="H35" s="336">
        <f>F35/$H$51*100</f>
        <v>0.68387039779654846</v>
      </c>
      <c r="I35" s="231"/>
      <c r="J35" s="349">
        <f>$N$140+$O$140+$N$141+$O$141+J71</f>
        <v>75.227361111111108</v>
      </c>
      <c r="K35" s="231"/>
      <c r="L35" s="353">
        <f>J35/$J$51*100</f>
        <v>0.53732674112585932</v>
      </c>
    </row>
    <row r="36" spans="1:24" ht="15.95" customHeight="1" x14ac:dyDescent="0.3">
      <c r="B36" s="238"/>
      <c r="C36" s="166"/>
      <c r="D36" s="242" t="s">
        <v>228</v>
      </c>
      <c r="E36" s="166"/>
      <c r="F36" s="368">
        <f>SUM(F32:F35)</f>
        <v>873.5309097222223</v>
      </c>
      <c r="G36" s="358"/>
      <c r="H36" s="368">
        <f>F36/110</f>
        <v>7.9411900883838396</v>
      </c>
      <c r="I36" s="368"/>
      <c r="J36" s="368">
        <f>SUM(J32:J35)</f>
        <v>873.5309097222223</v>
      </c>
      <c r="K36" s="368"/>
      <c r="L36" s="369">
        <f>SUM(L32:L35)</f>
        <v>6.2393933857366513</v>
      </c>
    </row>
    <row r="37" spans="1:24" ht="15.95" customHeight="1" x14ac:dyDescent="0.3">
      <c r="B37" s="238"/>
      <c r="C37" s="166"/>
      <c r="D37" s="166"/>
      <c r="E37" s="166"/>
      <c r="F37" s="340"/>
      <c r="G37" s="374"/>
      <c r="H37" s="340"/>
      <c r="I37" s="374"/>
      <c r="J37" s="340"/>
      <c r="K37" s="374"/>
      <c r="L37" s="355"/>
    </row>
    <row r="38" spans="1:24" ht="15.95" customHeight="1" x14ac:dyDescent="0.3">
      <c r="B38" s="240"/>
      <c r="C38" s="192"/>
      <c r="D38" s="242" t="s">
        <v>229</v>
      </c>
      <c r="E38" s="166"/>
      <c r="F38" s="368">
        <f>F29+F36</f>
        <v>3181.7728548119394</v>
      </c>
      <c r="G38" s="368"/>
      <c r="H38" s="368">
        <f>H29+H36</f>
        <v>28.924756624337107</v>
      </c>
      <c r="I38" s="368"/>
      <c r="J38" s="368">
        <f>J29+J36</f>
        <v>3335.9107590217163</v>
      </c>
      <c r="K38" s="368"/>
      <c r="L38" s="369">
        <f>L29+L36</f>
        <v>23.827442737671969</v>
      </c>
    </row>
    <row r="39" spans="1:24" ht="15.95" customHeight="1" x14ac:dyDescent="0.3">
      <c r="B39" s="246"/>
      <c r="C39" s="225"/>
      <c r="D39" s="225"/>
      <c r="E39" s="225"/>
      <c r="F39" s="255"/>
      <c r="G39" s="256"/>
      <c r="H39" s="255"/>
      <c r="I39" s="256"/>
      <c r="J39" s="255"/>
      <c r="K39" s="256"/>
      <c r="L39" s="257"/>
    </row>
    <row r="40" spans="1:24" ht="15.95" customHeight="1" x14ac:dyDescent="0.3">
      <c r="B40" s="351"/>
      <c r="C40" s="350" t="s">
        <v>230</v>
      </c>
      <c r="D40" s="300"/>
      <c r="E40" s="300"/>
      <c r="F40" s="250">
        <f>F12-F29</f>
        <v>730.25126741028271</v>
      </c>
      <c r="G40" s="250"/>
      <c r="H40" s="250">
        <f>H12-H29</f>
        <v>6.6385051576871348</v>
      </c>
      <c r="I40" s="250"/>
      <c r="J40" s="250">
        <f>J12-J29</f>
        <v>1251.1278757005061</v>
      </c>
      <c r="K40" s="250"/>
      <c r="L40" s="252">
        <f>L12-L29</f>
        <v>8.9364355502107138</v>
      </c>
    </row>
    <row r="41" spans="1:24" ht="15.95" customHeight="1" thickBot="1" x14ac:dyDescent="0.35">
      <c r="B41" s="247"/>
      <c r="C41" s="248" t="s">
        <v>231</v>
      </c>
      <c r="D41" s="249"/>
      <c r="E41" s="249"/>
      <c r="F41" s="258">
        <f>F12-F38</f>
        <v>-143.27964231193937</v>
      </c>
      <c r="G41" s="258"/>
      <c r="H41" s="258">
        <f>H12-H38</f>
        <v>-1.302684930696703</v>
      </c>
      <c r="I41" s="258"/>
      <c r="J41" s="258">
        <f>J12-J38</f>
        <v>377.59696597828406</v>
      </c>
      <c r="K41" s="258"/>
      <c r="L41" s="260">
        <f>L12-L38</f>
        <v>2.6970421644740625</v>
      </c>
    </row>
    <row r="42" spans="1:24" ht="15.95" customHeight="1" x14ac:dyDescent="0.3">
      <c r="B42" s="192"/>
      <c r="C42" s="166"/>
      <c r="D42" s="166"/>
      <c r="E42" s="166"/>
      <c r="F42" s="166"/>
      <c r="G42" s="232"/>
      <c r="H42" s="166"/>
      <c r="I42" s="232"/>
      <c r="J42" s="229"/>
      <c r="K42" s="232"/>
      <c r="L42" s="166"/>
    </row>
    <row r="43" spans="1:24" ht="15.95" customHeight="1" x14ac:dyDescent="0.3">
      <c r="B43" s="233"/>
      <c r="C43" s="234"/>
      <c r="D43" s="166"/>
      <c r="E43" s="166"/>
      <c r="F43" s="166"/>
      <c r="G43" s="232"/>
      <c r="H43" s="166"/>
      <c r="I43" s="232"/>
      <c r="J43" s="229"/>
      <c r="K43" s="232"/>
      <c r="L43" s="235"/>
    </row>
    <row r="44" spans="1:24" ht="16.5" x14ac:dyDescent="0.3">
      <c r="A44" s="166"/>
      <c r="B44" s="176" t="s">
        <v>209</v>
      </c>
      <c r="C44" s="166"/>
      <c r="D44" s="166"/>
      <c r="E44" s="166"/>
      <c r="F44" s="166"/>
      <c r="G44" s="232"/>
      <c r="H44" s="166"/>
      <c r="I44" s="232"/>
      <c r="J44" s="229"/>
      <c r="K44" s="232"/>
      <c r="L44" s="166"/>
      <c r="M44" s="166"/>
      <c r="N44" s="166"/>
      <c r="O44" s="166"/>
      <c r="P44" s="166"/>
      <c r="Q44" s="166"/>
      <c r="R44" s="166"/>
      <c r="S44" s="166"/>
      <c r="T44" s="166"/>
      <c r="U44" s="166"/>
    </row>
    <row r="45" spans="1:24" ht="17.25" x14ac:dyDescent="0.3">
      <c r="A45" s="166"/>
      <c r="B45" s="275"/>
      <c r="C45" s="177"/>
      <c r="D45" s="177"/>
      <c r="E45" s="166"/>
      <c r="F45" s="166"/>
      <c r="G45" s="166"/>
      <c r="H45" s="441" t="s">
        <v>17</v>
      </c>
      <c r="I45" s="441"/>
      <c r="J45" s="441"/>
      <c r="K45" s="230"/>
      <c r="L45" s="230"/>
      <c r="M45" s="177"/>
      <c r="N45" s="166"/>
      <c r="O45" s="177"/>
      <c r="P45" s="268"/>
      <c r="Q45" s="375"/>
      <c r="R45" s="268"/>
      <c r="S45" s="177"/>
      <c r="T45" s="177"/>
      <c r="U45" s="177"/>
      <c r="V45" s="330"/>
      <c r="W45" s="96"/>
      <c r="X45" s="96"/>
    </row>
    <row r="46" spans="1:24" ht="17.25" x14ac:dyDescent="0.3">
      <c r="A46" s="166"/>
      <c r="B46" s="176" t="s">
        <v>210</v>
      </c>
      <c r="C46" s="177"/>
      <c r="D46" s="177"/>
      <c r="E46" s="166"/>
      <c r="F46" s="195" t="s">
        <v>247</v>
      </c>
      <c r="G46" s="166"/>
      <c r="H46" s="312">
        <f>H51</f>
        <v>11000.236499999999</v>
      </c>
      <c r="I46" s="389"/>
      <c r="J46" s="312">
        <f>J51</f>
        <v>14000.301000000001</v>
      </c>
      <c r="K46" s="166"/>
      <c r="L46" s="166"/>
      <c r="M46" s="177"/>
      <c r="N46" s="177"/>
      <c r="O46" s="177"/>
      <c r="P46" s="166"/>
      <c r="Q46" s="262"/>
      <c r="R46" s="166"/>
      <c r="S46" s="263"/>
      <c r="T46" s="177"/>
      <c r="U46" s="177"/>
      <c r="V46" s="330"/>
      <c r="W46" s="96"/>
      <c r="X46" s="96"/>
    </row>
    <row r="47" spans="1:24" ht="17.25" x14ac:dyDescent="0.3">
      <c r="A47" s="166"/>
      <c r="B47" s="177"/>
      <c r="C47" s="177" t="s">
        <v>286</v>
      </c>
      <c r="D47" s="177"/>
      <c r="E47" s="166"/>
      <c r="F47" s="197" t="s">
        <v>272</v>
      </c>
      <c r="G47" s="166"/>
      <c r="H47" s="212">
        <v>39.104999999999997</v>
      </c>
      <c r="I47" s="166"/>
      <c r="J47" s="212">
        <v>49.77</v>
      </c>
      <c r="K47" s="166"/>
      <c r="L47" s="166"/>
      <c r="M47" s="177"/>
      <c r="N47" s="177"/>
      <c r="O47" s="166"/>
      <c r="P47" s="166"/>
      <c r="Q47" s="265"/>
      <c r="R47" s="166"/>
      <c r="S47" s="166"/>
      <c r="T47" s="177"/>
      <c r="U47" s="177"/>
      <c r="V47" s="330"/>
      <c r="W47" s="96"/>
      <c r="X47" s="96"/>
    </row>
    <row r="48" spans="1:24" ht="17.25" x14ac:dyDescent="0.3">
      <c r="A48" s="166"/>
      <c r="B48" s="177"/>
      <c r="C48" s="177" t="s">
        <v>287</v>
      </c>
      <c r="D48" s="177"/>
      <c r="E48" s="166"/>
      <c r="F48" s="197" t="s">
        <v>88</v>
      </c>
      <c r="G48" s="166"/>
      <c r="H48" s="216">
        <v>290</v>
      </c>
      <c r="I48" s="166"/>
      <c r="J48" s="216">
        <v>290</v>
      </c>
      <c r="K48" s="166"/>
      <c r="L48" s="166"/>
      <c r="M48" s="177"/>
      <c r="N48" s="177"/>
      <c r="O48" s="166"/>
      <c r="P48" s="166"/>
      <c r="Q48" s="267"/>
      <c r="R48" s="166"/>
      <c r="S48" s="267"/>
      <c r="T48" s="177"/>
      <c r="U48" s="177"/>
      <c r="V48" s="330"/>
      <c r="W48" s="96"/>
      <c r="X48" s="96"/>
    </row>
    <row r="49" spans="1:24" ht="17.25" x14ac:dyDescent="0.3">
      <c r="A49" s="166"/>
      <c r="B49" s="177"/>
      <c r="C49" s="177" t="s">
        <v>326</v>
      </c>
      <c r="D49" s="177"/>
      <c r="E49" s="166"/>
      <c r="F49" s="197" t="s">
        <v>272</v>
      </c>
      <c r="G49" s="166"/>
      <c r="H49" s="264">
        <f>H47*H48</f>
        <v>11340.449999999999</v>
      </c>
      <c r="I49" s="166"/>
      <c r="J49" s="264">
        <f>J47*J48</f>
        <v>14433.300000000001</v>
      </c>
      <c r="K49" s="166"/>
      <c r="L49" s="166"/>
      <c r="M49" s="177"/>
      <c r="N49" s="177"/>
      <c r="O49" s="166"/>
      <c r="P49" s="166"/>
      <c r="Q49" s="264"/>
      <c r="R49" s="166"/>
      <c r="S49" s="264"/>
      <c r="T49" s="177"/>
      <c r="U49" s="177"/>
      <c r="V49" s="330"/>
      <c r="W49" s="96"/>
      <c r="X49" s="96"/>
    </row>
    <row r="50" spans="1:24" ht="17.25" x14ac:dyDescent="0.3">
      <c r="A50" s="166"/>
      <c r="B50" s="177"/>
      <c r="C50" s="177" t="s">
        <v>329</v>
      </c>
      <c r="D50" s="177"/>
      <c r="E50" s="166"/>
      <c r="F50" s="197" t="s">
        <v>255</v>
      </c>
      <c r="G50" s="166"/>
      <c r="H50" s="194">
        <v>0.97</v>
      </c>
      <c r="I50" s="166"/>
      <c r="J50" s="194">
        <v>0.97</v>
      </c>
      <c r="K50" s="166"/>
      <c r="L50" s="166"/>
      <c r="M50" s="177"/>
      <c r="N50" s="177"/>
      <c r="O50" s="166"/>
      <c r="P50" s="166"/>
      <c r="Q50" s="268"/>
      <c r="R50" s="166"/>
      <c r="S50" s="268"/>
      <c r="T50" s="177"/>
      <c r="U50" s="177"/>
      <c r="V50" s="330"/>
      <c r="W50" s="96"/>
      <c r="X50" s="96"/>
    </row>
    <row r="51" spans="1:24" ht="17.25" x14ac:dyDescent="0.3">
      <c r="A51" s="166"/>
      <c r="B51" s="177"/>
      <c r="C51" s="177" t="s">
        <v>326</v>
      </c>
      <c r="D51" s="177"/>
      <c r="E51" s="166"/>
      <c r="F51" s="197" t="s">
        <v>289</v>
      </c>
      <c r="G51" s="166"/>
      <c r="H51" s="264">
        <f>H49*H50</f>
        <v>11000.236499999999</v>
      </c>
      <c r="I51" s="166"/>
      <c r="J51" s="264">
        <f>J49*J50</f>
        <v>14000.301000000001</v>
      </c>
      <c r="K51" s="166"/>
      <c r="L51" s="166"/>
      <c r="M51" s="177"/>
      <c r="N51" s="177"/>
      <c r="O51" s="166"/>
      <c r="P51" s="166"/>
      <c r="Q51" s="264"/>
      <c r="R51" s="166"/>
      <c r="S51" s="264"/>
      <c r="T51" s="177"/>
      <c r="U51" s="177"/>
      <c r="V51" s="330"/>
      <c r="W51" s="96"/>
      <c r="X51" s="96"/>
    </row>
    <row r="52" spans="1:24" ht="17.25" x14ac:dyDescent="0.3">
      <c r="A52" s="166"/>
      <c r="B52" s="177"/>
      <c r="C52" s="177" t="s">
        <v>327</v>
      </c>
      <c r="D52" s="177"/>
      <c r="E52" s="166"/>
      <c r="F52" s="197" t="s">
        <v>289</v>
      </c>
      <c r="G52" s="166"/>
      <c r="H52" s="264">
        <f>H51*H81</f>
        <v>1650035.4749999999</v>
      </c>
      <c r="I52" s="166"/>
      <c r="J52" s="264">
        <f>J51*H81</f>
        <v>2100045.1500000004</v>
      </c>
      <c r="K52" s="166"/>
      <c r="L52" s="166"/>
      <c r="M52" s="177"/>
      <c r="N52" s="177"/>
      <c r="O52" s="166"/>
      <c r="P52" s="166"/>
      <c r="Q52" s="264"/>
      <c r="R52" s="166"/>
      <c r="S52" s="166"/>
      <c r="T52" s="177"/>
      <c r="U52" s="177"/>
      <c r="V52" s="330"/>
      <c r="W52" s="96"/>
      <c r="X52" s="96"/>
    </row>
    <row r="53" spans="1:24" ht="17.25" x14ac:dyDescent="0.3">
      <c r="A53" s="166"/>
      <c r="B53" s="177"/>
      <c r="C53" s="177" t="s">
        <v>328</v>
      </c>
      <c r="D53" s="177"/>
      <c r="E53" s="166"/>
      <c r="F53" s="197" t="s">
        <v>289</v>
      </c>
      <c r="G53" s="166"/>
      <c r="H53" s="264">
        <f>H52/12</f>
        <v>137502.95624999999</v>
      </c>
      <c r="I53" s="166"/>
      <c r="J53" s="264">
        <f>J52/12</f>
        <v>175003.76250000004</v>
      </c>
      <c r="K53" s="166"/>
      <c r="L53" s="166"/>
      <c r="M53" s="177"/>
      <c r="N53" s="177"/>
      <c r="O53" s="166"/>
      <c r="P53" s="166"/>
      <c r="Q53" s="264"/>
      <c r="R53" s="166"/>
      <c r="S53" s="264"/>
      <c r="T53" s="177"/>
      <c r="U53" s="177"/>
      <c r="V53" s="330"/>
      <c r="W53" s="96"/>
      <c r="X53" s="96"/>
    </row>
    <row r="54" spans="1:24" ht="17.25" x14ac:dyDescent="0.3">
      <c r="A54" s="166"/>
      <c r="B54" s="177"/>
      <c r="C54" s="177" t="s">
        <v>292</v>
      </c>
      <c r="D54" s="177"/>
      <c r="E54" s="166"/>
      <c r="F54" s="167" t="s">
        <v>252</v>
      </c>
      <c r="G54" s="166"/>
      <c r="H54" s="376">
        <f>Inputs!C26</f>
        <v>22.5</v>
      </c>
      <c r="I54" s="166"/>
      <c r="J54" s="376">
        <f>Inputs!C26</f>
        <v>22.5</v>
      </c>
      <c r="K54" s="166"/>
      <c r="L54" s="166"/>
      <c r="M54" s="177"/>
      <c r="N54" s="177"/>
      <c r="O54" s="166"/>
      <c r="P54" s="166"/>
      <c r="Q54" s="166"/>
      <c r="R54" s="166"/>
      <c r="S54" s="166"/>
      <c r="T54" s="166"/>
      <c r="U54" s="177"/>
      <c r="V54" s="330"/>
      <c r="W54" s="96"/>
      <c r="X54" s="96"/>
    </row>
    <row r="55" spans="1:24" ht="17.25" x14ac:dyDescent="0.3">
      <c r="A55" s="166"/>
      <c r="B55" s="177"/>
      <c r="C55" s="177" t="s">
        <v>172</v>
      </c>
      <c r="D55" s="177"/>
      <c r="E55" s="166"/>
      <c r="F55" s="167" t="s">
        <v>252</v>
      </c>
      <c r="G55" s="166"/>
      <c r="H55" s="210">
        <v>0</v>
      </c>
      <c r="I55" s="166"/>
      <c r="J55" s="210">
        <v>0</v>
      </c>
      <c r="K55" s="166"/>
      <c r="L55" s="166"/>
      <c r="M55" s="177"/>
      <c r="N55" s="177"/>
      <c r="O55" s="166"/>
      <c r="P55" s="166"/>
      <c r="Q55" s="166"/>
      <c r="R55" s="166"/>
      <c r="S55" s="166"/>
      <c r="T55" s="166"/>
      <c r="U55" s="177"/>
      <c r="V55" s="330"/>
      <c r="W55" s="96"/>
      <c r="X55" s="96"/>
    </row>
    <row r="56" spans="1:24" ht="17.25" x14ac:dyDescent="0.3">
      <c r="A56" s="166"/>
      <c r="B56" s="177"/>
      <c r="C56" s="177" t="s">
        <v>293</v>
      </c>
      <c r="D56" s="177"/>
      <c r="E56" s="166"/>
      <c r="F56" s="167" t="s">
        <v>252</v>
      </c>
      <c r="G56" s="166"/>
      <c r="H56" s="210">
        <v>0</v>
      </c>
      <c r="I56" s="166" t="s">
        <v>233</v>
      </c>
      <c r="J56" s="210">
        <v>0</v>
      </c>
      <c r="K56" s="166"/>
      <c r="L56" s="166"/>
      <c r="M56" s="269"/>
      <c r="N56" s="177"/>
      <c r="O56" s="166"/>
      <c r="P56" s="166"/>
      <c r="Q56" s="166"/>
      <c r="R56" s="166"/>
      <c r="S56" s="166"/>
      <c r="T56" s="166"/>
      <c r="U56" s="177"/>
      <c r="V56" s="330"/>
      <c r="W56" s="96"/>
      <c r="X56" s="96"/>
    </row>
    <row r="57" spans="1:24" ht="17.25" x14ac:dyDescent="0.3">
      <c r="A57" s="166"/>
      <c r="B57" s="177"/>
      <c r="C57" s="177"/>
      <c r="D57" s="177"/>
      <c r="E57" s="270"/>
      <c r="G57" s="166"/>
      <c r="H57" s="166"/>
      <c r="I57" s="166"/>
      <c r="J57" s="166"/>
      <c r="K57" s="166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330"/>
      <c r="W57" s="96"/>
      <c r="X57" s="96"/>
    </row>
    <row r="58" spans="1:24" ht="17.25" x14ac:dyDescent="0.3">
      <c r="A58" s="166"/>
      <c r="B58" s="177"/>
      <c r="C58" s="177"/>
      <c r="D58" s="177"/>
      <c r="E58" s="270"/>
      <c r="G58" s="166"/>
      <c r="H58" s="441" t="s">
        <v>17</v>
      </c>
      <c r="I58" s="441"/>
      <c r="J58" s="441"/>
      <c r="K58" s="166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330"/>
      <c r="W58" s="96"/>
      <c r="X58" s="96"/>
    </row>
    <row r="59" spans="1:24" ht="17.25" x14ac:dyDescent="0.3">
      <c r="A59" s="166"/>
      <c r="B59" s="176" t="s">
        <v>211</v>
      </c>
      <c r="C59" s="177"/>
      <c r="D59" s="177"/>
      <c r="E59" s="177"/>
      <c r="F59" s="195" t="s">
        <v>247</v>
      </c>
      <c r="G59" s="177"/>
      <c r="H59" s="312">
        <f>H46</f>
        <v>11000.236499999999</v>
      </c>
      <c r="I59" s="177"/>
      <c r="J59" s="390">
        <f>J46</f>
        <v>14000.301000000001</v>
      </c>
      <c r="K59" s="166"/>
      <c r="L59" s="186" t="s">
        <v>75</v>
      </c>
      <c r="M59" s="195" t="s">
        <v>247</v>
      </c>
      <c r="N59" s="166"/>
      <c r="O59" s="166"/>
      <c r="P59" s="177"/>
      <c r="Q59" s="177"/>
      <c r="R59" s="177"/>
      <c r="S59" s="177"/>
      <c r="T59" s="177"/>
      <c r="U59" s="177"/>
      <c r="V59" s="330"/>
      <c r="W59" s="96"/>
      <c r="X59" s="96"/>
    </row>
    <row r="60" spans="1:24" ht="17.25" x14ac:dyDescent="0.3">
      <c r="A60" s="166"/>
      <c r="B60" s="177"/>
      <c r="C60" s="177" t="s">
        <v>208</v>
      </c>
      <c r="D60" s="166"/>
      <c r="E60" s="166"/>
      <c r="F60" s="197" t="s">
        <v>295</v>
      </c>
      <c r="G60" s="166"/>
      <c r="H60" s="216">
        <v>100</v>
      </c>
      <c r="I60" s="166"/>
      <c r="J60" s="216">
        <v>100</v>
      </c>
      <c r="K60" s="166"/>
      <c r="L60" s="193">
        <v>52500</v>
      </c>
      <c r="M60" s="167" t="s">
        <v>309</v>
      </c>
      <c r="N60" s="166"/>
      <c r="O60" s="166"/>
      <c r="P60" s="166"/>
      <c r="Q60" s="267"/>
      <c r="R60" s="166"/>
      <c r="S60" s="166"/>
      <c r="T60" s="177"/>
      <c r="U60" s="177"/>
      <c r="V60" s="330"/>
      <c r="W60" s="96"/>
      <c r="X60" s="96"/>
    </row>
    <row r="61" spans="1:24" ht="17.25" x14ac:dyDescent="0.3">
      <c r="A61" s="166"/>
      <c r="B61" s="177"/>
      <c r="C61" s="177" t="s">
        <v>302</v>
      </c>
      <c r="D61" s="166"/>
      <c r="E61" s="166"/>
      <c r="F61" s="197" t="s">
        <v>294</v>
      </c>
      <c r="G61" s="166"/>
      <c r="H61" s="210">
        <v>110</v>
      </c>
      <c r="I61" s="166" t="s">
        <v>233</v>
      </c>
      <c r="J61" s="210">
        <v>120</v>
      </c>
      <c r="K61" s="166"/>
      <c r="L61" s="279"/>
      <c r="M61" s="316"/>
      <c r="N61" s="267"/>
      <c r="O61" s="166"/>
      <c r="P61" s="166"/>
      <c r="Q61" s="271"/>
      <c r="R61" s="166"/>
      <c r="S61" s="166"/>
      <c r="T61" s="177"/>
      <c r="U61" s="177"/>
      <c r="V61" s="330"/>
      <c r="W61" s="96"/>
      <c r="X61" s="96"/>
    </row>
    <row r="62" spans="1:24" ht="17.25" x14ac:dyDescent="0.3">
      <c r="A62" s="166"/>
      <c r="B62" s="177"/>
      <c r="C62" s="177" t="s">
        <v>296</v>
      </c>
      <c r="D62" s="166"/>
      <c r="E62" s="166"/>
      <c r="F62" s="197" t="s">
        <v>294</v>
      </c>
      <c r="G62" s="166"/>
      <c r="H62" s="210">
        <v>60</v>
      </c>
      <c r="I62" s="166" t="s">
        <v>233</v>
      </c>
      <c r="J62" s="210">
        <v>60</v>
      </c>
      <c r="K62" s="166"/>
      <c r="L62" s="279"/>
      <c r="M62" s="316"/>
      <c r="N62" s="272"/>
      <c r="O62" s="166"/>
      <c r="P62" s="166"/>
      <c r="Q62" s="271"/>
      <c r="R62" s="166"/>
      <c r="S62" s="166"/>
      <c r="T62" s="177"/>
      <c r="U62" s="177"/>
      <c r="V62" s="330"/>
      <c r="W62" s="96"/>
      <c r="X62" s="96"/>
    </row>
    <row r="63" spans="1:24" ht="17.25" x14ac:dyDescent="0.3">
      <c r="A63" s="166"/>
      <c r="B63" s="177"/>
      <c r="C63" s="177" t="s">
        <v>297</v>
      </c>
      <c r="D63" s="166"/>
      <c r="E63" s="166"/>
      <c r="F63" s="197" t="s">
        <v>298</v>
      </c>
      <c r="G63" s="166"/>
      <c r="H63" s="193">
        <v>35</v>
      </c>
      <c r="I63" s="166"/>
      <c r="J63" s="193">
        <v>40</v>
      </c>
      <c r="K63" s="266"/>
      <c r="L63" s="210">
        <v>0</v>
      </c>
      <c r="M63" s="167" t="s">
        <v>330</v>
      </c>
      <c r="N63" s="177"/>
      <c r="O63" s="166"/>
      <c r="P63" s="166"/>
      <c r="Q63" s="265"/>
      <c r="R63" s="166"/>
      <c r="S63" s="166"/>
      <c r="T63" s="177"/>
      <c r="U63" s="177"/>
      <c r="V63" s="330"/>
      <c r="W63" s="96"/>
      <c r="X63" s="96"/>
    </row>
    <row r="64" spans="1:24" ht="17.25" x14ac:dyDescent="0.3">
      <c r="A64" s="166"/>
      <c r="B64" s="177"/>
      <c r="C64" s="177" t="s">
        <v>299</v>
      </c>
      <c r="D64" s="166"/>
      <c r="E64" s="166"/>
      <c r="F64" s="197" t="s">
        <v>294</v>
      </c>
      <c r="G64" s="166"/>
      <c r="H64" s="210">
        <v>70</v>
      </c>
      <c r="I64" s="166"/>
      <c r="J64" s="210">
        <v>70</v>
      </c>
      <c r="K64" s="177"/>
      <c r="L64" s="166"/>
      <c r="M64" s="166"/>
      <c r="N64" s="273"/>
      <c r="O64" s="166"/>
      <c r="P64" s="166"/>
      <c r="Q64" s="271"/>
      <c r="R64" s="166"/>
      <c r="S64" s="166"/>
      <c r="T64" s="177"/>
      <c r="U64" s="177"/>
      <c r="V64" s="330"/>
      <c r="W64" s="96"/>
      <c r="X64" s="96"/>
    </row>
    <row r="65" spans="1:24" ht="17.25" x14ac:dyDescent="0.3">
      <c r="A65" s="166"/>
      <c r="B65" s="177"/>
      <c r="C65" s="177" t="s">
        <v>300</v>
      </c>
      <c r="D65" s="166"/>
      <c r="E65" s="166"/>
      <c r="F65" s="167" t="s">
        <v>252</v>
      </c>
      <c r="G65" s="166"/>
      <c r="H65" s="210">
        <v>1.7</v>
      </c>
      <c r="I65" s="166"/>
      <c r="J65" s="210">
        <v>1.7</v>
      </c>
      <c r="K65" s="177"/>
      <c r="L65" s="166"/>
      <c r="M65" s="166"/>
      <c r="N65" s="166"/>
      <c r="O65" s="166"/>
      <c r="P65" s="166"/>
      <c r="Q65" s="265"/>
      <c r="R65" s="166"/>
      <c r="S65" s="265"/>
      <c r="T65" s="177"/>
      <c r="U65" s="177"/>
      <c r="V65" s="330"/>
      <c r="W65" s="96"/>
      <c r="X65" s="96"/>
    </row>
    <row r="66" spans="1:24" ht="17.25" x14ac:dyDescent="0.3">
      <c r="A66" s="166"/>
      <c r="B66" s="177"/>
      <c r="C66" s="177" t="s">
        <v>301</v>
      </c>
      <c r="D66" s="166"/>
      <c r="E66" s="166"/>
      <c r="F66" s="167" t="s">
        <v>252</v>
      </c>
      <c r="G66" s="166"/>
      <c r="H66" s="210">
        <v>0.15</v>
      </c>
      <c r="I66" s="166"/>
      <c r="J66" s="221">
        <f>+H66</f>
        <v>0.15</v>
      </c>
      <c r="K66" s="177"/>
      <c r="L66" s="166"/>
      <c r="M66" s="166"/>
      <c r="N66" s="166"/>
      <c r="O66" s="166"/>
      <c r="P66" s="166"/>
      <c r="Q66" s="265"/>
      <c r="R66" s="166"/>
      <c r="S66" s="265"/>
      <c r="T66" s="177"/>
      <c r="U66" s="177"/>
      <c r="V66" s="330"/>
      <c r="W66" s="96"/>
      <c r="X66" s="96"/>
    </row>
    <row r="67" spans="1:24" ht="17.25" x14ac:dyDescent="0.3">
      <c r="A67" s="166"/>
      <c r="B67" s="177"/>
      <c r="C67" s="177" t="s">
        <v>2</v>
      </c>
      <c r="D67" s="166"/>
      <c r="E67" s="166"/>
      <c r="F67" s="167" t="s">
        <v>255</v>
      </c>
      <c r="G67" s="166"/>
      <c r="H67" s="194">
        <v>2.75E-2</v>
      </c>
      <c r="I67" s="166"/>
      <c r="J67" s="194">
        <v>2.75E-2</v>
      </c>
      <c r="K67" s="177"/>
      <c r="M67" s="166"/>
      <c r="N67" s="177"/>
      <c r="O67" s="166"/>
      <c r="P67" s="166"/>
      <c r="Q67" s="274"/>
      <c r="R67" s="166"/>
      <c r="S67" s="274"/>
      <c r="T67" s="177"/>
      <c r="U67" s="177"/>
      <c r="V67" s="330"/>
      <c r="W67" s="96"/>
      <c r="X67" s="96"/>
    </row>
    <row r="68" spans="1:24" ht="17.25" x14ac:dyDescent="0.3">
      <c r="A68" s="166"/>
      <c r="B68" s="177"/>
      <c r="C68" s="177" t="s">
        <v>306</v>
      </c>
      <c r="D68" s="166"/>
      <c r="E68" s="166"/>
      <c r="F68" s="314" t="s">
        <v>307</v>
      </c>
      <c r="G68" s="166"/>
      <c r="H68" s="210">
        <v>20</v>
      </c>
      <c r="I68" s="221"/>
      <c r="J68" s="210">
        <v>20</v>
      </c>
      <c r="K68" s="177"/>
      <c r="L68" s="212">
        <v>3</v>
      </c>
      <c r="M68" s="167" t="s">
        <v>308</v>
      </c>
      <c r="N68" s="177"/>
      <c r="O68" s="166"/>
      <c r="P68" s="166"/>
      <c r="Q68" s="271"/>
      <c r="R68" s="166"/>
      <c r="S68" s="271"/>
      <c r="T68" s="177"/>
      <c r="U68" s="177"/>
      <c r="V68" s="330"/>
      <c r="W68" s="96"/>
      <c r="X68" s="96"/>
    </row>
    <row r="69" spans="1:24" ht="17.25" x14ac:dyDescent="0.3">
      <c r="A69" s="166"/>
      <c r="B69" s="177"/>
      <c r="C69" s="177" t="s">
        <v>55</v>
      </c>
      <c r="D69" s="166"/>
      <c r="E69" s="166"/>
      <c r="F69" s="197" t="s">
        <v>294</v>
      </c>
      <c r="G69" s="166"/>
      <c r="H69" s="313">
        <f>IF($H$78=1,0,$H$77*$H$91)</f>
        <v>0</v>
      </c>
      <c r="I69" s="221"/>
      <c r="J69" s="313">
        <f>IF($H$78=1,0,$H$77*$H$91)</f>
        <v>0</v>
      </c>
      <c r="K69" s="166"/>
      <c r="L69" s="166"/>
      <c r="M69" s="166"/>
      <c r="N69" s="166"/>
      <c r="O69" s="166"/>
      <c r="P69" s="166"/>
      <c r="Q69" s="188"/>
      <c r="R69" s="166"/>
      <c r="S69" s="188"/>
      <c r="T69" s="177"/>
      <c r="U69" s="177"/>
      <c r="V69" s="330"/>
      <c r="W69" s="96"/>
      <c r="X69" s="96"/>
    </row>
    <row r="70" spans="1:24" ht="17.25" x14ac:dyDescent="0.3">
      <c r="A70" s="166"/>
      <c r="B70" s="177"/>
      <c r="C70" s="177" t="s">
        <v>3</v>
      </c>
      <c r="D70" s="166"/>
      <c r="E70" s="166"/>
      <c r="F70" s="197" t="s">
        <v>294</v>
      </c>
      <c r="G70" s="166"/>
      <c r="H70" s="222">
        <f>$H$77*Inputs!C36</f>
        <v>174.375</v>
      </c>
      <c r="I70" s="221"/>
      <c r="J70" s="222">
        <f>$H$77*Inputs!C36</f>
        <v>174.375</v>
      </c>
      <c r="K70" s="177"/>
      <c r="L70" s="166"/>
      <c r="M70" s="166"/>
      <c r="N70" s="166"/>
      <c r="O70" s="166"/>
      <c r="P70" s="166"/>
      <c r="Q70" s="188"/>
      <c r="R70" s="166"/>
      <c r="S70" s="188"/>
      <c r="T70" s="177"/>
      <c r="U70" s="177"/>
      <c r="V70" s="330"/>
      <c r="W70" s="96"/>
      <c r="X70" s="96"/>
    </row>
    <row r="71" spans="1:24" ht="17.25" x14ac:dyDescent="0.3">
      <c r="A71" s="166"/>
      <c r="B71" s="177"/>
      <c r="C71" s="177" t="s">
        <v>4</v>
      </c>
      <c r="D71" s="166"/>
      <c r="E71" s="166"/>
      <c r="F71" s="197" t="s">
        <v>294</v>
      </c>
      <c r="G71" s="166"/>
      <c r="H71" s="222">
        <f>$H$80*Inputs!C35</f>
        <v>22.5</v>
      </c>
      <c r="I71" s="221"/>
      <c r="J71" s="222">
        <f>$H$80*Inputs!C35</f>
        <v>22.5</v>
      </c>
      <c r="K71" s="177"/>
      <c r="L71" s="166"/>
      <c r="M71" s="166"/>
      <c r="N71" s="177"/>
      <c r="O71" s="166"/>
      <c r="P71" s="166"/>
      <c r="Q71" s="188"/>
      <c r="R71" s="166"/>
      <c r="S71" s="188"/>
      <c r="T71" s="177"/>
      <c r="U71" s="177"/>
      <c r="V71" s="330"/>
      <c r="W71" s="96"/>
      <c r="X71" s="96"/>
    </row>
    <row r="72" spans="1:24" ht="17.25" x14ac:dyDescent="0.3">
      <c r="A72" s="166"/>
      <c r="B72" s="177"/>
      <c r="C72" s="177" t="s">
        <v>5</v>
      </c>
      <c r="D72" s="166"/>
      <c r="E72" s="166"/>
      <c r="F72" s="197" t="s">
        <v>294</v>
      </c>
      <c r="G72" s="166"/>
      <c r="H72" s="210">
        <v>12</v>
      </c>
      <c r="I72" s="221" t="s">
        <v>233</v>
      </c>
      <c r="J72" s="210">
        <v>12</v>
      </c>
      <c r="K72" s="177"/>
      <c r="L72" s="166"/>
      <c r="M72" s="166"/>
      <c r="N72" s="177"/>
      <c r="O72" s="166"/>
      <c r="P72" s="166"/>
      <c r="Q72" s="265"/>
      <c r="R72" s="166"/>
      <c r="S72" s="265"/>
      <c r="T72" s="177"/>
      <c r="U72" s="177"/>
      <c r="V72" s="330"/>
      <c r="W72" s="96"/>
      <c r="X72" s="96"/>
    </row>
    <row r="73" spans="1:24" ht="17.25" x14ac:dyDescent="0.3">
      <c r="A73" s="166"/>
      <c r="B73" s="177"/>
      <c r="C73" s="177" t="s">
        <v>234</v>
      </c>
      <c r="D73" s="166"/>
      <c r="E73" s="166"/>
      <c r="F73" s="197" t="s">
        <v>294</v>
      </c>
      <c r="G73" s="166"/>
      <c r="H73" s="210">
        <f>0.15*(H46/100)</f>
        <v>16.50035475</v>
      </c>
      <c r="I73" s="221"/>
      <c r="J73" s="210">
        <f>0.15*(J46/100)</f>
        <v>21.0004515</v>
      </c>
      <c r="K73" s="177"/>
      <c r="L73" s="166"/>
      <c r="M73" s="166"/>
      <c r="N73" s="177"/>
      <c r="O73" s="166"/>
      <c r="P73" s="166"/>
      <c r="Q73" s="265"/>
      <c r="R73" s="166"/>
      <c r="S73" s="265"/>
      <c r="T73" s="177"/>
      <c r="U73" s="177"/>
      <c r="V73" s="330"/>
      <c r="W73" s="96"/>
      <c r="X73" s="96"/>
    </row>
    <row r="74" spans="1:24" ht="17.25" x14ac:dyDescent="0.3">
      <c r="A74" s="166"/>
      <c r="B74" s="177"/>
      <c r="C74" s="177"/>
      <c r="D74" s="166"/>
      <c r="E74" s="180"/>
      <c r="F74" s="182"/>
      <c r="G74" s="182"/>
      <c r="H74" s="182"/>
      <c r="I74" s="182"/>
      <c r="J74" s="182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330"/>
      <c r="W74" s="96"/>
      <c r="X74" s="96"/>
    </row>
    <row r="75" spans="1:24" ht="17.25" x14ac:dyDescent="0.3">
      <c r="A75" s="166"/>
      <c r="B75" s="176" t="s">
        <v>318</v>
      </c>
      <c r="C75" s="166"/>
      <c r="D75" s="177"/>
      <c r="E75" s="276"/>
      <c r="F75" s="195" t="s">
        <v>247</v>
      </c>
      <c r="G75" s="166"/>
      <c r="H75" s="166"/>
      <c r="I75" s="166"/>
      <c r="J75" s="166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330"/>
      <c r="W75" s="96"/>
      <c r="X75" s="96"/>
    </row>
    <row r="76" spans="1:24" ht="17.25" x14ac:dyDescent="0.3">
      <c r="A76" s="166"/>
      <c r="B76" s="177"/>
      <c r="C76" s="177" t="s">
        <v>7</v>
      </c>
      <c r="D76" s="177"/>
      <c r="E76" s="166"/>
      <c r="F76" s="197" t="s">
        <v>294</v>
      </c>
      <c r="G76" s="166"/>
      <c r="H76" s="279">
        <f>+H77</f>
        <v>2250</v>
      </c>
      <c r="I76" s="166"/>
      <c r="J76" s="166"/>
      <c r="K76" s="166"/>
      <c r="L76" s="166"/>
      <c r="M76" s="166"/>
      <c r="N76" s="177"/>
      <c r="O76" s="177"/>
      <c r="P76" s="166"/>
      <c r="Q76" s="188"/>
      <c r="R76" s="188"/>
      <c r="S76" s="184"/>
      <c r="T76" s="188"/>
      <c r="U76" s="166"/>
      <c r="V76" s="330"/>
      <c r="W76" s="96"/>
      <c r="X76" s="96"/>
    </row>
    <row r="77" spans="1:24" ht="17.25" x14ac:dyDescent="0.3">
      <c r="A77" s="166"/>
      <c r="B77" s="177"/>
      <c r="C77" s="177" t="s">
        <v>8</v>
      </c>
      <c r="D77" s="177"/>
      <c r="E77" s="166"/>
      <c r="F77" s="197" t="s">
        <v>253</v>
      </c>
      <c r="G77" s="166"/>
      <c r="H77" s="411">
        <f>Inputs!C34</f>
        <v>2250</v>
      </c>
      <c r="I77" s="166"/>
      <c r="J77" s="166"/>
      <c r="K77" s="166"/>
      <c r="L77" s="166"/>
      <c r="M77" s="166"/>
      <c r="N77" s="166"/>
      <c r="O77" s="177"/>
      <c r="P77" s="166"/>
      <c r="Q77" s="274"/>
      <c r="R77" s="274"/>
      <c r="S77" s="277"/>
      <c r="T77" s="274"/>
      <c r="U77" s="166"/>
      <c r="W77" s="41"/>
      <c r="X77" s="96"/>
    </row>
    <row r="78" spans="1:24" ht="17.25" x14ac:dyDescent="0.3">
      <c r="A78" s="166"/>
      <c r="B78" s="177"/>
      <c r="C78" s="177" t="s">
        <v>54</v>
      </c>
      <c r="D78" s="177"/>
      <c r="E78" s="166"/>
      <c r="F78" s="166"/>
      <c r="G78" s="166"/>
      <c r="H78" s="216">
        <v>1</v>
      </c>
      <c r="I78" s="166"/>
      <c r="J78" s="177"/>
      <c r="K78" s="166"/>
      <c r="L78" s="166"/>
      <c r="M78" s="166"/>
      <c r="N78" s="166"/>
      <c r="O78" s="177"/>
      <c r="P78" s="166"/>
      <c r="Q78" s="166"/>
      <c r="R78" s="274"/>
      <c r="S78" s="187"/>
      <c r="T78" s="166"/>
      <c r="U78" s="166"/>
      <c r="W78" s="41"/>
      <c r="X78" s="96"/>
    </row>
    <row r="79" spans="1:24" ht="17.25" x14ac:dyDescent="0.3">
      <c r="A79" s="166"/>
      <c r="B79" s="177"/>
      <c r="C79" s="177" t="s">
        <v>218</v>
      </c>
      <c r="D79" s="177"/>
      <c r="E79" s="166"/>
      <c r="F79" s="166"/>
      <c r="G79" s="166"/>
      <c r="H79" s="222">
        <f>IF($H78=1,0,$H77*$H86)</f>
        <v>0</v>
      </c>
      <c r="I79" s="166"/>
      <c r="J79" s="177"/>
      <c r="K79" s="166"/>
      <c r="L79" s="166"/>
      <c r="M79" s="166"/>
      <c r="N79" s="166"/>
      <c r="O79" s="177"/>
      <c r="P79" s="166"/>
      <c r="Q79" s="166"/>
      <c r="R79" s="274"/>
      <c r="S79" s="377"/>
      <c r="T79" s="166"/>
      <c r="U79" s="166"/>
      <c r="W79" s="41"/>
      <c r="X79" s="96"/>
    </row>
    <row r="80" spans="1:24" ht="17.25" x14ac:dyDescent="0.3">
      <c r="A80" s="166"/>
      <c r="B80" s="177"/>
      <c r="C80" s="177" t="s">
        <v>9</v>
      </c>
      <c r="D80" s="177"/>
      <c r="E80" s="166"/>
      <c r="F80" s="166"/>
      <c r="G80" s="166"/>
      <c r="H80" s="184">
        <f>H76*(1-H86)+H77*H86</f>
        <v>2250</v>
      </c>
      <c r="I80" s="166"/>
      <c r="J80" s="166"/>
      <c r="K80" s="166"/>
      <c r="L80" s="166"/>
      <c r="M80" s="166"/>
      <c r="N80" s="166"/>
      <c r="O80" s="177"/>
      <c r="P80" s="166"/>
      <c r="Q80" s="166"/>
      <c r="R80" s="274"/>
      <c r="S80" s="184"/>
      <c r="T80" s="166"/>
      <c r="U80" s="166"/>
      <c r="W80" s="41"/>
      <c r="X80" s="96"/>
    </row>
    <row r="81" spans="1:24" ht="17.25" x14ac:dyDescent="0.3">
      <c r="A81" s="166"/>
      <c r="B81" s="177"/>
      <c r="C81" s="177" t="s">
        <v>31</v>
      </c>
      <c r="D81" s="267"/>
      <c r="E81" s="166"/>
      <c r="F81" s="166"/>
      <c r="G81" s="166"/>
      <c r="H81" s="193">
        <v>150</v>
      </c>
      <c r="I81" s="166"/>
      <c r="J81" s="278"/>
      <c r="K81" s="166"/>
      <c r="L81" s="166"/>
      <c r="M81" s="166"/>
      <c r="N81" s="177"/>
      <c r="O81" s="177"/>
      <c r="P81" s="166"/>
      <c r="Q81" s="166"/>
      <c r="R81" s="279"/>
      <c r="S81" s="187"/>
      <c r="T81" s="278"/>
      <c r="U81" s="166"/>
      <c r="V81" s="330"/>
      <c r="W81" s="96"/>
      <c r="X81" s="96"/>
    </row>
    <row r="82" spans="1:24" ht="17.25" x14ac:dyDescent="0.3">
      <c r="A82" s="166"/>
      <c r="B82" s="177"/>
      <c r="C82" s="177" t="s">
        <v>152</v>
      </c>
      <c r="D82" s="166"/>
      <c r="E82" s="166"/>
      <c r="G82" s="166"/>
      <c r="H82" s="194">
        <v>0.2</v>
      </c>
      <c r="I82" s="166"/>
      <c r="J82" s="278"/>
      <c r="K82" s="166"/>
      <c r="L82" s="166"/>
      <c r="M82" s="166"/>
      <c r="N82" s="177"/>
      <c r="O82" s="177"/>
      <c r="P82" s="166"/>
      <c r="Q82" s="166"/>
      <c r="R82" s="279"/>
      <c r="S82" s="187"/>
      <c r="T82" s="278"/>
      <c r="U82" s="166"/>
      <c r="V82" s="330"/>
      <c r="W82" s="96"/>
      <c r="X82" s="96"/>
    </row>
    <row r="83" spans="1:24" ht="17.25" x14ac:dyDescent="0.3">
      <c r="A83" s="166"/>
      <c r="B83" s="177"/>
      <c r="C83" s="177" t="s">
        <v>40</v>
      </c>
      <c r="D83" s="177"/>
      <c r="E83" s="166"/>
      <c r="F83" s="166"/>
      <c r="G83" s="166"/>
      <c r="H83" s="279">
        <f>+H81+(H81*H82)</f>
        <v>180</v>
      </c>
      <c r="I83" s="166"/>
      <c r="J83" s="322">
        <f>H83/H81</f>
        <v>1.2</v>
      </c>
      <c r="K83" s="323"/>
      <c r="L83" s="323"/>
      <c r="M83" s="166"/>
      <c r="N83" s="177"/>
      <c r="O83" s="177"/>
      <c r="P83" s="166"/>
      <c r="Q83" s="166"/>
      <c r="R83" s="279"/>
      <c r="S83" s="166"/>
      <c r="T83" s="279"/>
      <c r="U83" s="166"/>
      <c r="V83" s="330"/>
      <c r="W83" s="96"/>
      <c r="X83" s="96"/>
    </row>
    <row r="84" spans="1:24" ht="17.25" x14ac:dyDescent="0.3">
      <c r="A84" s="166"/>
      <c r="B84" s="177"/>
      <c r="C84" s="177" t="s">
        <v>53</v>
      </c>
      <c r="D84" s="177"/>
      <c r="E84" s="166"/>
      <c r="H84" s="194">
        <v>0.95</v>
      </c>
      <c r="I84" s="166"/>
      <c r="J84" s="322">
        <f>IF(H78=1,H84/2,H84)</f>
        <v>0.47499999999999998</v>
      </c>
      <c r="K84" s="323"/>
      <c r="L84" s="324">
        <f>IF(H78=1,H84/2-H91,H84)</f>
        <v>0.27500000000000002</v>
      </c>
      <c r="M84" s="166"/>
      <c r="N84" s="177"/>
      <c r="O84" s="177"/>
      <c r="P84" s="166"/>
      <c r="Q84" s="166"/>
      <c r="R84" s="279"/>
      <c r="S84" s="166"/>
      <c r="T84" s="278"/>
      <c r="U84" s="166"/>
      <c r="V84" s="330"/>
      <c r="W84" s="96"/>
      <c r="X84" s="96"/>
    </row>
    <row r="85" spans="1:24" ht="17.25" x14ac:dyDescent="0.3">
      <c r="A85" s="166"/>
      <c r="B85" s="166"/>
      <c r="C85" s="177" t="s">
        <v>60</v>
      </c>
      <c r="D85" s="281"/>
      <c r="E85" s="166"/>
      <c r="F85" s="166"/>
      <c r="G85" s="166"/>
      <c r="H85" s="282"/>
      <c r="I85" s="166"/>
      <c r="J85" s="166"/>
      <c r="K85" s="166"/>
      <c r="L85" s="166"/>
      <c r="M85" s="166"/>
      <c r="N85" s="177"/>
      <c r="O85" s="177"/>
      <c r="P85" s="166"/>
      <c r="Q85" s="166"/>
      <c r="R85" s="166"/>
      <c r="S85" s="282"/>
      <c r="T85" s="166"/>
      <c r="U85" s="177"/>
      <c r="V85" s="330"/>
      <c r="W85" s="96"/>
      <c r="X85" s="96"/>
    </row>
    <row r="86" spans="1:24" ht="17.25" x14ac:dyDescent="0.3">
      <c r="A86" s="166"/>
      <c r="B86" s="177"/>
      <c r="C86" s="177" t="s">
        <v>61</v>
      </c>
      <c r="D86" s="166"/>
      <c r="E86" s="166"/>
      <c r="F86" s="197" t="s">
        <v>255</v>
      </c>
      <c r="G86" s="166"/>
      <c r="H86" s="194">
        <v>0.02</v>
      </c>
      <c r="I86" s="166"/>
      <c r="J86" s="166"/>
      <c r="K86" s="166"/>
      <c r="L86" s="166"/>
      <c r="M86" s="166"/>
      <c r="N86" s="177"/>
      <c r="O86" s="177"/>
      <c r="P86" s="166"/>
      <c r="Q86" s="166"/>
      <c r="R86" s="166"/>
      <c r="S86" s="378"/>
      <c r="T86" s="166"/>
      <c r="U86" s="177"/>
      <c r="V86" s="330"/>
      <c r="W86" s="96"/>
      <c r="X86" s="96"/>
    </row>
    <row r="87" spans="1:24" ht="17.25" x14ac:dyDescent="0.3">
      <c r="A87" s="166"/>
      <c r="B87" s="177"/>
      <c r="C87" s="177" t="s">
        <v>59</v>
      </c>
      <c r="D87" s="166"/>
      <c r="E87" s="166"/>
      <c r="F87" s="197" t="s">
        <v>255</v>
      </c>
      <c r="G87" s="166"/>
      <c r="H87" s="194">
        <v>0.18</v>
      </c>
      <c r="I87" s="166"/>
      <c r="J87" s="166"/>
      <c r="K87" s="166"/>
      <c r="L87" s="166"/>
      <c r="M87" s="166"/>
      <c r="N87" s="177"/>
      <c r="O87" s="177"/>
      <c r="P87" s="166"/>
      <c r="Q87" s="166"/>
      <c r="R87" s="166"/>
      <c r="S87" s="166"/>
      <c r="T87" s="177"/>
      <c r="U87" s="177"/>
      <c r="V87" s="330"/>
      <c r="W87" s="96"/>
      <c r="X87" s="96"/>
    </row>
    <row r="88" spans="1:24" ht="17.25" x14ac:dyDescent="0.3">
      <c r="A88" s="166"/>
      <c r="B88" s="177"/>
      <c r="C88" s="177" t="s">
        <v>312</v>
      </c>
      <c r="D88" s="166"/>
      <c r="E88" s="166"/>
      <c r="F88" s="197" t="s">
        <v>252</v>
      </c>
      <c r="G88" s="166"/>
      <c r="H88" s="221">
        <f>Inputs!C33</f>
        <v>128</v>
      </c>
      <c r="I88" s="166"/>
      <c r="J88" s="166"/>
      <c r="K88" s="166"/>
      <c r="L88" s="166"/>
      <c r="M88" s="166"/>
      <c r="N88" s="177"/>
      <c r="O88" s="177"/>
      <c r="P88" s="166"/>
      <c r="Q88" s="166"/>
      <c r="R88" s="166"/>
      <c r="S88" s="166"/>
      <c r="T88" s="177"/>
      <c r="U88" s="177"/>
      <c r="V88" s="330"/>
      <c r="W88" s="96"/>
      <c r="X88" s="96"/>
    </row>
    <row r="89" spans="1:24" ht="17.25" x14ac:dyDescent="0.3">
      <c r="A89" s="166"/>
      <c r="B89" s="177"/>
      <c r="C89" s="177" t="s">
        <v>315</v>
      </c>
      <c r="D89" s="166"/>
      <c r="E89" s="166"/>
      <c r="F89" s="197" t="s">
        <v>313</v>
      </c>
      <c r="G89" s="166"/>
      <c r="H89" s="193">
        <v>1100</v>
      </c>
      <c r="I89" s="166"/>
      <c r="J89" s="166"/>
      <c r="K89" s="166"/>
      <c r="L89" s="166"/>
      <c r="M89" s="166"/>
      <c r="N89" s="177"/>
      <c r="O89" s="177"/>
      <c r="P89" s="166"/>
      <c r="Q89" s="166"/>
      <c r="R89" s="166"/>
      <c r="S89" s="166"/>
      <c r="T89" s="177"/>
      <c r="U89" s="177"/>
      <c r="V89" s="330"/>
      <c r="W89" s="96"/>
      <c r="X89" s="96"/>
    </row>
    <row r="90" spans="1:24" ht="17.25" x14ac:dyDescent="0.3">
      <c r="A90" s="166"/>
      <c r="B90" s="177"/>
      <c r="C90" s="177" t="s">
        <v>10</v>
      </c>
      <c r="D90" s="177"/>
      <c r="E90" s="166"/>
      <c r="F90" s="197" t="s">
        <v>314</v>
      </c>
      <c r="G90" s="166"/>
      <c r="H90" s="317">
        <f>H88/100*H89</f>
        <v>1408</v>
      </c>
      <c r="I90" s="166"/>
      <c r="J90" s="166"/>
      <c r="K90" s="166"/>
      <c r="L90" s="166"/>
      <c r="M90" s="166"/>
      <c r="N90" s="177"/>
      <c r="O90" s="177"/>
      <c r="P90" s="166"/>
      <c r="Q90" s="177"/>
      <c r="R90" s="166"/>
      <c r="S90" s="188"/>
      <c r="T90" s="177"/>
      <c r="U90" s="177"/>
      <c r="V90" s="330"/>
      <c r="W90" s="96"/>
      <c r="X90" s="96"/>
    </row>
    <row r="91" spans="1:24" ht="17.25" x14ac:dyDescent="0.3">
      <c r="A91" s="166"/>
      <c r="B91" s="177"/>
      <c r="C91" s="177" t="s">
        <v>316</v>
      </c>
      <c r="D91" s="177"/>
      <c r="E91" s="166"/>
      <c r="F91" s="197" t="s">
        <v>255</v>
      </c>
      <c r="G91" s="166"/>
      <c r="H91" s="280">
        <f>H86+H87</f>
        <v>0.19999999999999998</v>
      </c>
      <c r="I91" s="166"/>
      <c r="J91" s="166"/>
      <c r="K91" s="166"/>
      <c r="L91" s="166"/>
      <c r="M91" s="166"/>
      <c r="N91" s="177"/>
      <c r="O91" s="177"/>
      <c r="P91" s="166"/>
      <c r="Q91" s="283" t="str">
        <f>IF(H91&lt;(H86+H87),"  Herd size is declining!","")</f>
        <v/>
      </c>
      <c r="R91" s="166"/>
      <c r="S91" s="180"/>
      <c r="T91" s="177"/>
      <c r="U91" s="177"/>
      <c r="V91" s="330"/>
      <c r="W91" s="96"/>
      <c r="X91" s="96"/>
    </row>
    <row r="92" spans="1:24" ht="17.25" x14ac:dyDescent="0.3">
      <c r="A92" s="166"/>
      <c r="B92" s="177"/>
      <c r="C92" s="177"/>
      <c r="D92" s="177"/>
      <c r="E92" s="166"/>
      <c r="F92" s="197"/>
      <c r="G92" s="166"/>
      <c r="H92" s="180"/>
      <c r="I92" s="166"/>
      <c r="J92" s="166"/>
      <c r="K92" s="166"/>
      <c r="L92" s="166"/>
      <c r="M92" s="166"/>
      <c r="N92" s="177"/>
      <c r="O92" s="177"/>
      <c r="P92" s="166"/>
      <c r="Q92" s="283"/>
      <c r="R92" s="166"/>
      <c r="S92" s="180"/>
      <c r="T92" s="177"/>
      <c r="U92" s="177"/>
      <c r="V92" s="330"/>
      <c r="W92" s="96"/>
      <c r="X92" s="96"/>
    </row>
    <row r="93" spans="1:24" ht="17.25" x14ac:dyDescent="0.3">
      <c r="A93" s="166"/>
      <c r="B93" s="392" t="str">
        <f>LEFT(K93,42)&amp;FIXED(H81,0,TRUE)&amp;" lactating cows)"</f>
        <v>Land, Building and Equipment Investment (150 lactating cows)</v>
      </c>
      <c r="C93" s="398"/>
      <c r="D93" s="379"/>
      <c r="E93" s="380"/>
      <c r="F93" s="380"/>
      <c r="G93" s="380"/>
      <c r="H93" s="379"/>
      <c r="I93" s="379"/>
      <c r="J93" s="379"/>
      <c r="K93" s="381" t="s">
        <v>319</v>
      </c>
      <c r="L93" s="380"/>
      <c r="M93" s="380"/>
      <c r="N93" s="380"/>
      <c r="O93" s="380"/>
      <c r="P93" s="380"/>
      <c r="Q93" s="284"/>
      <c r="R93" s="284"/>
      <c r="S93" s="284"/>
      <c r="T93" s="284"/>
      <c r="U93" s="284"/>
      <c r="V93" s="177"/>
      <c r="W93" s="96"/>
      <c r="X93" s="96"/>
    </row>
    <row r="94" spans="1:24" ht="16.5" x14ac:dyDescent="0.3">
      <c r="A94" s="166"/>
      <c r="B94" s="275"/>
      <c r="C94" s="166"/>
      <c r="D94" s="166"/>
      <c r="E94" s="166"/>
      <c r="F94" s="330"/>
      <c r="H94" s="330"/>
      <c r="J94" s="330"/>
      <c r="M94" s="395" t="s">
        <v>134</v>
      </c>
      <c r="N94" s="396" t="s">
        <v>134</v>
      </c>
      <c r="O94" s="396" t="s">
        <v>77</v>
      </c>
      <c r="P94" s="395" t="s">
        <v>74</v>
      </c>
      <c r="Q94" s="330"/>
      <c r="R94" s="330"/>
      <c r="S94" s="330"/>
      <c r="T94" s="330"/>
      <c r="U94" s="330"/>
    </row>
    <row r="95" spans="1:24" ht="16.5" x14ac:dyDescent="0.3">
      <c r="A95" s="166"/>
      <c r="C95" s="177" t="s">
        <v>320</v>
      </c>
      <c r="D95" s="166"/>
      <c r="E95" s="166"/>
      <c r="F95" s="399" t="s">
        <v>331</v>
      </c>
      <c r="G95" s="398"/>
      <c r="H95" s="398" t="s">
        <v>247</v>
      </c>
      <c r="I95" s="398"/>
      <c r="J95" s="400" t="s">
        <v>332</v>
      </c>
      <c r="K95" s="398"/>
      <c r="L95" s="401" t="s">
        <v>18</v>
      </c>
      <c r="M95" s="401" t="s">
        <v>154</v>
      </c>
      <c r="N95" s="399" t="s">
        <v>135</v>
      </c>
      <c r="O95" s="399" t="s">
        <v>76</v>
      </c>
      <c r="P95" s="401" t="s">
        <v>75</v>
      </c>
      <c r="Q95" s="402" t="s">
        <v>78</v>
      </c>
      <c r="R95" s="402" t="s">
        <v>79</v>
      </c>
      <c r="S95" s="402" t="s">
        <v>24</v>
      </c>
      <c r="T95" s="402" t="s">
        <v>80</v>
      </c>
      <c r="U95" s="402" t="s">
        <v>18</v>
      </c>
    </row>
    <row r="96" spans="1:24" ht="15" customHeight="1" x14ac:dyDescent="0.3">
      <c r="A96" s="166"/>
      <c r="B96" s="275"/>
      <c r="C96" s="166" t="s">
        <v>158</v>
      </c>
      <c r="D96" s="166"/>
      <c r="E96" s="166"/>
      <c r="F96" s="216">
        <v>200</v>
      </c>
      <c r="G96" s="442" t="s">
        <v>159</v>
      </c>
      <c r="H96" s="442"/>
      <c r="I96" s="166"/>
      <c r="J96" s="193">
        <v>4800</v>
      </c>
      <c r="K96" s="166"/>
      <c r="L96" s="263">
        <f>F96*J96</f>
        <v>960000</v>
      </c>
      <c r="M96" s="279">
        <f>+L96/$H$83</f>
        <v>5333.333333333333</v>
      </c>
      <c r="N96" s="279">
        <f>+L96/$H$81</f>
        <v>6400</v>
      </c>
      <c r="O96" s="216">
        <v>20</v>
      </c>
      <c r="P96" s="194">
        <v>1</v>
      </c>
      <c r="Q96" s="289">
        <f>(M96*(1-P96)/O96)</f>
        <v>0</v>
      </c>
      <c r="R96" s="289">
        <f>((M96+M96*P96)/2*$F$139)</f>
        <v>413.33333333333331</v>
      </c>
      <c r="S96" s="289">
        <f>M96*$F$140</f>
        <v>0</v>
      </c>
      <c r="T96" s="289">
        <f>M96*$F$141</f>
        <v>26.666666666666664</v>
      </c>
      <c r="U96" s="290">
        <f>+Q96+R96+S96+T96</f>
        <v>440</v>
      </c>
    </row>
    <row r="97" spans="1:21" ht="16.5" x14ac:dyDescent="0.3">
      <c r="A97" s="166"/>
      <c r="B97" s="177"/>
      <c r="C97" s="177" t="s">
        <v>32</v>
      </c>
      <c r="D97" s="166"/>
      <c r="E97" s="166"/>
      <c r="F97" s="177"/>
      <c r="G97" s="442"/>
      <c r="H97" s="442"/>
      <c r="I97" s="166"/>
      <c r="J97" s="277"/>
      <c r="K97" s="166"/>
      <c r="L97" s="263"/>
      <c r="M97" s="279"/>
      <c r="N97" s="279"/>
      <c r="O97" s="166"/>
      <c r="P97" s="177"/>
      <c r="Q97" s="166"/>
      <c r="R97" s="166"/>
      <c r="S97" s="166"/>
      <c r="T97" s="166"/>
      <c r="U97" s="166"/>
    </row>
    <row r="98" spans="1:21" ht="15" customHeight="1" x14ac:dyDescent="0.3">
      <c r="A98" s="166"/>
      <c r="B98" s="177"/>
      <c r="C98" s="177" t="s">
        <v>240</v>
      </c>
      <c r="D98" s="166"/>
      <c r="E98" s="166"/>
      <c r="F98" s="193">
        <v>150</v>
      </c>
      <c r="G98" s="442" t="s">
        <v>153</v>
      </c>
      <c r="H98" s="442"/>
      <c r="I98" s="166"/>
      <c r="J98" s="193">
        <v>20</v>
      </c>
      <c r="K98" s="166"/>
      <c r="L98" s="263">
        <f>F98*J98</f>
        <v>3000</v>
      </c>
      <c r="M98" s="279">
        <f t="shared" ref="M98:M103" si="2">+L98/$H$83</f>
        <v>16.666666666666668</v>
      </c>
      <c r="N98" s="279">
        <f t="shared" ref="N98:N103" si="3">+L98/$H$81</f>
        <v>20</v>
      </c>
      <c r="O98" s="216">
        <v>15</v>
      </c>
      <c r="P98" s="194">
        <v>0.1</v>
      </c>
      <c r="Q98" s="289">
        <f>(M98*(1-P98)/O98)</f>
        <v>1.0000000000000002</v>
      </c>
      <c r="R98" s="289">
        <f>((M98+M98*P98)/2*$H$139)</f>
        <v>0.71041666666666681</v>
      </c>
      <c r="S98" s="289">
        <f>M98*$H$140</f>
        <v>4.1666666666666671E-2</v>
      </c>
      <c r="T98" s="289">
        <f>M98*$H$141</f>
        <v>0.25</v>
      </c>
      <c r="U98" s="290">
        <f t="shared" ref="U98:U103" si="4">+Q98+R98+S98+T98</f>
        <v>2.0020833333333341</v>
      </c>
    </row>
    <row r="99" spans="1:21" ht="15" customHeight="1" x14ac:dyDescent="0.3">
      <c r="A99" s="166"/>
      <c r="B99" s="177"/>
      <c r="C99" s="177" t="s">
        <v>35</v>
      </c>
      <c r="D99" s="166"/>
      <c r="E99" s="166"/>
      <c r="F99" s="216">
        <v>0</v>
      </c>
      <c r="G99" s="442" t="s">
        <v>36</v>
      </c>
      <c r="H99" s="442"/>
      <c r="I99" s="166"/>
      <c r="J99" s="193">
        <v>250</v>
      </c>
      <c r="K99" s="166"/>
      <c r="L99" s="263">
        <f>F99*J99</f>
        <v>0</v>
      </c>
      <c r="M99" s="279">
        <f t="shared" si="2"/>
        <v>0</v>
      </c>
      <c r="N99" s="279">
        <f t="shared" si="3"/>
        <v>0</v>
      </c>
      <c r="O99" s="216">
        <v>15</v>
      </c>
      <c r="P99" s="194">
        <v>0.1</v>
      </c>
      <c r="Q99" s="289">
        <f>(M99*(1-P99)/O99)</f>
        <v>0</v>
      </c>
      <c r="R99" s="289">
        <f>((M99+M99*P99)/2*$H$139)</f>
        <v>0</v>
      </c>
      <c r="S99" s="289">
        <f>M99*$H$140</f>
        <v>0</v>
      </c>
      <c r="T99" s="289">
        <f>M99*$H$141</f>
        <v>0</v>
      </c>
      <c r="U99" s="290">
        <f t="shared" si="4"/>
        <v>0</v>
      </c>
    </row>
    <row r="100" spans="1:21" ht="15" customHeight="1" x14ac:dyDescent="0.3">
      <c r="A100" s="166"/>
      <c r="B100" s="177"/>
      <c r="C100" s="177" t="s">
        <v>37</v>
      </c>
      <c r="D100" s="166"/>
      <c r="E100" s="166"/>
      <c r="F100" s="216">
        <v>1</v>
      </c>
      <c r="G100" s="442" t="s">
        <v>36</v>
      </c>
      <c r="H100" s="442"/>
      <c r="I100" s="166"/>
      <c r="J100" s="193">
        <v>60</v>
      </c>
      <c r="K100" s="166"/>
      <c r="L100" s="263">
        <f>F100*J100</f>
        <v>60</v>
      </c>
      <c r="M100" s="279">
        <f t="shared" si="2"/>
        <v>0.33333333333333331</v>
      </c>
      <c r="N100" s="279">
        <f t="shared" si="3"/>
        <v>0.4</v>
      </c>
      <c r="O100" s="216">
        <v>15</v>
      </c>
      <c r="P100" s="194">
        <v>0.1</v>
      </c>
      <c r="Q100" s="289">
        <f>(M100*(1-P100)/O100)</f>
        <v>0.02</v>
      </c>
      <c r="R100" s="289">
        <f>((M100+M100*P100)/2*$H$139)</f>
        <v>1.4208333333333331E-2</v>
      </c>
      <c r="S100" s="289">
        <f>M100*$H$140</f>
        <v>8.3333333333333328E-4</v>
      </c>
      <c r="T100" s="289">
        <f>M100*$H$141</f>
        <v>4.9999999999999992E-3</v>
      </c>
      <c r="U100" s="290">
        <f t="shared" si="4"/>
        <v>4.0041666666666663E-2</v>
      </c>
    </row>
    <row r="101" spans="1:21" ht="16.5" x14ac:dyDescent="0.3">
      <c r="A101" s="166"/>
      <c r="B101" s="177"/>
      <c r="C101" s="177" t="s">
        <v>38</v>
      </c>
      <c r="D101" s="166"/>
      <c r="E101" s="166"/>
      <c r="F101" s="187"/>
      <c r="G101" s="442"/>
      <c r="H101" s="442"/>
      <c r="I101" s="166"/>
      <c r="J101" s="277"/>
      <c r="K101" s="166"/>
      <c r="L101" s="193">
        <v>5000</v>
      </c>
      <c r="M101" s="279">
        <f t="shared" si="2"/>
        <v>27.777777777777779</v>
      </c>
      <c r="N101" s="279">
        <f t="shared" si="3"/>
        <v>33.333333333333336</v>
      </c>
      <c r="O101" s="216">
        <v>15</v>
      </c>
      <c r="P101" s="194">
        <v>0.1</v>
      </c>
      <c r="Q101" s="289">
        <f>(M101*(1-P101)/O101)</f>
        <v>1.6666666666666667</v>
      </c>
      <c r="R101" s="289">
        <f>((M101+M101*P101)/2*$H$139)</f>
        <v>1.1840277777777779</v>
      </c>
      <c r="S101" s="289">
        <f>M101*$H$140</f>
        <v>6.9444444444444448E-2</v>
      </c>
      <c r="T101" s="289">
        <f>M101*$H$141</f>
        <v>0.41666666666666669</v>
      </c>
      <c r="U101" s="290">
        <f t="shared" si="4"/>
        <v>3.3368055555555558</v>
      </c>
    </row>
    <row r="102" spans="1:21" ht="16.5" x14ac:dyDescent="0.3">
      <c r="A102" s="166"/>
      <c r="B102" s="177"/>
      <c r="C102" s="216" t="s">
        <v>155</v>
      </c>
      <c r="D102" s="166"/>
      <c r="E102" s="166"/>
      <c r="F102" s="166"/>
      <c r="G102" s="442"/>
      <c r="H102" s="442"/>
      <c r="I102" s="166"/>
      <c r="J102" s="193">
        <v>60</v>
      </c>
      <c r="K102" s="166"/>
      <c r="L102" s="321">
        <f>J102*F98</f>
        <v>9000</v>
      </c>
      <c r="M102" s="292">
        <f t="shared" si="2"/>
        <v>50</v>
      </c>
      <c r="N102" s="292">
        <f t="shared" si="3"/>
        <v>60</v>
      </c>
      <c r="O102" s="318">
        <v>15</v>
      </c>
      <c r="P102" s="319">
        <v>0.1</v>
      </c>
      <c r="Q102" s="293">
        <f>(M102*(1-P102)/O102)</f>
        <v>3</v>
      </c>
      <c r="R102" s="293">
        <f>((M102+M102*P102)/2*$H$139)</f>
        <v>2.1312500000000001</v>
      </c>
      <c r="S102" s="293">
        <f>M102*$H$140</f>
        <v>0.125</v>
      </c>
      <c r="T102" s="293">
        <f>M102*$H$141</f>
        <v>0.75</v>
      </c>
      <c r="U102" s="294">
        <f t="shared" si="4"/>
        <v>6.0062499999999996</v>
      </c>
    </row>
    <row r="103" spans="1:21" ht="16.5" x14ac:dyDescent="0.3">
      <c r="A103" s="166"/>
      <c r="B103" s="177"/>
      <c r="C103" s="215" t="s">
        <v>18</v>
      </c>
      <c r="D103" s="166"/>
      <c r="E103" s="166"/>
      <c r="F103" s="177"/>
      <c r="G103" s="442"/>
      <c r="H103" s="442"/>
      <c r="I103" s="166"/>
      <c r="J103" s="277"/>
      <c r="K103" s="166"/>
      <c r="L103" s="263">
        <f>SUM(L98:L102)</f>
        <v>17060</v>
      </c>
      <c r="M103" s="279">
        <f t="shared" si="2"/>
        <v>94.777777777777771</v>
      </c>
      <c r="N103" s="279">
        <f t="shared" si="3"/>
        <v>113.73333333333333</v>
      </c>
      <c r="O103" s="166"/>
      <c r="P103" s="177"/>
      <c r="Q103" s="290">
        <f>SUM(Q98:Q102)</f>
        <v>5.6866666666666674</v>
      </c>
      <c r="R103" s="290">
        <f>SUM(R98:R102)</f>
        <v>4.0399027777777778</v>
      </c>
      <c r="S103" s="290">
        <f>SUM(S98:S102)</f>
        <v>0.23694444444444446</v>
      </c>
      <c r="T103" s="290">
        <f>SUM(T98:T102)</f>
        <v>1.4216666666666666</v>
      </c>
      <c r="U103" s="290">
        <f t="shared" si="4"/>
        <v>11.385180555555557</v>
      </c>
    </row>
    <row r="104" spans="1:21" ht="16.5" x14ac:dyDescent="0.3">
      <c r="A104" s="166"/>
      <c r="B104" s="177"/>
      <c r="C104" s="177"/>
      <c r="D104" s="166"/>
      <c r="E104" s="166"/>
      <c r="F104" s="166"/>
      <c r="G104" s="442"/>
      <c r="H104" s="442"/>
      <c r="I104" s="166"/>
      <c r="J104" s="166"/>
      <c r="K104" s="166"/>
      <c r="L104" s="277"/>
      <c r="M104" s="263"/>
      <c r="N104" s="263"/>
      <c r="O104" s="166"/>
      <c r="P104" s="177"/>
      <c r="Q104" s="177"/>
      <c r="R104" s="177"/>
      <c r="S104" s="177"/>
      <c r="T104" s="177"/>
      <c r="U104" s="177"/>
    </row>
    <row r="105" spans="1:21" ht="16.5" x14ac:dyDescent="0.3">
      <c r="A105" s="166"/>
      <c r="B105" s="177"/>
      <c r="C105" s="177" t="s">
        <v>41</v>
      </c>
      <c r="D105" s="166"/>
      <c r="E105" s="166"/>
      <c r="F105" s="278"/>
      <c r="G105" s="442"/>
      <c r="H105" s="442"/>
      <c r="I105" s="166"/>
      <c r="J105" s="166"/>
      <c r="K105" s="166"/>
      <c r="L105" s="277"/>
      <c r="M105" s="263"/>
      <c r="N105" s="263"/>
      <c r="O105" s="166"/>
      <c r="P105" s="177"/>
      <c r="Q105" s="177"/>
      <c r="R105" s="177"/>
      <c r="S105" s="177"/>
      <c r="T105" s="177"/>
      <c r="U105" s="177"/>
    </row>
    <row r="106" spans="1:21" ht="15" customHeight="1" x14ac:dyDescent="0.3">
      <c r="A106" s="166"/>
      <c r="B106" s="177"/>
      <c r="C106" s="177" t="s">
        <v>42</v>
      </c>
      <c r="D106" s="166"/>
      <c r="E106" s="166"/>
      <c r="F106" s="209">
        <v>187</v>
      </c>
      <c r="G106" s="442" t="s">
        <v>43</v>
      </c>
      <c r="H106" s="442"/>
      <c r="I106" s="166"/>
      <c r="J106" s="193">
        <v>50</v>
      </c>
      <c r="K106" s="279"/>
      <c r="L106" s="263">
        <f>F106*J106</f>
        <v>9350</v>
      </c>
      <c r="M106" s="279">
        <f t="shared" ref="M106:M111" si="5">+L106/$H$83</f>
        <v>51.944444444444443</v>
      </c>
      <c r="N106" s="279">
        <f t="shared" ref="N106:N111" si="6">+L106/$H$81</f>
        <v>62.333333333333336</v>
      </c>
      <c r="O106" s="216">
        <v>15</v>
      </c>
      <c r="P106" s="194">
        <v>0.1</v>
      </c>
      <c r="Q106" s="289">
        <f>(M106*(1-P106)/O106)</f>
        <v>3.1166666666666667</v>
      </c>
      <c r="R106" s="289">
        <f>((M106+M106*P106)/2*$H$139)</f>
        <v>2.2141319444444445</v>
      </c>
      <c r="S106" s="289">
        <f>M106*$H$140</f>
        <v>0.12986111111111112</v>
      </c>
      <c r="T106" s="289">
        <f>M106*$H$141</f>
        <v>0.77916666666666656</v>
      </c>
      <c r="U106" s="290">
        <f t="shared" ref="U106:U111" si="7">+Q106+R106+S106+T106</f>
        <v>6.2398263888888899</v>
      </c>
    </row>
    <row r="107" spans="1:21" ht="15" customHeight="1" x14ac:dyDescent="0.3">
      <c r="A107" s="166"/>
      <c r="B107" s="177"/>
      <c r="C107" s="177" t="s">
        <v>62</v>
      </c>
      <c r="D107" s="166"/>
      <c r="E107" s="166"/>
      <c r="F107" s="209">
        <v>0</v>
      </c>
      <c r="G107" s="442" t="s">
        <v>43</v>
      </c>
      <c r="H107" s="442"/>
      <c r="I107" s="166"/>
      <c r="J107" s="193">
        <v>40</v>
      </c>
      <c r="K107" s="279"/>
      <c r="L107" s="263">
        <f>F107*J107</f>
        <v>0</v>
      </c>
      <c r="M107" s="279">
        <f t="shared" si="5"/>
        <v>0</v>
      </c>
      <c r="N107" s="279">
        <f t="shared" si="6"/>
        <v>0</v>
      </c>
      <c r="O107" s="216">
        <v>15</v>
      </c>
      <c r="P107" s="194">
        <v>0.1</v>
      </c>
      <c r="Q107" s="289">
        <f>(M107*(1-P107)/O107)</f>
        <v>0</v>
      </c>
      <c r="R107" s="289">
        <f>((M107+M107*P107)/2*$H$139)</f>
        <v>0</v>
      </c>
      <c r="S107" s="289">
        <f>M107*$H$140</f>
        <v>0</v>
      </c>
      <c r="T107" s="289">
        <f>M107*$H$141</f>
        <v>0</v>
      </c>
      <c r="U107" s="290">
        <f t="shared" si="7"/>
        <v>0</v>
      </c>
    </row>
    <row r="108" spans="1:21" ht="15" customHeight="1" x14ac:dyDescent="0.3">
      <c r="A108" s="166"/>
      <c r="B108" s="177"/>
      <c r="C108" s="177" t="s">
        <v>241</v>
      </c>
      <c r="D108" s="166"/>
      <c r="E108" s="166"/>
      <c r="F108" s="209">
        <v>2</v>
      </c>
      <c r="G108" s="442" t="s">
        <v>165</v>
      </c>
      <c r="H108" s="442"/>
      <c r="I108" s="166"/>
      <c r="J108" s="193">
        <v>2500</v>
      </c>
      <c r="K108" s="279"/>
      <c r="L108" s="263">
        <f>F108*J108</f>
        <v>5000</v>
      </c>
      <c r="M108" s="279">
        <f t="shared" si="5"/>
        <v>27.777777777777779</v>
      </c>
      <c r="N108" s="279">
        <f t="shared" si="6"/>
        <v>33.333333333333336</v>
      </c>
      <c r="O108" s="216">
        <v>15</v>
      </c>
      <c r="P108" s="194">
        <v>0.1</v>
      </c>
      <c r="Q108" s="289">
        <f>(M108*(1-P108)/O108)</f>
        <v>1.6666666666666667</v>
      </c>
      <c r="R108" s="289">
        <f>((M108+M108*P108)/2*$H$139)</f>
        <v>1.1840277777777779</v>
      </c>
      <c r="S108" s="289">
        <f>M108*$H$140</f>
        <v>6.9444444444444448E-2</v>
      </c>
      <c r="T108" s="289">
        <f>M108*$H$141</f>
        <v>0.41666666666666669</v>
      </c>
      <c r="U108" s="290">
        <f t="shared" si="7"/>
        <v>3.3368055555555558</v>
      </c>
    </row>
    <row r="109" spans="1:21" ht="15" customHeight="1" x14ac:dyDescent="0.3">
      <c r="A109" s="166"/>
      <c r="B109" s="177"/>
      <c r="C109" s="177" t="s">
        <v>44</v>
      </c>
      <c r="D109" s="166"/>
      <c r="E109" s="166"/>
      <c r="F109" s="209">
        <v>0</v>
      </c>
      <c r="G109" s="442" t="s">
        <v>64</v>
      </c>
      <c r="H109" s="442"/>
      <c r="I109" s="166"/>
      <c r="J109" s="193">
        <v>0</v>
      </c>
      <c r="K109" s="279"/>
      <c r="L109" s="263">
        <f>F109*J109</f>
        <v>0</v>
      </c>
      <c r="M109" s="279">
        <f t="shared" si="5"/>
        <v>0</v>
      </c>
      <c r="N109" s="279">
        <f t="shared" si="6"/>
        <v>0</v>
      </c>
      <c r="O109" s="216">
        <v>15</v>
      </c>
      <c r="P109" s="194">
        <v>0.1</v>
      </c>
      <c r="Q109" s="289">
        <f>(M109*(1-P109)/O109)</f>
        <v>0</v>
      </c>
      <c r="R109" s="289">
        <f>((M109+M109*P109)/2*$H$139)</f>
        <v>0</v>
      </c>
      <c r="S109" s="289">
        <f>M109*$H$140</f>
        <v>0</v>
      </c>
      <c r="T109" s="289">
        <f>M109*$H$141</f>
        <v>0</v>
      </c>
      <c r="U109" s="290">
        <f t="shared" si="7"/>
        <v>0</v>
      </c>
    </row>
    <row r="110" spans="1:21" ht="16.5" x14ac:dyDescent="0.3">
      <c r="A110" s="166"/>
      <c r="B110" s="177"/>
      <c r="C110" s="216" t="s">
        <v>39</v>
      </c>
      <c r="D110" s="166"/>
      <c r="E110" s="166"/>
      <c r="F110" s="166"/>
      <c r="G110" s="442"/>
      <c r="H110" s="442"/>
      <c r="I110" s="166"/>
      <c r="J110" s="279"/>
      <c r="K110" s="279"/>
      <c r="L110" s="320">
        <v>0</v>
      </c>
      <c r="M110" s="292">
        <f t="shared" si="5"/>
        <v>0</v>
      </c>
      <c r="N110" s="292">
        <f t="shared" si="6"/>
        <v>0</v>
      </c>
      <c r="O110" s="318">
        <v>15</v>
      </c>
      <c r="P110" s="319">
        <v>0.1</v>
      </c>
      <c r="Q110" s="293">
        <f>(M110*(1-P110)/O110)</f>
        <v>0</v>
      </c>
      <c r="R110" s="293">
        <f>((M110+M110*P110)/2*$H$139)</f>
        <v>0</v>
      </c>
      <c r="S110" s="293">
        <f>M110*$H$140</f>
        <v>0</v>
      </c>
      <c r="T110" s="293">
        <f>M110*$H$141</f>
        <v>0</v>
      </c>
      <c r="U110" s="294">
        <f t="shared" si="7"/>
        <v>0</v>
      </c>
    </row>
    <row r="111" spans="1:21" ht="16.5" x14ac:dyDescent="0.3">
      <c r="A111" s="166"/>
      <c r="B111" s="177"/>
      <c r="C111" s="215" t="s">
        <v>18</v>
      </c>
      <c r="D111" s="166"/>
      <c r="E111" s="166"/>
      <c r="F111" s="166"/>
      <c r="G111" s="442"/>
      <c r="H111" s="442"/>
      <c r="I111" s="166"/>
      <c r="J111" s="279"/>
      <c r="K111" s="279"/>
      <c r="L111" s="263">
        <f>SUM(L106:L110)</f>
        <v>14350</v>
      </c>
      <c r="M111" s="279">
        <f t="shared" si="5"/>
        <v>79.722222222222229</v>
      </c>
      <c r="N111" s="279">
        <f t="shared" si="6"/>
        <v>95.666666666666671</v>
      </c>
      <c r="O111" s="166"/>
      <c r="P111" s="177"/>
      <c r="Q111" s="290">
        <f>SUM(Q106:Q110)</f>
        <v>4.7833333333333332</v>
      </c>
      <c r="R111" s="290">
        <f>SUM(R106:R110)</f>
        <v>3.3981597222222222</v>
      </c>
      <c r="S111" s="290">
        <f>SUM(S106:S110)</f>
        <v>0.19930555555555557</v>
      </c>
      <c r="T111" s="290">
        <f>SUM(T106:T110)</f>
        <v>1.1958333333333333</v>
      </c>
      <c r="U111" s="290">
        <f t="shared" si="7"/>
        <v>9.5766319444444452</v>
      </c>
    </row>
    <row r="112" spans="1:21" ht="16.5" x14ac:dyDescent="0.3">
      <c r="A112" s="166"/>
      <c r="B112" s="177"/>
      <c r="C112" s="177"/>
      <c r="D112" s="166"/>
      <c r="E112" s="166"/>
      <c r="F112" s="382"/>
      <c r="G112" s="442"/>
      <c r="H112" s="442"/>
      <c r="I112" s="166"/>
      <c r="J112" s="166"/>
      <c r="K112" s="166"/>
      <c r="L112" s="277"/>
      <c r="M112" s="279"/>
      <c r="N112" s="279"/>
      <c r="O112" s="166"/>
      <c r="P112" s="177"/>
      <c r="Q112" s="177"/>
      <c r="R112" s="177"/>
      <c r="S112" s="177"/>
      <c r="T112" s="177"/>
      <c r="U112" s="177"/>
    </row>
    <row r="113" spans="1:33" ht="16.5" x14ac:dyDescent="0.3">
      <c r="A113" s="166"/>
      <c r="B113" s="177"/>
      <c r="C113" s="177" t="s">
        <v>71</v>
      </c>
      <c r="D113" s="166"/>
      <c r="E113" s="166"/>
      <c r="F113" s="166"/>
      <c r="G113" s="442"/>
      <c r="H113" s="442"/>
      <c r="I113" s="166"/>
      <c r="J113" s="166"/>
      <c r="K113" s="166"/>
      <c r="L113" s="277"/>
      <c r="M113" s="279"/>
      <c r="N113" s="279"/>
      <c r="O113" s="166"/>
      <c r="P113" s="177"/>
      <c r="Q113" s="177"/>
      <c r="R113" s="177"/>
      <c r="S113" s="177"/>
      <c r="T113" s="177"/>
      <c r="U113" s="177"/>
    </row>
    <row r="114" spans="1:33" ht="15" customHeight="1" x14ac:dyDescent="0.3">
      <c r="A114" s="166"/>
      <c r="B114" s="177"/>
      <c r="C114" s="177" t="s">
        <v>166</v>
      </c>
      <c r="D114" s="166"/>
      <c r="E114" s="166"/>
      <c r="F114" s="193">
        <v>24</v>
      </c>
      <c r="G114" s="442" t="s">
        <v>34</v>
      </c>
      <c r="H114" s="442"/>
      <c r="I114" s="166"/>
      <c r="J114" s="193">
        <v>8000</v>
      </c>
      <c r="K114" s="166"/>
      <c r="L114" s="263">
        <f>F114*J114</f>
        <v>192000</v>
      </c>
      <c r="M114" s="279">
        <f>+L114/$H$83</f>
        <v>1066.6666666666667</v>
      </c>
      <c r="N114" s="279">
        <f>+L114/$H$81</f>
        <v>1280</v>
      </c>
      <c r="O114" s="216">
        <v>15</v>
      </c>
      <c r="P114" s="194">
        <v>0.1</v>
      </c>
      <c r="Q114" s="289">
        <f>(M114*(1-P114)/O114)</f>
        <v>64.000000000000014</v>
      </c>
      <c r="R114" s="289">
        <f>((M114+M114*P114)/2*$H$139)</f>
        <v>45.466666666666676</v>
      </c>
      <c r="S114" s="289">
        <f>M114*$H$140</f>
        <v>2.666666666666667</v>
      </c>
      <c r="T114" s="289">
        <f>M114*$H$141</f>
        <v>16</v>
      </c>
      <c r="U114" s="290">
        <f>+Q114+R114+S114+T114</f>
        <v>128.13333333333338</v>
      </c>
    </row>
    <row r="115" spans="1:33" ht="15" customHeight="1" x14ac:dyDescent="0.3">
      <c r="A115" s="166"/>
      <c r="B115" s="177"/>
      <c r="C115" s="177" t="s">
        <v>67</v>
      </c>
      <c r="D115" s="166"/>
      <c r="E115" s="166"/>
      <c r="F115" s="193">
        <v>125</v>
      </c>
      <c r="G115" s="442" t="s">
        <v>163</v>
      </c>
      <c r="H115" s="442"/>
      <c r="I115" s="166"/>
      <c r="J115" s="193">
        <v>300</v>
      </c>
      <c r="K115" s="166"/>
      <c r="L115" s="263">
        <f>F115*J115</f>
        <v>37500</v>
      </c>
      <c r="M115" s="279">
        <f>+L115/$H$83</f>
        <v>208.33333333333334</v>
      </c>
      <c r="N115" s="279">
        <f>+L115/$H$81</f>
        <v>250</v>
      </c>
      <c r="O115" s="216">
        <v>15</v>
      </c>
      <c r="P115" s="194">
        <v>0.1</v>
      </c>
      <c r="Q115" s="289">
        <f>(M115*(1-P115)/O115)</f>
        <v>12.5</v>
      </c>
      <c r="R115" s="289">
        <f>((M115+M115*P115)/2*$H$139)</f>
        <v>8.8802083333333339</v>
      </c>
      <c r="S115" s="289">
        <f>M115*$H$140</f>
        <v>0.52083333333333337</v>
      </c>
      <c r="T115" s="289">
        <f>M115*$H$141</f>
        <v>3.125</v>
      </c>
      <c r="U115" s="290">
        <f>+Q115+R115+S115+T115</f>
        <v>25.026041666666668</v>
      </c>
    </row>
    <row r="116" spans="1:33" ht="16.5" x14ac:dyDescent="0.3">
      <c r="A116" s="166"/>
      <c r="B116" s="177"/>
      <c r="C116" s="216" t="s">
        <v>39</v>
      </c>
      <c r="D116" s="166"/>
      <c r="E116" s="166"/>
      <c r="F116" s="193">
        <v>0</v>
      </c>
      <c r="G116" s="442"/>
      <c r="H116" s="442"/>
      <c r="I116" s="166"/>
      <c r="J116" s="193">
        <v>0</v>
      </c>
      <c r="K116" s="166"/>
      <c r="L116" s="263">
        <f>F116*J116</f>
        <v>0</v>
      </c>
      <c r="M116" s="279">
        <f>+L116/$H$83</f>
        <v>0</v>
      </c>
      <c r="N116" s="279">
        <f>+L116/$H$81</f>
        <v>0</v>
      </c>
      <c r="O116" s="216">
        <v>15</v>
      </c>
      <c r="P116" s="194">
        <v>0.1</v>
      </c>
      <c r="Q116" s="289">
        <f>(M116*(1-P116)/O116)</f>
        <v>0</v>
      </c>
      <c r="R116" s="289">
        <f>((M116+M116*P116)/2*$H$139)</f>
        <v>0</v>
      </c>
      <c r="S116" s="289">
        <f>M116*$H$140</f>
        <v>0</v>
      </c>
      <c r="T116" s="289">
        <f>M116*$H$141</f>
        <v>0</v>
      </c>
      <c r="U116" s="290">
        <f>+Q116+R116+S116+T116</f>
        <v>0</v>
      </c>
    </row>
    <row r="117" spans="1:33" ht="16.5" x14ac:dyDescent="0.3">
      <c r="A117" s="166"/>
      <c r="B117" s="177"/>
      <c r="C117" s="216" t="s">
        <v>39</v>
      </c>
      <c r="D117" s="166"/>
      <c r="E117" s="166"/>
      <c r="F117" s="193">
        <v>0</v>
      </c>
      <c r="G117" s="442"/>
      <c r="H117" s="442"/>
      <c r="I117" s="166"/>
      <c r="J117" s="193">
        <v>0</v>
      </c>
      <c r="K117" s="166"/>
      <c r="L117" s="321">
        <f>F117*J117</f>
        <v>0</v>
      </c>
      <c r="M117" s="292">
        <f>+L117/$H$83</f>
        <v>0</v>
      </c>
      <c r="N117" s="292">
        <f>+L117/$H$81</f>
        <v>0</v>
      </c>
      <c r="O117" s="318">
        <v>15</v>
      </c>
      <c r="P117" s="319">
        <v>0.1</v>
      </c>
      <c r="Q117" s="293">
        <f>(M117*(1-P117)/O117)</f>
        <v>0</v>
      </c>
      <c r="R117" s="293">
        <f>((M117+M117*P117)/2*$H$139)</f>
        <v>0</v>
      </c>
      <c r="S117" s="293">
        <f>M117*$H$140</f>
        <v>0</v>
      </c>
      <c r="T117" s="293">
        <f>M117*$H$141</f>
        <v>0</v>
      </c>
      <c r="U117" s="294">
        <f>+Q117+R117+S117+T117</f>
        <v>0</v>
      </c>
    </row>
    <row r="118" spans="1:33" ht="16.5" x14ac:dyDescent="0.3">
      <c r="A118" s="166"/>
      <c r="B118" s="177"/>
      <c r="C118" s="215" t="s">
        <v>18</v>
      </c>
      <c r="D118" s="166"/>
      <c r="E118" s="166"/>
      <c r="F118" s="166"/>
      <c r="G118" s="166"/>
      <c r="H118" s="166"/>
      <c r="I118" s="166"/>
      <c r="J118" s="277"/>
      <c r="K118" s="166"/>
      <c r="L118" s="263">
        <f>SUM(L114:L117)</f>
        <v>229500</v>
      </c>
      <c r="M118" s="279">
        <f>+L118/$H$83</f>
        <v>1275</v>
      </c>
      <c r="N118" s="279">
        <f>+L118/$H$81</f>
        <v>1530</v>
      </c>
      <c r="O118" s="166"/>
      <c r="P118" s="177"/>
      <c r="Q118" s="290">
        <f>SUM(Q114:Q117)</f>
        <v>76.500000000000014</v>
      </c>
      <c r="R118" s="290">
        <f>SUM(R114:R117)</f>
        <v>54.346875000000011</v>
      </c>
      <c r="S118" s="290">
        <f>SUM(S114:S117)</f>
        <v>3.1875000000000004</v>
      </c>
      <c r="T118" s="290">
        <f>SUM(T114:T117)</f>
        <v>19.125</v>
      </c>
      <c r="U118" s="290">
        <f>SUM(U114:U117)</f>
        <v>153.15937500000004</v>
      </c>
    </row>
    <row r="119" spans="1:33" ht="16.5" x14ac:dyDescent="0.3">
      <c r="A119" s="166"/>
      <c r="B119" s="177"/>
      <c r="C119" s="177"/>
      <c r="D119" s="166"/>
      <c r="E119" s="166"/>
      <c r="F119" s="166"/>
      <c r="G119" s="166"/>
      <c r="H119" s="166"/>
      <c r="I119" s="166"/>
      <c r="J119" s="277"/>
      <c r="K119" s="166"/>
      <c r="L119" s="263"/>
      <c r="M119" s="279"/>
      <c r="N119" s="279"/>
      <c r="O119" s="166"/>
      <c r="P119" s="177"/>
      <c r="Q119" s="177"/>
      <c r="R119" s="177"/>
      <c r="S119" s="177"/>
      <c r="T119" s="177"/>
      <c r="U119" s="177"/>
    </row>
    <row r="120" spans="1:33" ht="16.5" x14ac:dyDescent="0.3">
      <c r="A120" s="166"/>
      <c r="C120" s="275"/>
      <c r="D120" s="177" t="s">
        <v>162</v>
      </c>
      <c r="E120" s="166"/>
      <c r="F120" s="192"/>
      <c r="G120" s="166"/>
      <c r="H120" s="192"/>
      <c r="I120" s="166"/>
      <c r="J120" s="405"/>
      <c r="K120" s="166"/>
      <c r="L120" s="263">
        <f>L96+L103+L111+L118</f>
        <v>1220910</v>
      </c>
      <c r="M120" s="279">
        <f>+L120/$H$83</f>
        <v>6782.833333333333</v>
      </c>
      <c r="N120" s="279">
        <f>+L120/$H$81</f>
        <v>8139.4</v>
      </c>
      <c r="O120" s="181"/>
      <c r="P120" s="181"/>
      <c r="Q120" s="325">
        <f>Q96+Q103+Q111+Q118</f>
        <v>86.970000000000013</v>
      </c>
      <c r="R120" s="325">
        <f>R96+R103+R111+R118</f>
        <v>475.11827083333333</v>
      </c>
      <c r="S120" s="325">
        <f>S96+S103+S111+S118</f>
        <v>3.6237500000000002</v>
      </c>
      <c r="T120" s="325">
        <f>T96+T103+T111+T118</f>
        <v>48.409166666666664</v>
      </c>
      <c r="U120" s="325">
        <f>U96+U103+U111+U118</f>
        <v>614.12118750000002</v>
      </c>
    </row>
    <row r="121" spans="1:33" ht="16.5" x14ac:dyDescent="0.3">
      <c r="A121" s="166"/>
      <c r="B121" s="177"/>
      <c r="C121" s="177"/>
      <c r="D121" s="166"/>
      <c r="E121" s="166"/>
      <c r="F121" s="166"/>
      <c r="G121" s="166"/>
      <c r="H121" s="166"/>
      <c r="I121" s="166"/>
      <c r="J121" s="166"/>
      <c r="K121" s="166"/>
      <c r="L121" s="166"/>
      <c r="M121" s="279"/>
      <c r="N121" s="279"/>
      <c r="O121" s="166"/>
      <c r="P121" s="166"/>
      <c r="Q121" s="166"/>
      <c r="R121" s="177"/>
      <c r="S121" s="177"/>
      <c r="T121" s="177"/>
      <c r="U121" s="177"/>
      <c r="V121" s="330"/>
    </row>
    <row r="122" spans="1:33" ht="16.5" x14ac:dyDescent="0.3">
      <c r="A122" s="166"/>
      <c r="B122" s="177"/>
      <c r="C122" s="177" t="s">
        <v>46</v>
      </c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77"/>
      <c r="R122" s="166"/>
      <c r="S122" s="277"/>
      <c r="T122" s="181"/>
      <c r="U122" s="181"/>
      <c r="V122" s="175"/>
      <c r="W122" s="331"/>
      <c r="AA122" s="330"/>
      <c r="AC122" s="330"/>
      <c r="AD122" s="330"/>
      <c r="AE122" s="330"/>
      <c r="AF122" s="330"/>
      <c r="AG122" s="330"/>
    </row>
    <row r="123" spans="1:33" ht="16.5" x14ac:dyDescent="0.3">
      <c r="A123" s="166"/>
      <c r="B123" s="177"/>
      <c r="C123" s="177" t="s">
        <v>66</v>
      </c>
      <c r="D123" s="166"/>
      <c r="E123" s="166"/>
      <c r="F123" s="193">
        <v>0</v>
      </c>
      <c r="G123" s="442" t="s">
        <v>34</v>
      </c>
      <c r="H123" s="442"/>
      <c r="I123" s="166"/>
      <c r="J123" s="193">
        <v>0</v>
      </c>
      <c r="K123" s="279"/>
      <c r="L123" s="263">
        <f t="shared" ref="L123:L129" si="8">F123*J123</f>
        <v>0</v>
      </c>
      <c r="M123" s="279">
        <f>+L123/$H$83</f>
        <v>0</v>
      </c>
      <c r="N123" s="279">
        <f>+L123/$H$81</f>
        <v>0</v>
      </c>
      <c r="O123" s="216">
        <v>5</v>
      </c>
      <c r="P123" s="194">
        <v>0.1</v>
      </c>
      <c r="Q123" s="289">
        <f t="shared" ref="Q123:Q129" si="9">(M123*(1-P123)/O123)</f>
        <v>0</v>
      </c>
      <c r="R123" s="289">
        <f t="shared" ref="R123:R129" si="10">((M123+M123*P123)/2*$J$139)</f>
        <v>0</v>
      </c>
      <c r="S123" s="289">
        <f t="shared" ref="S123:S129" si="11">M123*$J$140</f>
        <v>0</v>
      </c>
      <c r="T123" s="289">
        <f t="shared" ref="T123:T129" si="12">M123*$J$141</f>
        <v>0</v>
      </c>
      <c r="U123" s="290">
        <f t="shared" ref="U123:U129" si="13">+Q123+R123+S123+T123</f>
        <v>0</v>
      </c>
    </row>
    <row r="124" spans="1:33" ht="16.5" x14ac:dyDescent="0.3">
      <c r="A124" s="166"/>
      <c r="B124" s="177"/>
      <c r="C124" s="177" t="s">
        <v>65</v>
      </c>
      <c r="D124" s="166"/>
      <c r="E124" s="166"/>
      <c r="F124" s="193">
        <v>0</v>
      </c>
      <c r="G124" s="442" t="s">
        <v>19</v>
      </c>
      <c r="H124" s="442"/>
      <c r="I124" s="166"/>
      <c r="J124" s="193">
        <v>0</v>
      </c>
      <c r="K124" s="279"/>
      <c r="L124" s="263">
        <f t="shared" si="8"/>
        <v>0</v>
      </c>
      <c r="M124" s="279">
        <f t="shared" ref="M124:M130" si="14">+L124/$H$83</f>
        <v>0</v>
      </c>
      <c r="N124" s="279">
        <f t="shared" ref="N124:N130" si="15">+L124/$H$81</f>
        <v>0</v>
      </c>
      <c r="O124" s="216">
        <v>5</v>
      </c>
      <c r="P124" s="194">
        <v>0.1</v>
      </c>
      <c r="Q124" s="289">
        <f t="shared" si="9"/>
        <v>0</v>
      </c>
      <c r="R124" s="289">
        <f t="shared" si="10"/>
        <v>0</v>
      </c>
      <c r="S124" s="289">
        <f t="shared" si="11"/>
        <v>0</v>
      </c>
      <c r="T124" s="289">
        <f t="shared" si="12"/>
        <v>0</v>
      </c>
      <c r="U124" s="290">
        <f t="shared" si="13"/>
        <v>0</v>
      </c>
    </row>
    <row r="125" spans="1:33" ht="16.5" x14ac:dyDescent="0.3">
      <c r="A125" s="166"/>
      <c r="B125" s="177"/>
      <c r="C125" s="177" t="s">
        <v>72</v>
      </c>
      <c r="D125" s="166"/>
      <c r="E125" s="166"/>
      <c r="F125" s="193">
        <v>0</v>
      </c>
      <c r="G125" s="442" t="s">
        <v>19</v>
      </c>
      <c r="H125" s="442"/>
      <c r="I125" s="166"/>
      <c r="J125" s="193">
        <v>0</v>
      </c>
      <c r="K125" s="279"/>
      <c r="L125" s="263">
        <f t="shared" si="8"/>
        <v>0</v>
      </c>
      <c r="M125" s="279">
        <f t="shared" si="14"/>
        <v>0</v>
      </c>
      <c r="N125" s="279">
        <f t="shared" si="15"/>
        <v>0</v>
      </c>
      <c r="O125" s="216">
        <v>5</v>
      </c>
      <c r="P125" s="194">
        <v>0.1</v>
      </c>
      <c r="Q125" s="289">
        <f t="shared" si="9"/>
        <v>0</v>
      </c>
      <c r="R125" s="289">
        <f t="shared" si="10"/>
        <v>0</v>
      </c>
      <c r="S125" s="289">
        <f t="shared" si="11"/>
        <v>0</v>
      </c>
      <c r="T125" s="289">
        <f t="shared" si="12"/>
        <v>0</v>
      </c>
      <c r="U125" s="290">
        <f t="shared" si="13"/>
        <v>0</v>
      </c>
    </row>
    <row r="126" spans="1:33" ht="16.5" x14ac:dyDescent="0.3">
      <c r="A126" s="166"/>
      <c r="B126" s="177"/>
      <c r="C126" s="177" t="s">
        <v>70</v>
      </c>
      <c r="D126" s="166"/>
      <c r="E126" s="166"/>
      <c r="F126" s="209">
        <f>+H81</f>
        <v>150</v>
      </c>
      <c r="G126" s="442" t="s">
        <v>73</v>
      </c>
      <c r="H126" s="442"/>
      <c r="I126" s="166"/>
      <c r="J126" s="193">
        <v>0</v>
      </c>
      <c r="K126" s="279"/>
      <c r="L126" s="263">
        <f t="shared" si="8"/>
        <v>0</v>
      </c>
      <c r="M126" s="279">
        <f t="shared" si="14"/>
        <v>0</v>
      </c>
      <c r="N126" s="279">
        <f t="shared" si="15"/>
        <v>0</v>
      </c>
      <c r="O126" s="216">
        <v>5</v>
      </c>
      <c r="P126" s="194">
        <v>0.1</v>
      </c>
      <c r="Q126" s="289">
        <f t="shared" si="9"/>
        <v>0</v>
      </c>
      <c r="R126" s="289">
        <f t="shared" si="10"/>
        <v>0</v>
      </c>
      <c r="S126" s="289">
        <f t="shared" si="11"/>
        <v>0</v>
      </c>
      <c r="T126" s="289">
        <f t="shared" si="12"/>
        <v>0</v>
      </c>
      <c r="U126" s="290">
        <f t="shared" si="13"/>
        <v>0</v>
      </c>
    </row>
    <row r="127" spans="1:33" ht="16.5" x14ac:dyDescent="0.3">
      <c r="A127" s="166"/>
      <c r="B127" s="177"/>
      <c r="C127" s="177" t="s">
        <v>69</v>
      </c>
      <c r="D127" s="166"/>
      <c r="E127" s="166"/>
      <c r="F127" s="193">
        <v>1</v>
      </c>
      <c r="G127" s="442" t="s">
        <v>19</v>
      </c>
      <c r="H127" s="442"/>
      <c r="I127" s="166"/>
      <c r="J127" s="193">
        <v>50000</v>
      </c>
      <c r="K127" s="279"/>
      <c r="L127" s="263">
        <f t="shared" si="8"/>
        <v>50000</v>
      </c>
      <c r="M127" s="279">
        <f t="shared" si="14"/>
        <v>277.77777777777777</v>
      </c>
      <c r="N127" s="279">
        <f t="shared" si="15"/>
        <v>333.33333333333331</v>
      </c>
      <c r="O127" s="216">
        <v>5</v>
      </c>
      <c r="P127" s="194">
        <v>0.1</v>
      </c>
      <c r="Q127" s="289">
        <f t="shared" si="9"/>
        <v>50</v>
      </c>
      <c r="R127" s="289">
        <f t="shared" si="10"/>
        <v>11.840277777777777</v>
      </c>
      <c r="S127" s="289">
        <f t="shared" si="11"/>
        <v>0.69444444444444442</v>
      </c>
      <c r="T127" s="289">
        <f t="shared" si="12"/>
        <v>0</v>
      </c>
      <c r="U127" s="290">
        <f t="shared" si="13"/>
        <v>62.534722222222221</v>
      </c>
    </row>
    <row r="128" spans="1:33" ht="16.5" x14ac:dyDescent="0.3">
      <c r="A128" s="166"/>
      <c r="B128" s="177"/>
      <c r="C128" s="216" t="s">
        <v>39</v>
      </c>
      <c r="D128" s="166"/>
      <c r="E128" s="166"/>
      <c r="F128" s="193">
        <v>0</v>
      </c>
      <c r="G128" s="442" t="s">
        <v>19</v>
      </c>
      <c r="H128" s="442"/>
      <c r="I128" s="166"/>
      <c r="J128" s="193">
        <v>0</v>
      </c>
      <c r="K128" s="279"/>
      <c r="L128" s="263">
        <f t="shared" si="8"/>
        <v>0</v>
      </c>
      <c r="M128" s="279">
        <f t="shared" si="14"/>
        <v>0</v>
      </c>
      <c r="N128" s="279">
        <f t="shared" si="15"/>
        <v>0</v>
      </c>
      <c r="O128" s="216">
        <v>5</v>
      </c>
      <c r="P128" s="194">
        <v>0.1</v>
      </c>
      <c r="Q128" s="289">
        <f t="shared" si="9"/>
        <v>0</v>
      </c>
      <c r="R128" s="289">
        <f t="shared" si="10"/>
        <v>0</v>
      </c>
      <c r="S128" s="289">
        <f t="shared" si="11"/>
        <v>0</v>
      </c>
      <c r="T128" s="289">
        <f t="shared" si="12"/>
        <v>0</v>
      </c>
      <c r="U128" s="290">
        <f t="shared" si="13"/>
        <v>0</v>
      </c>
    </row>
    <row r="129" spans="1:33" ht="16.5" x14ac:dyDescent="0.3">
      <c r="A129" s="166"/>
      <c r="B129" s="177"/>
      <c r="C129" s="216" t="s">
        <v>39</v>
      </c>
      <c r="D129" s="166"/>
      <c r="E129" s="166"/>
      <c r="F129" s="193">
        <v>0</v>
      </c>
      <c r="G129" s="442"/>
      <c r="H129" s="442"/>
      <c r="I129" s="166"/>
      <c r="J129" s="193">
        <v>0</v>
      </c>
      <c r="K129" s="279"/>
      <c r="L129" s="321">
        <f t="shared" si="8"/>
        <v>0</v>
      </c>
      <c r="M129" s="292">
        <f t="shared" si="14"/>
        <v>0</v>
      </c>
      <c r="N129" s="292">
        <f t="shared" si="15"/>
        <v>0</v>
      </c>
      <c r="O129" s="318">
        <v>5</v>
      </c>
      <c r="P129" s="319">
        <v>0.1</v>
      </c>
      <c r="Q129" s="293">
        <f t="shared" si="9"/>
        <v>0</v>
      </c>
      <c r="R129" s="293">
        <f t="shared" si="10"/>
        <v>0</v>
      </c>
      <c r="S129" s="293">
        <f t="shared" si="11"/>
        <v>0</v>
      </c>
      <c r="T129" s="293">
        <f t="shared" si="12"/>
        <v>0</v>
      </c>
      <c r="U129" s="294">
        <f t="shared" si="13"/>
        <v>0</v>
      </c>
    </row>
    <row r="130" spans="1:33" ht="16.5" x14ac:dyDescent="0.3">
      <c r="A130" s="166"/>
      <c r="B130" s="177"/>
      <c r="C130" s="215" t="s">
        <v>18</v>
      </c>
      <c r="D130" s="166"/>
      <c r="E130" s="166"/>
      <c r="F130" s="166"/>
      <c r="G130" s="444"/>
      <c r="H130" s="444"/>
      <c r="I130" s="166"/>
      <c r="J130" s="394"/>
      <c r="K130" s="279"/>
      <c r="L130" s="263">
        <f>SUM(L123:L129)</f>
        <v>50000</v>
      </c>
      <c r="M130" s="279">
        <f t="shared" si="14"/>
        <v>277.77777777777777</v>
      </c>
      <c r="N130" s="279">
        <f t="shared" si="15"/>
        <v>333.33333333333331</v>
      </c>
      <c r="O130" s="166"/>
      <c r="P130" s="177"/>
      <c r="Q130" s="290">
        <f>SUM(Q123:Q129)</f>
        <v>50</v>
      </c>
      <c r="R130" s="290">
        <f>SUM(R123:R129)</f>
        <v>11.840277777777777</v>
      </c>
      <c r="S130" s="290">
        <f>SUM(S123:S129)</f>
        <v>0.69444444444444442</v>
      </c>
      <c r="T130" s="290">
        <f>SUM(T123:T129)</f>
        <v>0</v>
      </c>
      <c r="U130" s="290">
        <f>SUM(U123:U129)</f>
        <v>62.534722222222221</v>
      </c>
    </row>
    <row r="131" spans="1:33" ht="16.5" x14ac:dyDescent="0.3">
      <c r="A131" s="166"/>
      <c r="B131" s="177"/>
      <c r="C131" s="177"/>
      <c r="D131" s="166"/>
      <c r="E131" s="166"/>
      <c r="F131" s="166"/>
      <c r="G131" s="442"/>
      <c r="H131" s="442"/>
      <c r="I131" s="166"/>
      <c r="J131" s="277"/>
      <c r="K131" s="166"/>
      <c r="L131" s="181"/>
      <c r="M131" s="166"/>
      <c r="N131" s="166"/>
      <c r="O131" s="166"/>
      <c r="P131" s="177"/>
      <c r="Q131" s="177"/>
      <c r="R131" s="177"/>
      <c r="S131" s="177"/>
      <c r="T131" s="177"/>
      <c r="U131" s="177"/>
    </row>
    <row r="132" spans="1:33" ht="16.5" x14ac:dyDescent="0.3">
      <c r="A132" s="166"/>
      <c r="B132" s="299" t="s">
        <v>86</v>
      </c>
      <c r="C132" s="299"/>
      <c r="D132" s="300"/>
      <c r="E132" s="300"/>
      <c r="F132" s="300"/>
      <c r="G132" s="445"/>
      <c r="H132" s="445"/>
      <c r="I132" s="300"/>
      <c r="J132" s="384"/>
      <c r="K132" s="300"/>
      <c r="L132" s="328">
        <f>+L120+L130</f>
        <v>1270910</v>
      </c>
      <c r="M132" s="329">
        <f>+L132/$H$83</f>
        <v>7060.6111111111113</v>
      </c>
      <c r="N132" s="329">
        <f>+L132/$H$81</f>
        <v>8472.7333333333336</v>
      </c>
      <c r="O132" s="385"/>
      <c r="P132" s="385"/>
      <c r="Q132" s="403"/>
      <c r="R132" s="403"/>
      <c r="S132" s="403"/>
      <c r="T132" s="403"/>
      <c r="U132" s="403"/>
    </row>
    <row r="133" spans="1:33" ht="16.5" x14ac:dyDescent="0.3">
      <c r="A133" s="166"/>
      <c r="B133" s="177" t="s">
        <v>87</v>
      </c>
      <c r="C133" s="177"/>
      <c r="D133" s="166"/>
      <c r="E133" s="166"/>
      <c r="F133" s="166"/>
      <c r="G133" s="442"/>
      <c r="H133" s="442"/>
      <c r="I133" s="166"/>
      <c r="J133" s="277"/>
      <c r="K133" s="166"/>
      <c r="L133" s="263">
        <f>+H77*H83</f>
        <v>405000</v>
      </c>
      <c r="M133" s="279">
        <f>+L133/$H$83</f>
        <v>2250</v>
      </c>
      <c r="N133" s="279">
        <f>+L133/$H$81</f>
        <v>2700</v>
      </c>
      <c r="O133" s="181"/>
      <c r="P133" s="181"/>
      <c r="Q133" s="302"/>
      <c r="R133" s="181"/>
      <c r="S133" s="181"/>
      <c r="T133" s="181"/>
      <c r="U133" s="181"/>
      <c r="V133" s="175"/>
    </row>
    <row r="134" spans="1:33" ht="16.5" x14ac:dyDescent="0.3">
      <c r="A134" s="166"/>
      <c r="B134" s="284" t="s">
        <v>68</v>
      </c>
      <c r="C134" s="284"/>
      <c r="D134" s="225"/>
      <c r="E134" s="225"/>
      <c r="F134" s="225"/>
      <c r="G134" s="446"/>
      <c r="H134" s="446"/>
      <c r="I134" s="225"/>
      <c r="J134" s="291"/>
      <c r="K134" s="225"/>
      <c r="L134" s="404">
        <f>+L132+L133</f>
        <v>1675910</v>
      </c>
      <c r="M134" s="292">
        <f>+L134/$H$83</f>
        <v>9310.6111111111113</v>
      </c>
      <c r="N134" s="292">
        <f>+L134/$H$81</f>
        <v>11172.733333333334</v>
      </c>
      <c r="O134" s="296"/>
      <c r="P134" s="296"/>
      <c r="Q134" s="383"/>
      <c r="R134" s="296"/>
      <c r="S134" s="296"/>
      <c r="T134" s="296"/>
      <c r="U134" s="296"/>
      <c r="V134" s="175"/>
    </row>
    <row r="135" spans="1:33" ht="16.5" x14ac:dyDescent="0.3">
      <c r="A135" s="166"/>
      <c r="B135" s="275"/>
      <c r="C135" s="177"/>
      <c r="D135" s="166"/>
      <c r="E135" s="166"/>
      <c r="F135" s="166"/>
      <c r="G135" s="442"/>
      <c r="H135" s="442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277"/>
      <c r="T135" s="297"/>
      <c r="U135" s="181"/>
      <c r="V135" s="175"/>
      <c r="W135" s="333"/>
      <c r="X135" s="175"/>
      <c r="Y135" s="175"/>
      <c r="Z135" s="175"/>
      <c r="AA135" s="175"/>
      <c r="AB135" s="332"/>
      <c r="AC135" s="175"/>
      <c r="AD135" s="175"/>
      <c r="AE135" s="175"/>
      <c r="AF135" s="175"/>
      <c r="AG135" s="175"/>
    </row>
    <row r="136" spans="1:33" ht="16.5" x14ac:dyDescent="0.3">
      <c r="A136" s="166"/>
      <c r="B136" s="284" t="s">
        <v>47</v>
      </c>
      <c r="C136" s="284"/>
      <c r="D136" s="225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5"/>
      <c r="P136" s="225"/>
      <c r="Q136" s="177"/>
      <c r="R136" s="166"/>
      <c r="S136" s="277"/>
      <c r="T136" s="181"/>
      <c r="U136" s="181"/>
      <c r="V136" s="175"/>
      <c r="Z136" s="330"/>
      <c r="AA136" s="330"/>
      <c r="AB136" s="330"/>
      <c r="AC136" s="330"/>
      <c r="AD136" s="330"/>
      <c r="AE136" s="330"/>
      <c r="AF136" s="330"/>
      <c r="AG136" s="330"/>
    </row>
    <row r="137" spans="1:33" ht="16.5" x14ac:dyDescent="0.3">
      <c r="A137" s="166"/>
      <c r="B137" s="177"/>
      <c r="C137" s="177"/>
      <c r="D137" s="166"/>
      <c r="E137" s="166"/>
      <c r="F137" s="443" t="s">
        <v>83</v>
      </c>
      <c r="G137" s="443"/>
      <c r="H137" s="443"/>
      <c r="I137" s="443"/>
      <c r="J137" s="443"/>
      <c r="K137" s="166"/>
      <c r="L137" s="386" t="s">
        <v>84</v>
      </c>
      <c r="M137" s="305"/>
      <c r="N137" s="386" t="s">
        <v>85</v>
      </c>
      <c r="O137" s="305"/>
      <c r="P137" s="286" t="s">
        <v>18</v>
      </c>
      <c r="Q137" s="166"/>
      <c r="R137" s="166"/>
      <c r="S137" s="166"/>
      <c r="T137" s="166"/>
      <c r="U137" s="166"/>
      <c r="Z137" s="330"/>
      <c r="AA137" s="330"/>
      <c r="AB137" s="330"/>
      <c r="AC137" s="330"/>
      <c r="AD137" s="330"/>
      <c r="AE137" s="330"/>
      <c r="AF137" s="330"/>
      <c r="AG137" s="330"/>
    </row>
    <row r="138" spans="1:33" ht="16.5" x14ac:dyDescent="0.3">
      <c r="A138" s="166"/>
      <c r="B138" s="177"/>
      <c r="C138" s="177"/>
      <c r="D138" s="166"/>
      <c r="E138" s="166"/>
      <c r="F138" s="281" t="s">
        <v>158</v>
      </c>
      <c r="G138" s="166"/>
      <c r="H138" s="281" t="s">
        <v>51</v>
      </c>
      <c r="I138" s="166"/>
      <c r="J138" s="387" t="s">
        <v>16</v>
      </c>
      <c r="K138" s="166"/>
      <c r="L138" s="281" t="s">
        <v>160</v>
      </c>
      <c r="M138" s="387" t="s">
        <v>161</v>
      </c>
      <c r="N138" s="281" t="s">
        <v>160</v>
      </c>
      <c r="O138" s="387" t="s">
        <v>161</v>
      </c>
      <c r="P138" s="186" t="s">
        <v>82</v>
      </c>
      <c r="Q138" s="166"/>
      <c r="R138" s="166"/>
      <c r="S138" s="166"/>
      <c r="T138" s="166"/>
      <c r="U138" s="166"/>
      <c r="AA138" s="330"/>
      <c r="AB138" s="330"/>
      <c r="AC138" s="330"/>
      <c r="AD138" s="330"/>
      <c r="AE138" s="330"/>
      <c r="AF138" s="330"/>
      <c r="AG138" s="330"/>
    </row>
    <row r="139" spans="1:33" ht="16.5" x14ac:dyDescent="0.3">
      <c r="A139" s="166"/>
      <c r="B139" s="166"/>
      <c r="C139" s="177"/>
      <c r="D139" s="177" t="s">
        <v>48</v>
      </c>
      <c r="E139" s="166"/>
      <c r="F139" s="182">
        <f>Inputs!C36</f>
        <v>7.7499999999999999E-2</v>
      </c>
      <c r="G139" s="182"/>
      <c r="H139" s="182">
        <f>Inputs!C36</f>
        <v>7.7499999999999999E-2</v>
      </c>
      <c r="I139" s="182"/>
      <c r="J139" s="182">
        <f>Inputs!C36</f>
        <v>7.7499999999999999E-2</v>
      </c>
      <c r="K139" s="166"/>
      <c r="L139" s="326">
        <f t="shared" ref="L139:M142" si="16">N139*$H$83</f>
        <v>85521.288749999992</v>
      </c>
      <c r="M139" s="326">
        <f t="shared" si="16"/>
        <v>2131.25</v>
      </c>
      <c r="N139" s="279">
        <f>R120</f>
        <v>475.11827083333333</v>
      </c>
      <c r="O139" s="279">
        <f>R130</f>
        <v>11.840277777777777</v>
      </c>
      <c r="P139" s="263">
        <f>N139+O139</f>
        <v>486.9585486111111</v>
      </c>
      <c r="Q139" s="166"/>
      <c r="R139" s="166"/>
      <c r="S139" s="166"/>
      <c r="T139" s="166"/>
      <c r="U139" s="166"/>
      <c r="AA139" s="330"/>
      <c r="AB139" s="330"/>
      <c r="AC139" s="330"/>
      <c r="AD139" s="330"/>
      <c r="AE139" s="330"/>
      <c r="AF139" s="330"/>
      <c r="AG139" s="330"/>
    </row>
    <row r="140" spans="1:33" ht="16.5" x14ac:dyDescent="0.3">
      <c r="A140" s="166"/>
      <c r="B140" s="166"/>
      <c r="C140" s="177"/>
      <c r="D140" s="177" t="s">
        <v>49</v>
      </c>
      <c r="E140" s="166"/>
      <c r="F140" s="217">
        <v>0</v>
      </c>
      <c r="G140" s="388"/>
      <c r="H140" s="217">
        <v>2.5000000000000001E-3</v>
      </c>
      <c r="I140" s="388"/>
      <c r="J140" s="217">
        <v>2.5000000000000001E-3</v>
      </c>
      <c r="K140" s="166"/>
      <c r="L140" s="326">
        <f t="shared" si="16"/>
        <v>652.27500000000009</v>
      </c>
      <c r="M140" s="326">
        <f t="shared" si="16"/>
        <v>125</v>
      </c>
      <c r="N140" s="279">
        <f>S120</f>
        <v>3.6237500000000002</v>
      </c>
      <c r="O140" s="279">
        <f>S130</f>
        <v>0.69444444444444442</v>
      </c>
      <c r="P140" s="263">
        <f>N140+O140</f>
        <v>4.3181944444444449</v>
      </c>
      <c r="Q140" s="166"/>
      <c r="R140" s="166"/>
      <c r="S140" s="166"/>
      <c r="T140" s="166"/>
      <c r="U140" s="166"/>
      <c r="AA140" s="330"/>
      <c r="AB140" s="330"/>
      <c r="AC140" s="330"/>
      <c r="AD140" s="330"/>
      <c r="AE140" s="330"/>
      <c r="AF140" s="330"/>
      <c r="AG140" s="330"/>
    </row>
    <row r="141" spans="1:33" ht="16.5" x14ac:dyDescent="0.3">
      <c r="A141" s="166"/>
      <c r="B141" s="166"/>
      <c r="C141" s="177"/>
      <c r="D141" s="177" t="s">
        <v>50</v>
      </c>
      <c r="E141" s="166"/>
      <c r="F141" s="217">
        <v>5.0000000000000001E-3</v>
      </c>
      <c r="G141" s="388"/>
      <c r="H141" s="217">
        <v>1.4999999999999999E-2</v>
      </c>
      <c r="I141" s="388"/>
      <c r="J141" s="217">
        <v>0</v>
      </c>
      <c r="K141" s="166"/>
      <c r="L141" s="326">
        <f t="shared" si="16"/>
        <v>8713.65</v>
      </c>
      <c r="M141" s="326">
        <f t="shared" si="16"/>
        <v>0</v>
      </c>
      <c r="N141" s="279">
        <f>T120</f>
        <v>48.409166666666664</v>
      </c>
      <c r="O141" s="279">
        <f>T130</f>
        <v>0</v>
      </c>
      <c r="P141" s="263">
        <f>N141+O141</f>
        <v>48.409166666666664</v>
      </c>
      <c r="Q141" s="166"/>
      <c r="R141" s="166"/>
      <c r="S141" s="166"/>
      <c r="T141" s="166"/>
      <c r="U141" s="166"/>
      <c r="AA141" s="330"/>
      <c r="AB141" s="330"/>
      <c r="AC141" s="330"/>
      <c r="AD141" s="330"/>
      <c r="AE141" s="330"/>
      <c r="AF141" s="330"/>
      <c r="AG141" s="330"/>
    </row>
    <row r="142" spans="1:33" ht="16.5" x14ac:dyDescent="0.3">
      <c r="A142" s="166"/>
      <c r="B142" s="166"/>
      <c r="C142" s="177"/>
      <c r="D142" s="177" t="s">
        <v>25</v>
      </c>
      <c r="E142" s="166"/>
      <c r="F142" s="309" t="s">
        <v>81</v>
      </c>
      <c r="G142" s="166"/>
      <c r="H142" s="309" t="s">
        <v>81</v>
      </c>
      <c r="I142" s="166"/>
      <c r="J142" s="309" t="s">
        <v>81</v>
      </c>
      <c r="K142" s="166"/>
      <c r="L142" s="326">
        <f t="shared" si="16"/>
        <v>15654.600000000002</v>
      </c>
      <c r="M142" s="326">
        <f t="shared" si="16"/>
        <v>9000</v>
      </c>
      <c r="N142" s="279">
        <f>Q120</f>
        <v>86.970000000000013</v>
      </c>
      <c r="O142" s="279">
        <f>Q130</f>
        <v>50</v>
      </c>
      <c r="P142" s="263">
        <f>N142+O142</f>
        <v>136.97000000000003</v>
      </c>
      <c r="Q142" s="166"/>
      <c r="R142" s="166"/>
      <c r="S142" s="166"/>
      <c r="T142" s="166"/>
      <c r="U142" s="166"/>
      <c r="AA142" s="330"/>
      <c r="AB142" s="330"/>
      <c r="AC142" s="330"/>
      <c r="AD142" s="330"/>
      <c r="AE142" s="330"/>
      <c r="AF142" s="330"/>
      <c r="AG142" s="330"/>
    </row>
    <row r="143" spans="1:33" ht="16.5" x14ac:dyDescent="0.3">
      <c r="A143" s="166"/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279"/>
      <c r="M143" s="279"/>
      <c r="N143" s="279"/>
      <c r="O143" s="279"/>
      <c r="P143" s="279"/>
      <c r="Q143" s="166"/>
      <c r="R143" s="166"/>
      <c r="S143" s="166"/>
      <c r="T143" s="166"/>
      <c r="U143" s="166"/>
    </row>
    <row r="144" spans="1:33" ht="16.5" x14ac:dyDescent="0.3">
      <c r="A144" s="166"/>
      <c r="B144" s="284" t="s">
        <v>52</v>
      </c>
      <c r="C144" s="284"/>
      <c r="D144" s="225"/>
      <c r="E144" s="225"/>
      <c r="F144" s="284"/>
      <c r="G144" s="225"/>
      <c r="H144" s="284"/>
      <c r="I144" s="225"/>
      <c r="J144" s="408"/>
      <c r="K144" s="225"/>
      <c r="L144" s="327">
        <f>N144*$H$83</f>
        <v>110541.81375</v>
      </c>
      <c r="M144" s="327">
        <f>O144*$H$83</f>
        <v>11256.25</v>
      </c>
      <c r="N144" s="292">
        <f>SUM(N139:N142)</f>
        <v>614.12118750000002</v>
      </c>
      <c r="O144" s="292">
        <f>SUM(O139:O142)</f>
        <v>62.534722222222221</v>
      </c>
      <c r="P144" s="321">
        <f>N144+O144</f>
        <v>676.65590972222219</v>
      </c>
      <c r="Q144" s="166"/>
      <c r="R144" s="166"/>
      <c r="S144" s="166"/>
      <c r="T144" s="166"/>
      <c r="U144" s="166"/>
      <c r="AA144" s="330"/>
      <c r="AB144" s="330"/>
      <c r="AC144" s="330"/>
      <c r="AD144" s="330"/>
      <c r="AE144" s="330"/>
      <c r="AF144" s="330"/>
      <c r="AG144" s="330"/>
    </row>
    <row r="145" spans="1:33" ht="16.5" x14ac:dyDescent="0.3">
      <c r="A145" s="166"/>
      <c r="B145" s="310" t="str">
        <f>"* Per cow in the herd (multiply by "&amp;FIXED(J83*100,0,TRUE)&amp;"% for lactating cow basis)"</f>
        <v>* Per cow in the herd (multiply by 120% for lactating cow basis)</v>
      </c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AA145" s="330"/>
      <c r="AB145" s="330"/>
      <c r="AC145" s="330"/>
      <c r="AD145" s="330"/>
      <c r="AE145" s="330"/>
      <c r="AF145" s="330"/>
      <c r="AG145" s="330"/>
    </row>
    <row r="146" spans="1:33" hidden="1" x14ac:dyDescent="0.25">
      <c r="B146" s="330"/>
      <c r="C146" s="330"/>
      <c r="Q146" s="330"/>
      <c r="R146" s="330"/>
      <c r="S146" s="330"/>
      <c r="T146" s="330"/>
      <c r="U146" s="330"/>
      <c r="V146" s="330"/>
      <c r="W146" s="330"/>
      <c r="X146" s="330"/>
      <c r="Y146" s="330"/>
      <c r="Z146" s="330"/>
      <c r="AA146" s="330"/>
      <c r="AB146" s="330"/>
      <c r="AC146" s="330"/>
      <c r="AD146" s="330"/>
      <c r="AE146" s="330"/>
      <c r="AF146" s="330"/>
      <c r="AG146" s="330"/>
    </row>
    <row r="147" spans="1:33" ht="17.25" hidden="1" x14ac:dyDescent="0.3">
      <c r="B147" s="330"/>
      <c r="D147" s="330"/>
      <c r="E147" s="330"/>
      <c r="F147" s="330"/>
      <c r="G147" s="330"/>
      <c r="H147" s="330"/>
      <c r="I147" s="330"/>
      <c r="J147" s="330"/>
      <c r="K147" s="330"/>
      <c r="L147" s="330"/>
      <c r="M147" s="330"/>
      <c r="N147" s="330"/>
      <c r="O147" s="330"/>
      <c r="P147" s="330"/>
      <c r="Q147" s="330"/>
      <c r="R147" s="330"/>
      <c r="S147" s="330"/>
      <c r="T147" s="330"/>
      <c r="U147" s="330"/>
      <c r="V147" s="330"/>
      <c r="W147" s="96"/>
      <c r="X147" s="96"/>
    </row>
    <row r="148" spans="1:33" ht="17.25" hidden="1" x14ac:dyDescent="0.3">
      <c r="B148" s="330"/>
      <c r="C148" s="330"/>
      <c r="D148" s="330"/>
      <c r="E148" s="330"/>
      <c r="F148" s="330"/>
      <c r="G148" s="330"/>
      <c r="H148" s="330"/>
      <c r="I148" s="330"/>
      <c r="J148" s="330"/>
      <c r="K148" s="330"/>
      <c r="L148" s="330"/>
      <c r="M148" s="330"/>
      <c r="N148" s="330"/>
      <c r="O148" s="330"/>
      <c r="P148" s="330"/>
      <c r="Q148" s="330"/>
      <c r="R148" s="330"/>
      <c r="S148" s="330"/>
      <c r="T148" s="330"/>
      <c r="U148" s="330"/>
      <c r="V148" s="330"/>
      <c r="W148" s="96"/>
      <c r="X148" s="96"/>
    </row>
    <row r="149" spans="1:33" ht="17.25" hidden="1" x14ac:dyDescent="0.3">
      <c r="B149" s="330"/>
      <c r="C149" s="330"/>
      <c r="D149" s="330"/>
      <c r="E149" s="330"/>
      <c r="F149" s="330"/>
      <c r="G149" s="330"/>
      <c r="H149" s="330"/>
      <c r="I149" s="330"/>
      <c r="J149" s="330"/>
      <c r="K149" s="330"/>
      <c r="L149" s="330"/>
      <c r="M149" s="330"/>
      <c r="N149" s="330"/>
      <c r="O149" s="330"/>
      <c r="P149" s="330"/>
      <c r="Q149" s="330"/>
      <c r="R149" s="330"/>
      <c r="S149" s="330"/>
      <c r="T149" s="330"/>
      <c r="U149" s="330"/>
      <c r="V149" s="330"/>
      <c r="W149" s="96"/>
      <c r="X149" s="96"/>
    </row>
    <row r="150" spans="1:33" ht="17.25" hidden="1" x14ac:dyDescent="0.3">
      <c r="B150" s="330"/>
      <c r="C150" s="330"/>
      <c r="D150" s="330"/>
      <c r="E150" s="330"/>
      <c r="F150" s="330"/>
      <c r="G150" s="330"/>
      <c r="H150" s="330"/>
      <c r="I150" s="330"/>
      <c r="J150" s="330"/>
      <c r="K150" s="330"/>
      <c r="L150" s="330"/>
      <c r="M150" s="330"/>
      <c r="N150" s="330"/>
      <c r="O150" s="330"/>
      <c r="P150" s="330"/>
      <c r="Q150" s="330"/>
      <c r="R150" s="330"/>
      <c r="S150" s="330"/>
      <c r="T150" s="330"/>
      <c r="U150" s="330"/>
      <c r="V150" s="330"/>
      <c r="W150" s="96"/>
      <c r="X150" s="96"/>
    </row>
    <row r="152" spans="1:33" hidden="1" x14ac:dyDescent="0.25">
      <c r="C152" s="164"/>
    </row>
    <row r="154" spans="1:33" hidden="1" x14ac:dyDescent="0.25">
      <c r="B154" s="164"/>
    </row>
    <row r="156" spans="1:33" hidden="1" x14ac:dyDescent="0.25">
      <c r="B156" s="164"/>
    </row>
    <row r="157" spans="1:33" hidden="1" x14ac:dyDescent="0.25">
      <c r="B157" s="164"/>
    </row>
    <row r="160" spans="1:33" hidden="1" x14ac:dyDescent="0.25">
      <c r="F160" s="224"/>
    </row>
    <row r="170" spans="2:2" hidden="1" x14ac:dyDescent="0.25">
      <c r="B170" s="164"/>
    </row>
    <row r="174" spans="2:2" hidden="1" x14ac:dyDescent="0.25">
      <c r="B174" s="164"/>
    </row>
    <row r="178" spans="2:3" hidden="1" x14ac:dyDescent="0.25">
      <c r="C178" s="164"/>
    </row>
    <row r="189" spans="2:3" hidden="1" x14ac:dyDescent="0.25">
      <c r="C189" s="164"/>
    </row>
    <row r="191" spans="2:3" hidden="1" x14ac:dyDescent="0.25">
      <c r="B191" s="164"/>
    </row>
    <row r="194" spans="2:6" hidden="1" x14ac:dyDescent="0.25">
      <c r="C194" s="164"/>
    </row>
    <row r="196" spans="2:6" hidden="1" x14ac:dyDescent="0.25">
      <c r="B196" s="164"/>
    </row>
    <row r="198" spans="2:6" hidden="1" x14ac:dyDescent="0.25">
      <c r="B198" s="164"/>
    </row>
    <row r="199" spans="2:6" hidden="1" x14ac:dyDescent="0.25">
      <c r="B199" s="164"/>
    </row>
    <row r="202" spans="2:6" hidden="1" x14ac:dyDescent="0.25">
      <c r="F202" s="224"/>
    </row>
    <row r="212" spans="2:3" hidden="1" x14ac:dyDescent="0.25">
      <c r="B212" s="164"/>
    </row>
    <row r="216" spans="2:3" hidden="1" x14ac:dyDescent="0.25">
      <c r="B216" s="164"/>
    </row>
    <row r="220" spans="2:3" hidden="1" x14ac:dyDescent="0.25">
      <c r="C220" s="164"/>
    </row>
    <row r="231" spans="2:3" hidden="1" x14ac:dyDescent="0.25">
      <c r="C231" s="164"/>
    </row>
    <row r="233" spans="2:3" hidden="1" x14ac:dyDescent="0.25">
      <c r="B233" s="164"/>
    </row>
    <row r="236" spans="2:3" hidden="1" x14ac:dyDescent="0.25">
      <c r="C236" s="164"/>
    </row>
    <row r="238" spans="2:3" hidden="1" x14ac:dyDescent="0.25">
      <c r="B238" s="164"/>
    </row>
    <row r="240" spans="2:3" hidden="1" x14ac:dyDescent="0.25">
      <c r="B240" s="164"/>
    </row>
    <row r="241" spans="2:6" hidden="1" x14ac:dyDescent="0.25">
      <c r="B241" s="164"/>
    </row>
    <row r="244" spans="2:6" hidden="1" x14ac:dyDescent="0.25">
      <c r="F244" s="224"/>
    </row>
    <row r="259" spans="2:3" hidden="1" x14ac:dyDescent="0.25">
      <c r="B259" s="164"/>
    </row>
    <row r="263" spans="2:3" hidden="1" x14ac:dyDescent="0.25">
      <c r="B263" s="164"/>
    </row>
    <row r="267" spans="2:3" hidden="1" x14ac:dyDescent="0.25">
      <c r="C267" s="164"/>
    </row>
    <row r="278" spans="2:3" hidden="1" x14ac:dyDescent="0.25">
      <c r="C278" s="164"/>
    </row>
    <row r="280" spans="2:3" hidden="1" x14ac:dyDescent="0.25">
      <c r="B280" s="164"/>
    </row>
    <row r="283" spans="2:3" hidden="1" x14ac:dyDescent="0.25">
      <c r="C283" s="164"/>
    </row>
    <row r="285" spans="2:3" hidden="1" x14ac:dyDescent="0.25">
      <c r="B285" s="164"/>
    </row>
    <row r="287" spans="2:3" hidden="1" x14ac:dyDescent="0.25">
      <c r="B287" s="164"/>
    </row>
    <row r="288" spans="2:3" hidden="1" x14ac:dyDescent="0.25">
      <c r="B288" s="164"/>
    </row>
    <row r="291" spans="6:6" hidden="1" x14ac:dyDescent="0.25">
      <c r="F291" s="224"/>
    </row>
  </sheetData>
  <sheetProtection sheet="1" objects="1" scenarios="1"/>
  <mergeCells count="42">
    <mergeCell ref="C23:D23"/>
    <mergeCell ref="G101:H101"/>
    <mergeCell ref="G102:H102"/>
    <mergeCell ref="F3:H3"/>
    <mergeCell ref="J3:L3"/>
    <mergeCell ref="H45:J45"/>
    <mergeCell ref="H58:J58"/>
    <mergeCell ref="B1:L1"/>
    <mergeCell ref="G113:H113"/>
    <mergeCell ref="G96:H96"/>
    <mergeCell ref="G97:H97"/>
    <mergeCell ref="G98:H98"/>
    <mergeCell ref="G99:H99"/>
    <mergeCell ref="G103:H103"/>
    <mergeCell ref="G104:H104"/>
    <mergeCell ref="G105:H105"/>
    <mergeCell ref="G100:H100"/>
    <mergeCell ref="G106:H106"/>
    <mergeCell ref="G108:H108"/>
    <mergeCell ref="G109:H109"/>
    <mergeCell ref="G110:H110"/>
    <mergeCell ref="G111:H111"/>
    <mergeCell ref="G112:H112"/>
    <mergeCell ref="G107:H107"/>
    <mergeCell ref="G114:H114"/>
    <mergeCell ref="G115:H115"/>
    <mergeCell ref="G116:H116"/>
    <mergeCell ref="G117:H117"/>
    <mergeCell ref="G123:H123"/>
    <mergeCell ref="G124:H124"/>
    <mergeCell ref="G125:H125"/>
    <mergeCell ref="G126:H126"/>
    <mergeCell ref="G127:H127"/>
    <mergeCell ref="G128:H128"/>
    <mergeCell ref="G129:H129"/>
    <mergeCell ref="F137:J137"/>
    <mergeCell ref="G130:H130"/>
    <mergeCell ref="G131:H131"/>
    <mergeCell ref="G132:H132"/>
    <mergeCell ref="G133:H133"/>
    <mergeCell ref="G134:H134"/>
    <mergeCell ref="G135:H135"/>
  </mergeCells>
  <pageMargins left="0.7" right="0.7" top="0.75" bottom="0.75" header="0.3" footer="0.3"/>
  <pageSetup scale="95" orientation="portrait" r:id="rId1"/>
  <rowBreaks count="2" manualBreakCount="2">
    <brk id="43" max="16383" man="1"/>
    <brk id="74" max="16383" man="1"/>
  </rowBreaks>
  <ignoredErrors>
    <ignoredError sqref="J66 H77 L84 H9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Introduction</vt:lpstr>
      <vt:lpstr>Inputs</vt:lpstr>
      <vt:lpstr>Cow Feed</vt:lpstr>
      <vt:lpstr>Heifer Feed</vt:lpstr>
      <vt:lpstr>DairyHeifer</vt:lpstr>
      <vt:lpstr>ConvDairy</vt:lpstr>
      <vt:lpstr>RotDairy</vt:lpstr>
      <vt:lpstr>\C</vt:lpstr>
      <vt:lpstr>Inputs!Print_Area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Joe L.</dc:creator>
  <dc:description/>
  <cp:lastModifiedBy>Milhollin, Ryan</cp:lastModifiedBy>
  <cp:lastPrinted>2019-05-24T17:56:21Z</cp:lastPrinted>
  <dcterms:created xsi:type="dcterms:W3CDTF">1999-09-20T23:17:58Z</dcterms:created>
  <dcterms:modified xsi:type="dcterms:W3CDTF">2024-10-16T19:01:23Z</dcterms:modified>
</cp:coreProperties>
</file>