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.sharepoint.com/sites/MUEXTPlantSciences-Ogrp-ABPInternalMaterials/Shared Documents/ABP Internal Materials/Clare Staley 2025/Vegetable Budgets - In Draft/"/>
    </mc:Choice>
  </mc:AlternateContent>
  <xr:revisionPtr revIDLastSave="65" documentId="8_{0953C2A9-30BD-49E6-A6F5-C5BE2138B5F4}" xr6:coauthVersionLast="47" xr6:coauthVersionMax="47" xr10:uidLastSave="{326DF150-FCAC-4220-8FD9-7D0B0535ECF9}"/>
  <workbookProtection lockStructure="1"/>
  <bookViews>
    <workbookView xWindow="67080" yWindow="-120" windowWidth="29040" windowHeight="16440" activeTab="1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Budget!$B$1:$G$52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67" i="1"/>
  <c r="H5" i="4"/>
  <c r="H77" i="1" l="1"/>
  <c r="G39" i="1" s="1"/>
  <c r="E77" i="1"/>
  <c r="G46" i="1" s="1"/>
  <c r="G37" i="1" l="1"/>
  <c r="G34" i="1"/>
  <c r="G26" i="1"/>
  <c r="G25" i="1"/>
  <c r="D9" i="4" l="1"/>
  <c r="H67" i="1"/>
  <c r="G36" i="1"/>
  <c r="F67" i="1"/>
  <c r="G28" i="1" l="1"/>
  <c r="G13" i="1"/>
  <c r="G33" i="1" l="1"/>
  <c r="G45" i="1"/>
  <c r="G21" i="1"/>
  <c r="G20" i="1"/>
  <c r="G47" i="1" l="1"/>
  <c r="E30" i="1" l="1"/>
  <c r="G38" i="1" l="1"/>
  <c r="G35" i="1"/>
  <c r="G23" i="1"/>
  <c r="G24" i="1"/>
  <c r="G18" i="1"/>
  <c r="G19" i="1"/>
  <c r="G16" i="1"/>
  <c r="G15" i="1"/>
  <c r="G9" i="1" l="1"/>
  <c r="I5" i="4" l="1"/>
  <c r="J5" i="4" l="1"/>
  <c r="K5" i="4"/>
  <c r="G5" i="4"/>
  <c r="F5" i="4"/>
  <c r="E5" i="4"/>
  <c r="D8" i="4"/>
  <c r="D10" i="4"/>
  <c r="D11" i="4"/>
  <c r="D7" i="4"/>
  <c r="D12" i="4"/>
  <c r="D6" i="4"/>
  <c r="G31" i="1" l="1"/>
  <c r="G32" i="1"/>
  <c r="G30" i="1"/>
  <c r="G8" i="1"/>
  <c r="G10" i="1"/>
  <c r="G11" i="1"/>
  <c r="G12" i="1"/>
  <c r="G6" i="1"/>
  <c r="G3" i="1"/>
  <c r="G27" i="1" l="1"/>
  <c r="G4" i="1"/>
  <c r="E40" i="1" l="1"/>
  <c r="G40" i="1" s="1"/>
  <c r="G42" i="1" l="1"/>
  <c r="G48" i="1" l="1"/>
  <c r="H10" i="4" s="1"/>
  <c r="G50" i="1"/>
  <c r="K20" i="4"/>
  <c r="F19" i="4"/>
  <c r="G19" i="4"/>
  <c r="K24" i="4"/>
  <c r="F24" i="4"/>
  <c r="H23" i="4"/>
  <c r="E23" i="4"/>
  <c r="F20" i="4"/>
  <c r="K22" i="4"/>
  <c r="H21" i="4"/>
  <c r="F21" i="4"/>
  <c r="K21" i="4"/>
  <c r="E18" i="4"/>
  <c r="K19" i="4"/>
  <c r="I24" i="4"/>
  <c r="H24" i="4"/>
  <c r="G21" i="4"/>
  <c r="E21" i="4"/>
  <c r="F23" i="4"/>
  <c r="F18" i="4"/>
  <c r="I23" i="4"/>
  <c r="G49" i="1"/>
  <c r="J7" i="4"/>
  <c r="I21" i="4"/>
  <c r="I22" i="4"/>
  <c r="G22" i="4"/>
  <c r="F22" i="4"/>
  <c r="J18" i="4"/>
  <c r="I18" i="4"/>
  <c r="H18" i="4"/>
  <c r="J23" i="4"/>
  <c r="H20" i="4"/>
  <c r="J21" i="4"/>
  <c r="H19" i="4"/>
  <c r="K23" i="4"/>
  <c r="E19" i="4"/>
  <c r="I20" i="4"/>
  <c r="J19" i="4"/>
  <c r="G20" i="4"/>
  <c r="G23" i="4"/>
  <c r="I19" i="4"/>
  <c r="G24" i="4"/>
  <c r="E22" i="4"/>
  <c r="E20" i="4"/>
  <c r="E24" i="4"/>
  <c r="J22" i="4"/>
  <c r="K18" i="4"/>
  <c r="G18" i="4"/>
  <c r="J24" i="4"/>
  <c r="H22" i="4"/>
  <c r="J20" i="4"/>
  <c r="K12" i="4" l="1"/>
  <c r="F6" i="4"/>
  <c r="K10" i="4"/>
  <c r="G8" i="4"/>
  <c r="H6" i="4"/>
  <c r="E6" i="4"/>
  <c r="H8" i="4"/>
  <c r="E11" i="4"/>
  <c r="F10" i="4"/>
  <c r="K11" i="4"/>
  <c r="K9" i="4"/>
  <c r="H7" i="4"/>
  <c r="H12" i="4"/>
  <c r="G9" i="4"/>
  <c r="J11" i="4"/>
  <c r="K7" i="4"/>
  <c r="K6" i="4"/>
  <c r="J6" i="4"/>
  <c r="G12" i="4"/>
  <c r="G51" i="1"/>
  <c r="H9" i="4"/>
  <c r="J9" i="4"/>
  <c r="I8" i="4"/>
  <c r="I9" i="4"/>
  <c r="F7" i="4"/>
  <c r="I10" i="4"/>
  <c r="E10" i="4"/>
  <c r="E9" i="4"/>
  <c r="J8" i="4"/>
  <c r="K8" i="4"/>
  <c r="I6" i="4"/>
  <c r="G11" i="4"/>
  <c r="I12" i="4"/>
  <c r="F8" i="4"/>
  <c r="I7" i="4"/>
  <c r="H11" i="4"/>
  <c r="G7" i="4"/>
  <c r="F9" i="4"/>
  <c r="J10" i="4"/>
  <c r="E12" i="4"/>
  <c r="G10" i="4"/>
  <c r="E7" i="4"/>
  <c r="F12" i="4"/>
  <c r="E8" i="4"/>
  <c r="I11" i="4"/>
  <c r="G6" i="4"/>
  <c r="F11" i="4"/>
  <c r="J12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<sst xmlns="http://schemas.openxmlformats.org/spreadsheetml/2006/main" count="193" uniqueCount="134">
  <si>
    <t>Updated: 1/2025</t>
  </si>
  <si>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</si>
  <si>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</si>
  <si>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</si>
  <si>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</si>
  <si>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</si>
  <si>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acre</t>
  </si>
  <si>
    <t>ton</t>
  </si>
  <si>
    <t>pound</t>
  </si>
  <si>
    <t>percent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</si>
  <si>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</si>
  <si>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</si>
  <si>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</si>
  <si>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</si>
  <si>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</si>
  <si>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</si>
  <si>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</si>
  <si>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</si>
  <si>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</si>
  <si>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</si>
  <si>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</si>
  <si>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</si>
  <si>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</si>
  <si>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</si>
  <si>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</si>
  <si>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</si>
  <si>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</si>
  <si>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</si>
  <si>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</si>
  <si>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</si>
  <si>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% of sales</t>
  </si>
  <si>
    <t>Interest on operating capital</t>
  </si>
  <si>
    <t xml:space="preserve">For budget questions, contact: </t>
  </si>
  <si>
    <t xml:space="preserve">For horticulture expertise, contact: </t>
  </si>
  <si>
    <t>MU Commercial Horticulture Team</t>
  </si>
  <si>
    <t>Price per unit</t>
  </si>
  <si>
    <t>Dollars per acre</t>
  </si>
  <si>
    <t>Fertilizer and lime</t>
  </si>
  <si>
    <t>Nitrogen (preplant/starter)</t>
  </si>
  <si>
    <t>Nitrogen (sidedress/irrigate)</t>
  </si>
  <si>
    <t>Labor</t>
  </si>
  <si>
    <t>Phosphate</t>
  </si>
  <si>
    <t>Potash</t>
  </si>
  <si>
    <t>Lime (spread)</t>
  </si>
  <si>
    <t>pint</t>
  </si>
  <si>
    <t>Other</t>
  </si>
  <si>
    <t>ounce</t>
  </si>
  <si>
    <t>enter</t>
  </si>
  <si>
    <t>Bravo Weather Stick</t>
  </si>
  <si>
    <t>Herbicide</t>
  </si>
  <si>
    <t>Insecticide</t>
  </si>
  <si>
    <t>Fungicide</t>
  </si>
  <si>
    <t>Irrigation</t>
  </si>
  <si>
    <t>hour</t>
  </si>
  <si>
    <t>Machinery fuel/repair/maintenance</t>
  </si>
  <si>
    <t>Irrigation fuel and oil</t>
  </si>
  <si>
    <t>Irrigation repair/maintenance</t>
  </si>
  <si>
    <t xml:space="preserve">Marketing </t>
  </si>
  <si>
    <t>Land</t>
  </si>
  <si>
    <t>Item</t>
  </si>
  <si>
    <t>Passes</t>
  </si>
  <si>
    <t>$ per pass</t>
  </si>
  <si>
    <t>2WD 75 hp</t>
  </si>
  <si>
    <t>Disk harrow (10')</t>
  </si>
  <si>
    <t>Interest</t>
  </si>
  <si>
    <t>$ per acre</t>
  </si>
  <si>
    <t>years</t>
  </si>
  <si>
    <t>% of investment</t>
  </si>
  <si>
    <t>Power unit</t>
  </si>
  <si>
    <t>Purchase price</t>
  </si>
  <si>
    <t>Salvage value</t>
  </si>
  <si>
    <t>Useful life</t>
  </si>
  <si>
    <t>Total</t>
  </si>
  <si>
    <t>Repairs/maint.</t>
  </si>
  <si>
    <t>hours/pass</t>
  </si>
  <si>
    <t>Developed by: Peter Zimmel, FAPRI</t>
  </si>
  <si>
    <t>thousands</t>
  </si>
  <si>
    <t>Dollars per acre
per acre</t>
  </si>
  <si>
    <t xml:space="preserve">Table 2: Irrigation system cost information </t>
  </si>
  <si>
    <t>Radiant 1SC</t>
  </si>
  <si>
    <t>Packaging boxes</t>
  </si>
  <si>
    <t>Fert-cyclone spin (750 lb.)</t>
  </si>
  <si>
    <t>Harvest</t>
  </si>
  <si>
    <t xml:space="preserve">Explore estimated annual per acre returns over total costs under varying revenue and operating cost scenarios. </t>
  </si>
  <si>
    <t xml:space="preserve">Broccoli Enterprise Budget for Missouri </t>
  </si>
  <si>
    <t>Broccoli Enterprise Budget</t>
  </si>
  <si>
    <t xml:space="preserve">Broccoli  </t>
  </si>
  <si>
    <t>0.5 bushel boxes</t>
  </si>
  <si>
    <t>Plants (container)</t>
  </si>
  <si>
    <t>Starter solution</t>
  </si>
  <si>
    <t>cwt.</t>
  </si>
  <si>
    <t>Treflan 4D</t>
  </si>
  <si>
    <t>Admire Pro</t>
  </si>
  <si>
    <t>Avaunt 30 WDG</t>
  </si>
  <si>
    <t>Ice and cooling</t>
  </si>
  <si>
    <t>Packing</t>
  </si>
  <si>
    <t>Chisel plow (9')</t>
  </si>
  <si>
    <t>Disk + incorporate (10')</t>
  </si>
  <si>
    <t>Plntr/H20 Wheel (2-row)</t>
  </si>
  <si>
    <t>Cultivate + app ins (4-row)</t>
  </si>
  <si>
    <t>Sprayer Air Blast (16', 100 ga)</t>
  </si>
  <si>
    <t>Cultivate + sidedress (4-row)</t>
  </si>
  <si>
    <t>Trailer - vegetables (16')</t>
  </si>
  <si>
    <t>Mallory Rahe, MU Extension</t>
  </si>
  <si>
    <t>This budget models one acre of open field broccoli production, started from container plants grown with overhead irrigation. All broccoli are modeled to be sold through fresh markets in half-bushel boxes. Develop a customized budget by adjusting the assumptions in gray cells to match the management practices and expected yields and prices for your farm.</t>
  </si>
  <si>
    <t>Machinery operator</t>
  </si>
  <si>
    <t>Machinery</t>
  </si>
  <si>
    <t>Irrigation system</t>
  </si>
  <si>
    <t xml:space="preserve">Budget created by Peter Zimmel, Food and Agricultural Policy Institute (FAPRI). Prices were updated January 2025. </t>
  </si>
  <si>
    <t xml:space="preserve">Access online at muext.us/MissouriAgBudgets. </t>
  </si>
  <si>
    <r>
      <t>Operating costs</t>
    </r>
    <r>
      <rPr>
        <vertAlign val="superscript"/>
        <sz val="11"/>
        <color theme="1"/>
        <rFont val="Aptos  "/>
      </rPr>
      <t>1</t>
    </r>
  </si>
  <si>
    <r>
      <t>Ownership costs</t>
    </r>
    <r>
      <rPr>
        <vertAlign val="superscript"/>
        <sz val="11"/>
        <color theme="1"/>
        <rFont val="Aptos  "/>
      </rPr>
      <t>2</t>
    </r>
  </si>
  <si>
    <r>
      <rPr>
        <vertAlign val="superscript"/>
        <sz val="10"/>
        <rFont val="Aptos  "/>
      </rPr>
      <t>1</t>
    </r>
    <r>
      <rPr>
        <sz val="10"/>
        <rFont val="Aptos  "/>
      </rPr>
      <t>Machinery operating cost is the sum of fuel, repairs and maintenance.</t>
    </r>
  </si>
  <si>
    <r>
      <rPr>
        <vertAlign val="superscript"/>
        <sz val="10"/>
        <rFont val="Aptos  "/>
      </rPr>
      <t>2</t>
    </r>
    <r>
      <rPr>
        <sz val="10"/>
        <rFont val="Aptos  "/>
      </rPr>
      <t>Machinery ownership cost is the sum of machinery overhead and depreciation.</t>
    </r>
  </si>
  <si>
    <t>Drip tape</t>
  </si>
  <si>
    <t>roll</t>
  </si>
  <si>
    <t>Black plastic</t>
  </si>
  <si>
    <t>Plastic disposal</t>
  </si>
  <si>
    <t>Irrigation water</t>
  </si>
  <si>
    <t>acre inch</t>
  </si>
  <si>
    <t>Return to land and labor</t>
  </si>
  <si>
    <t>Irrigation installation</t>
  </si>
  <si>
    <t>Water source</t>
  </si>
  <si>
    <t>Total annual costs</t>
  </si>
  <si>
    <t>Allocation to broccoli</t>
  </si>
  <si>
    <t>percentage</t>
  </si>
  <si>
    <r>
      <rPr>
        <vertAlign val="superscript"/>
        <sz val="10"/>
        <color theme="1"/>
        <rFont val="Aptos  "/>
      </rPr>
      <t xml:space="preserve">1 </t>
    </r>
    <r>
      <rPr>
        <sz val="10"/>
        <color theme="1"/>
        <rFont val="Aptos  "/>
      </rPr>
      <t>System modeled for a 3-acre vegetable farm with a total cost of $3,000 for system, 20% of all ownership costs are attributed to this enterprise. Adjust the size of the system by changing the allocation column and prices.</t>
    </r>
  </si>
  <si>
    <r>
      <t>Drip irrigation system</t>
    </r>
    <r>
      <rPr>
        <vertAlign val="superscript"/>
        <sz val="11"/>
        <color theme="1"/>
        <rFont val="Aptos  "/>
      </rPr>
      <t>1</t>
    </r>
  </si>
  <si>
    <t>Table 1: Capital investments used in Missouri broccoli budget</t>
  </si>
  <si>
    <t>Yield half-bushel boxes per acre</t>
  </si>
  <si>
    <t>Price per half-bushel</t>
  </si>
  <si>
    <t xml:space="preserve">Explore annual profitability expectations (per acre returns over total costs) under varying yield and price scenarios in full production and holding costs constant. </t>
  </si>
  <si>
    <t>Sensivity analysis for Missouri broccoli budget, income over total costs</t>
  </si>
  <si>
    <t>Sensitivity analysis for Missouri broccoli budget, operating costs and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</si>
</sst>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  <numFmt numFmtId="167" formatCode="&quot;$&quot;#,##0"/>
  </numFmts>
  <fonts count="39"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b/>
      <u/>
      <sz val="12"/>
      <color theme="4"/>
      <name val="Aptos"/>
      <family val="2"/>
      <scheme val="minor"/>
    </font>
    <font>
      <sz val="11"/>
      <color theme="1"/>
      <name val="Aptos  "/>
    </font>
    <font>
      <sz val="10"/>
      <color theme="1"/>
      <name val="Aptos  "/>
    </font>
    <font>
      <u/>
      <sz val="11"/>
      <color theme="1"/>
      <name val="Aptos  "/>
    </font>
    <font>
      <vertAlign val="superscript"/>
      <sz val="11"/>
      <color theme="1"/>
      <name val="Aptos  "/>
    </font>
    <font>
      <i/>
      <sz val="10"/>
      <color theme="1"/>
      <name val="Aptos  "/>
    </font>
    <font>
      <sz val="10"/>
      <name val="Aptos  "/>
    </font>
    <font>
      <vertAlign val="superscript"/>
      <sz val="10"/>
      <name val="Aptos  "/>
    </font>
    <font>
      <u/>
      <sz val="10"/>
      <color theme="10"/>
      <name val="Aptos  "/>
    </font>
    <font>
      <sz val="16"/>
      <color rgb="FFFDB719"/>
      <name val="Aptos  "/>
    </font>
    <font>
      <sz val="12"/>
      <color theme="1"/>
      <name val="Aptos  "/>
    </font>
    <font>
      <b/>
      <sz val="12"/>
      <name val="Aptos  "/>
    </font>
    <font>
      <b/>
      <sz val="12"/>
      <color theme="1"/>
      <name val="Aptos  "/>
    </font>
    <font>
      <sz val="12"/>
      <name val="Aptos  "/>
    </font>
    <font>
      <b/>
      <sz val="11"/>
      <name val="Aptos  "/>
    </font>
    <font>
      <b/>
      <sz val="16"/>
      <color rgb="FFFDB719"/>
      <name val="Aptos Black"/>
      <family val="2"/>
      <scheme val="major"/>
    </font>
    <font>
      <sz val="12"/>
      <color theme="1"/>
      <name val="Palatino Linotype"/>
      <family val="1"/>
    </font>
    <font>
      <sz val="10"/>
      <color theme="1"/>
      <name val="Aptos"/>
      <family val="2"/>
      <scheme val="minor"/>
    </font>
    <font>
      <vertAlign val="superscript"/>
      <sz val="10"/>
      <color theme="1"/>
      <name val="Aptos  "/>
    </font>
    <font>
      <sz val="11"/>
      <color rgb="FF00000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6" fillId="4" borderId="4" applyNumberFormat="0" applyAlignment="0" applyProtection="0"/>
    <xf numFmtId="0" fontId="2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74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7" fillId="5" borderId="0" xfId="0" applyFont="1" applyFill="1"/>
    <xf numFmtId="0" fontId="7" fillId="0" borderId="0" xfId="0" applyFont="1"/>
    <xf numFmtId="0" fontId="0" fillId="5" borderId="0" xfId="0" applyFill="1"/>
    <xf numFmtId="0" fontId="4" fillId="5" borderId="0" xfId="0" applyFont="1" applyFill="1" applyAlignment="1">
      <alignment horizontal="left" indent="4"/>
    </xf>
    <xf numFmtId="0" fontId="9" fillId="5" borderId="0" xfId="0" applyFont="1" applyFill="1"/>
    <xf numFmtId="0" fontId="9" fillId="0" borderId="0" xfId="0" applyFont="1"/>
    <xf numFmtId="0" fontId="9" fillId="0" borderId="0" xfId="0" applyFont="1" applyAlignment="1">
      <alignment wrapText="1"/>
    </xf>
    <xf numFmtId="0" fontId="5" fillId="5" borderId="0" xfId="0" applyFont="1" applyFill="1"/>
    <xf numFmtId="0" fontId="13" fillId="3" borderId="17" xfId="0" applyFont="1" applyFill="1" applyBorder="1" applyAlignment="1">
      <alignment horizontal="center" textRotation="90"/>
    </xf>
    <xf numFmtId="0" fontId="11" fillId="3" borderId="19" xfId="0" applyFont="1" applyFill="1" applyBorder="1"/>
    <xf numFmtId="3" fontId="9" fillId="0" borderId="11" xfId="0" applyNumberFormat="1" applyFont="1" applyBorder="1"/>
    <xf numFmtId="0" fontId="11" fillId="3" borderId="20" xfId="0" applyFont="1" applyFill="1" applyBorder="1"/>
    <xf numFmtId="3" fontId="9" fillId="0" borderId="1" xfId="0" applyNumberFormat="1" applyFont="1" applyBorder="1" applyAlignment="1">
      <alignment horizontal="right"/>
    </xf>
    <xf numFmtId="0" fontId="13" fillId="3" borderId="17" xfId="0" applyFont="1" applyFill="1" applyBorder="1" applyAlignment="1">
      <alignment horizontal="center" vertical="center" textRotation="90"/>
    </xf>
    <xf numFmtId="2" fontId="9" fillId="0" borderId="17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left" vertical="top" wrapText="1"/>
    </xf>
    <xf numFmtId="7" fontId="9" fillId="0" borderId="12" xfId="4" applyNumberFormat="1" applyFont="1" applyBorder="1" applyAlignment="1">
      <alignment horizontal="center"/>
    </xf>
    <xf numFmtId="0" fontId="5" fillId="5" borderId="0" xfId="0" applyFont="1" applyFill="1" applyAlignment="1">
      <alignment horizontal="right" vertical="top" wrapText="1"/>
    </xf>
    <xf numFmtId="0" fontId="9" fillId="3" borderId="16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9" fillId="3" borderId="0" xfId="0" applyFont="1" applyFill="1"/>
    <xf numFmtId="0" fontId="12" fillId="5" borderId="0" xfId="0" applyFont="1" applyFill="1" applyAlignment="1">
      <alignment horizontal="right"/>
    </xf>
    <xf numFmtId="0" fontId="12" fillId="5" borderId="13" xfId="0" applyFont="1" applyFill="1" applyBorder="1" applyAlignment="1">
      <alignment horizontal="right"/>
    </xf>
    <xf numFmtId="0" fontId="13" fillId="3" borderId="12" xfId="0" applyFont="1" applyFill="1" applyBorder="1" applyAlignment="1">
      <alignment horizontal="center" textRotation="90"/>
    </xf>
    <xf numFmtId="3" fontId="9" fillId="0" borderId="18" xfId="0" applyNumberFormat="1" applyFont="1" applyBorder="1"/>
    <xf numFmtId="0" fontId="12" fillId="5" borderId="0" xfId="0" applyFont="1" applyFill="1" applyAlignment="1">
      <alignment horizontal="center" vertical="center"/>
    </xf>
    <xf numFmtId="9" fontId="12" fillId="5" borderId="0" xfId="0" applyNumberFormat="1" applyFont="1" applyFill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7" fontId="9" fillId="0" borderId="15" xfId="4" applyNumberFormat="1" applyFont="1" applyBorder="1" applyAlignment="1">
      <alignment horizontal="center"/>
    </xf>
    <xf numFmtId="0" fontId="9" fillId="3" borderId="18" xfId="0" applyFont="1" applyFill="1" applyBorder="1"/>
    <xf numFmtId="0" fontId="9" fillId="3" borderId="13" xfId="0" applyFont="1" applyFill="1" applyBorder="1"/>
    <xf numFmtId="0" fontId="13" fillId="3" borderId="15" xfId="0" applyFont="1" applyFill="1" applyBorder="1" applyAlignment="1">
      <alignment horizontal="center" textRotation="90"/>
    </xf>
    <xf numFmtId="0" fontId="13" fillId="3" borderId="2" xfId="0" applyFont="1" applyFill="1" applyBorder="1" applyAlignment="1">
      <alignment horizontal="center" textRotation="90"/>
    </xf>
    <xf numFmtId="6" fontId="12" fillId="0" borderId="16" xfId="4" applyNumberFormat="1" applyFont="1" applyBorder="1"/>
    <xf numFmtId="6" fontId="12" fillId="0" borderId="11" xfId="4" applyNumberFormat="1" applyFont="1" applyBorder="1"/>
    <xf numFmtId="6" fontId="12" fillId="0" borderId="18" xfId="4" applyNumberFormat="1" applyFont="1" applyBorder="1"/>
    <xf numFmtId="6" fontId="12" fillId="0" borderId="12" xfId="4" applyNumberFormat="1" applyFont="1" applyBorder="1"/>
    <xf numFmtId="6" fontId="12" fillId="0" borderId="0" xfId="4" applyNumberFormat="1" applyFont="1" applyBorder="1"/>
    <xf numFmtId="6" fontId="12" fillId="0" borderId="13" xfId="4" applyNumberFormat="1" applyFont="1" applyBorder="1"/>
    <xf numFmtId="6" fontId="12" fillId="0" borderId="21" xfId="4" applyNumberFormat="1" applyFont="1" applyBorder="1"/>
    <xf numFmtId="6" fontId="12" fillId="0" borderId="15" xfId="4" applyNumberFormat="1" applyFont="1" applyBorder="1"/>
    <xf numFmtId="6" fontId="12" fillId="0" borderId="2" xfId="4" applyNumberFormat="1" applyFont="1" applyBorder="1"/>
    <xf numFmtId="6" fontId="12" fillId="0" borderId="14" xfId="4" applyNumberFormat="1" applyFont="1" applyBorder="1"/>
    <xf numFmtId="3" fontId="9" fillId="0" borderId="23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3" borderId="28" xfId="0" applyFont="1" applyFill="1" applyBorder="1"/>
    <xf numFmtId="0" fontId="13" fillId="3" borderId="29" xfId="0" applyFont="1" applyFill="1" applyBorder="1" applyAlignment="1">
      <alignment horizontal="center" vertical="center" textRotation="90"/>
    </xf>
    <xf numFmtId="2" fontId="9" fillId="0" borderId="29" xfId="0" applyNumberFormat="1" applyFont="1" applyBorder="1" applyAlignment="1">
      <alignment horizontal="center"/>
    </xf>
    <xf numFmtId="0" fontId="17" fillId="5" borderId="0" xfId="5" applyFont="1" applyFill="1" applyAlignment="1">
      <alignment horizontal="left" wrapText="1"/>
    </xf>
    <xf numFmtId="0" fontId="19" fillId="5" borderId="0" xfId="5" applyFont="1" applyFill="1" applyAlignment="1">
      <alignment horizontal="left" vertical="top" wrapText="1"/>
    </xf>
    <xf numFmtId="0" fontId="20" fillId="0" borderId="0" xfId="0" applyFont="1"/>
    <xf numFmtId="0" fontId="22" fillId="0" borderId="0" xfId="0" applyFont="1"/>
    <xf numFmtId="0" fontId="20" fillId="0" borderId="2" xfId="0" applyFont="1" applyBorder="1"/>
    <xf numFmtId="164" fontId="20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0" fillId="2" borderId="0" xfId="0" applyFont="1" applyFill="1"/>
    <xf numFmtId="164" fontId="20" fillId="2" borderId="0" xfId="0" applyNumberFormat="1" applyFont="1" applyFill="1" applyAlignment="1">
      <alignment horizontal="right"/>
    </xf>
    <xf numFmtId="164" fontId="20" fillId="2" borderId="0" xfId="4" applyNumberFormat="1" applyFont="1" applyFill="1" applyBorder="1" applyAlignment="1">
      <alignment horizontal="right"/>
    </xf>
    <xf numFmtId="4" fontId="20" fillId="2" borderId="0" xfId="0" applyNumberFormat="1" applyFont="1" applyFill="1"/>
    <xf numFmtId="164" fontId="20" fillId="2" borderId="0" xfId="0" applyNumberFormat="1" applyFont="1" applyFill="1"/>
    <xf numFmtId="164" fontId="20" fillId="2" borderId="0" xfId="4" applyNumberFormat="1" applyFont="1" applyFill="1"/>
    <xf numFmtId="4" fontId="20" fillId="2" borderId="0" xfId="0" applyNumberFormat="1" applyFont="1" applyFill="1" applyAlignment="1">
      <alignment horizontal="right"/>
    </xf>
    <xf numFmtId="0" fontId="20" fillId="2" borderId="2" xfId="0" applyFont="1" applyFill="1" applyBorder="1"/>
    <xf numFmtId="4" fontId="20" fillId="2" borderId="2" xfId="0" applyNumberFormat="1" applyFont="1" applyFill="1" applyBorder="1"/>
    <xf numFmtId="164" fontId="20" fillId="2" borderId="2" xfId="0" applyNumberFormat="1" applyFont="1" applyFill="1" applyBorder="1"/>
    <xf numFmtId="4" fontId="20" fillId="0" borderId="0" xfId="0" applyNumberFormat="1" applyFont="1"/>
    <xf numFmtId="164" fontId="20" fillId="0" borderId="0" xfId="0" applyNumberFormat="1" applyFont="1"/>
    <xf numFmtId="0" fontId="25" fillId="5" borderId="0" xfId="6" applyFont="1" applyFill="1"/>
    <xf numFmtId="0" fontId="20" fillId="0" borderId="11" xfId="0" applyFont="1" applyBorder="1"/>
    <xf numFmtId="0" fontId="20" fillId="0" borderId="11" xfId="0" applyFont="1" applyBorder="1" applyAlignment="1">
      <alignment horizontal="right"/>
    </xf>
    <xf numFmtId="0" fontId="28" fillId="0" borderId="0" xfId="0" applyFont="1" applyAlignment="1">
      <alignment wrapText="1"/>
    </xf>
    <xf numFmtId="0" fontId="29" fillId="0" borderId="0" xfId="0" applyFont="1"/>
    <xf numFmtId="0" fontId="30" fillId="5" borderId="1" xfId="6" applyFont="1" applyFill="1" applyBorder="1" applyAlignment="1">
      <alignment horizontal="left"/>
    </xf>
    <xf numFmtId="2" fontId="30" fillId="5" borderId="1" xfId="6" applyNumberFormat="1" applyFont="1" applyFill="1" applyBorder="1" applyAlignment="1">
      <alignment horizontal="right"/>
    </xf>
    <xf numFmtId="0" fontId="30" fillId="0" borderId="0" xfId="0" applyFont="1"/>
    <xf numFmtId="0" fontId="21" fillId="0" borderId="0" xfId="0" applyFont="1"/>
    <xf numFmtId="165" fontId="29" fillId="2" borderId="0" xfId="0" applyNumberFormat="1" applyFont="1" applyFill="1"/>
    <xf numFmtId="164" fontId="29" fillId="2" borderId="0" xfId="4" applyNumberFormat="1" applyFont="1" applyFill="1" applyProtection="1"/>
    <xf numFmtId="164" fontId="29" fillId="0" borderId="2" xfId="0" applyNumberFormat="1" applyFont="1" applyBorder="1"/>
    <xf numFmtId="0" fontId="31" fillId="0" borderId="0" xfId="0" applyFont="1" applyAlignment="1">
      <alignment horizontal="right"/>
    </xf>
    <xf numFmtId="164" fontId="29" fillId="0" borderId="0" xfId="0" applyNumberFormat="1" applyFont="1"/>
    <xf numFmtId="0" fontId="30" fillId="0" borderId="1" xfId="0" applyFont="1" applyBorder="1"/>
    <xf numFmtId="165" fontId="29" fillId="0" borderId="0" xfId="0" applyNumberFormat="1" applyFont="1"/>
    <xf numFmtId="164" fontId="29" fillId="0" borderId="0" xfId="4" applyNumberFormat="1" applyFont="1" applyProtection="1"/>
    <xf numFmtId="164" fontId="29" fillId="0" borderId="0" xfId="4" applyNumberFormat="1" applyFont="1" applyFill="1" applyProtection="1"/>
    <xf numFmtId="0" fontId="29" fillId="2" borderId="0" xfId="0" applyFont="1" applyFill="1"/>
    <xf numFmtId="0" fontId="21" fillId="2" borderId="0" xfId="0" applyFont="1" applyFill="1"/>
    <xf numFmtId="0" fontId="32" fillId="0" borderId="0" xfId="0" applyFont="1"/>
    <xf numFmtId="4" fontId="29" fillId="0" borderId="0" xfId="0" applyNumberFormat="1" applyFont="1"/>
    <xf numFmtId="9" fontId="21" fillId="0" borderId="0" xfId="0" applyNumberFormat="1" applyFont="1" applyAlignment="1">
      <alignment horizontal="left"/>
    </xf>
    <xf numFmtId="167" fontId="29" fillId="0" borderId="0" xfId="4" applyNumberFormat="1" applyFont="1"/>
    <xf numFmtId="9" fontId="29" fillId="2" borderId="0" xfId="1" applyFont="1" applyFill="1" applyProtection="1"/>
    <xf numFmtId="164" fontId="29" fillId="2" borderId="0" xfId="0" applyNumberFormat="1" applyFont="1" applyFill="1"/>
    <xf numFmtId="0" fontId="29" fillId="0" borderId="0" xfId="0" applyFont="1" applyAlignment="1">
      <alignment wrapText="1"/>
    </xf>
    <xf numFmtId="10" fontId="29" fillId="2" borderId="0" xfId="0" applyNumberFormat="1" applyFont="1" applyFill="1"/>
    <xf numFmtId="3" fontId="29" fillId="0" borderId="0" xfId="0" applyNumberFormat="1" applyFont="1"/>
    <xf numFmtId="0" fontId="33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29" fillId="0" borderId="11" xfId="0" applyFont="1" applyBorder="1"/>
    <xf numFmtId="164" fontId="29" fillId="0" borderId="11" xfId="0" applyNumberFormat="1" applyFont="1" applyBorder="1"/>
    <xf numFmtId="0" fontId="29" fillId="0" borderId="3" xfId="0" applyFont="1" applyBorder="1"/>
    <xf numFmtId="164" fontId="29" fillId="0" borderId="3" xfId="0" applyNumberFormat="1" applyFont="1" applyBorder="1"/>
    <xf numFmtId="0" fontId="20" fillId="0" borderId="0" xfId="0" applyFont="1" applyProtection="1">
      <protection locked="0"/>
    </xf>
    <xf numFmtId="0" fontId="29" fillId="0" borderId="0" xfId="0" applyFont="1" applyAlignment="1">
      <alignment horizontal="left"/>
    </xf>
    <xf numFmtId="0" fontId="35" fillId="0" borderId="0" xfId="0" applyFont="1"/>
    <xf numFmtId="0" fontId="1" fillId="0" borderId="0" xfId="0" applyFont="1"/>
    <xf numFmtId="0" fontId="36" fillId="0" borderId="0" xfId="0" applyFont="1"/>
    <xf numFmtId="165" fontId="1" fillId="2" borderId="0" xfId="0" applyNumberFormat="1" applyFont="1" applyFill="1"/>
    <xf numFmtId="164" fontId="1" fillId="2" borderId="0" xfId="4" applyNumberFormat="1" applyFont="1" applyFill="1" applyProtection="1"/>
    <xf numFmtId="164" fontId="1" fillId="0" borderId="0" xfId="0" applyNumberFormat="1" applyFont="1"/>
    <xf numFmtId="0" fontId="31" fillId="0" borderId="11" xfId="0" applyFont="1" applyBorder="1" applyAlignment="1">
      <alignment horizontal="left"/>
    </xf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0" fillId="5" borderId="2" xfId="0" applyFont="1" applyFill="1" applyBorder="1"/>
    <xf numFmtId="166" fontId="20" fillId="2" borderId="2" xfId="0" applyNumberFormat="1" applyFont="1" applyFill="1" applyBorder="1"/>
    <xf numFmtId="0" fontId="20" fillId="0" borderId="11" xfId="0" applyFont="1" applyBorder="1" applyAlignment="1">
      <alignment horizontal="right" wrapText="1"/>
    </xf>
    <xf numFmtId="164" fontId="20" fillId="5" borderId="0" xfId="0" applyNumberFormat="1" applyFont="1" applyFill="1"/>
    <xf numFmtId="0" fontId="20" fillId="5" borderId="0" xfId="0" applyFont="1" applyFill="1"/>
    <xf numFmtId="166" fontId="20" fillId="5" borderId="0" xfId="0" applyNumberFormat="1" applyFont="1" applyFill="1"/>
    <xf numFmtId="164" fontId="20" fillId="5" borderId="0" xfId="4" applyNumberFormat="1" applyFont="1" applyFill="1" applyBorder="1" applyAlignment="1">
      <alignment horizontal="right"/>
    </xf>
    <xf numFmtId="164" fontId="20" fillId="5" borderId="0" xfId="4" applyNumberFormat="1" applyFont="1" applyFill="1"/>
    <xf numFmtId="9" fontId="20" fillId="2" borderId="2" xfId="1" applyFont="1" applyFill="1" applyBorder="1"/>
    <xf numFmtId="9" fontId="20" fillId="2" borderId="2" xfId="0" applyNumberFormat="1" applyFont="1" applyFill="1" applyBorder="1"/>
    <xf numFmtId="10" fontId="20" fillId="2" borderId="2" xfId="0" applyNumberFormat="1" applyFont="1" applyFill="1" applyBorder="1"/>
    <xf numFmtId="9" fontId="20" fillId="2" borderId="0" xfId="1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166" fontId="20" fillId="2" borderId="0" xfId="1" applyNumberFormat="1" applyFont="1" applyFill="1" applyBorder="1" applyAlignment="1">
      <alignment horizontal="right"/>
    </xf>
    <xf numFmtId="10" fontId="20" fillId="2" borderId="0" xfId="1" applyNumberFormat="1" applyFont="1" applyFill="1" applyBorder="1" applyAlignment="1">
      <alignment horizontal="right"/>
    </xf>
    <xf numFmtId="164" fontId="20" fillId="5" borderId="0" xfId="4" applyNumberFormat="1" applyFont="1" applyFill="1" applyBorder="1"/>
    <xf numFmtId="0" fontId="3" fillId="2" borderId="0" xfId="0" applyFont="1" applyFill="1"/>
    <xf numFmtId="0" fontId="38" fillId="0" borderId="2" xfId="0" applyFont="1" applyBorder="1"/>
    <xf numFmtId="0" fontId="3" fillId="5" borderId="0" xfId="0" applyFont="1" applyFill="1"/>
    <xf numFmtId="0" fontId="29" fillId="5" borderId="0" xfId="0" applyFont="1" applyFill="1"/>
    <xf numFmtId="0" fontId="21" fillId="5" borderId="0" xfId="0" applyFont="1" applyFill="1"/>
    <xf numFmtId="164" fontId="29" fillId="5" borderId="2" xfId="0" applyNumberFormat="1" applyFont="1" applyFill="1" applyBorder="1"/>
    <xf numFmtId="3" fontId="9" fillId="5" borderId="11" xfId="0" applyNumberFormat="1" applyFont="1" applyFill="1" applyBorder="1" applyProtection="1">
      <protection locked="0"/>
    </xf>
    <xf numFmtId="7" fontId="9" fillId="5" borderId="12" xfId="4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/>
    <xf numFmtId="0" fontId="8" fillId="3" borderId="6" xfId="0" applyFont="1" applyFill="1" applyBorder="1"/>
    <xf numFmtId="0" fontId="14" fillId="3" borderId="5" xfId="3" applyFont="1" applyFill="1" applyBorder="1" applyAlignment="1">
      <alignment horizontal="center"/>
    </xf>
    <xf numFmtId="0" fontId="14" fillId="3" borderId="6" xfId="3" applyFont="1" applyFill="1" applyBorder="1" applyAlignment="1">
      <alignment horizontal="center"/>
    </xf>
    <xf numFmtId="0" fontId="14" fillId="3" borderId="7" xfId="3" applyFont="1" applyFill="1" applyBorder="1" applyAlignment="1">
      <alignment horizontal="center"/>
    </xf>
    <xf numFmtId="0" fontId="9" fillId="5" borderId="0" xfId="0" applyFont="1" applyFill="1" applyAlignment="1">
      <alignment horizontal="right"/>
    </xf>
    <xf numFmtId="0" fontId="0" fillId="5" borderId="0" xfId="0" applyFill="1"/>
    <xf numFmtId="0" fontId="10" fillId="4" borderId="8" xfId="2" applyFont="1" applyBorder="1" applyAlignment="1">
      <alignment horizontal="center" wrapText="1"/>
    </xf>
    <xf numFmtId="0" fontId="10" fillId="4" borderId="9" xfId="2" applyFont="1" applyBorder="1" applyAlignment="1">
      <alignment horizontal="center" wrapText="1"/>
    </xf>
    <xf numFmtId="0" fontId="10" fillId="4" borderId="10" xfId="2" applyFont="1" applyBorder="1" applyAlignment="1">
      <alignment horizontal="center" wrapText="1"/>
    </xf>
    <xf numFmtId="0" fontId="12" fillId="5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7" fillId="0" borderId="0" xfId="5" applyFont="1" applyAlignment="1">
      <alignment horizontal="left"/>
    </xf>
    <xf numFmtId="0" fontId="21" fillId="0" borderId="22" xfId="0" applyFont="1" applyBorder="1" applyAlignment="1">
      <alignment horizontal="left" vertical="top" wrapText="1"/>
    </xf>
    <xf numFmtId="0" fontId="34" fillId="3" borderId="23" xfId="0" applyFont="1" applyFill="1" applyBorder="1" applyAlignment="1">
      <alignment horizontal="center" wrapText="1"/>
    </xf>
    <xf numFmtId="0" fontId="34" fillId="3" borderId="1" xfId="0" applyFont="1" applyFill="1" applyBorder="1" applyAlignment="1">
      <alignment horizontal="center" wrapText="1"/>
    </xf>
    <xf numFmtId="0" fontId="34" fillId="3" borderId="24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5" fillId="3" borderId="26" xfId="0" applyFont="1" applyFill="1" applyBorder="1" applyAlignment="1">
      <alignment horizontal="center" vertical="center" textRotation="90" wrapText="1"/>
    </xf>
    <xf numFmtId="0" fontId="15" fillId="3" borderId="27" xfId="0" applyFont="1" applyFill="1" applyBorder="1" applyAlignment="1">
      <alignment horizontal="center" vertical="center" textRotation="90" wrapText="1"/>
    </xf>
    <xf numFmtId="0" fontId="15" fillId="3" borderId="25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vertical="center" textRotation="90"/>
    </xf>
    <xf numFmtId="0" fontId="15" fillId="3" borderId="15" xfId="0" applyFont="1" applyFill="1" applyBorder="1" applyAlignment="1">
      <alignment horizontal="center" vertical="center" textRotation="90"/>
    </xf>
    <xf numFmtId="0" fontId="1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 wrapText="1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4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1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University of Missouri - Extension and Food &amp; Agricultural Policy Research Institute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eople/mallory-rahe" TargetMode="External"/><Relationship Id="rId1" Type="http://schemas.openxmlformats.org/officeDocument/2006/relationships/hyperlink" Target="https://extension.missouri.edu/programs/commercial-horticulture/find-a-horticulturist-near-yo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tension.missouri.edu/programs/agricultural-business-and-policy-extension/missouri-crop-and-livestock-enterprise-budge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39"/>
  <sheetViews>
    <sheetView workbookViewId="0">
      <selection activeCell="D8" sqref="D8"/>
    </sheetView>
  </sheetViews>
  <sheetFormatPr defaultColWidth="0" defaultRowHeight="16.5" customHeight="1" zeroHeight="1"/>
  <cols>
    <col min="1" max="1" width="2.83203125" style="4" customWidth="1"/>
    <col min="2" max="2" width="29.1640625" style="4" customWidth="1"/>
    <col min="3" max="3" width="32.83203125" style="4" customWidth="1"/>
    <col min="4" max="4" width="36.5" style="4" customWidth="1"/>
    <col min="5" max="5" width="3" style="4" customWidth="1"/>
    <col min="6" max="8" width="9" style="4" hidden="1" customWidth="1"/>
    <col min="9" max="13" width="0" style="4" hidden="1" customWidth="1"/>
    <col min="14" max="16384" width="9" style="4" hidden="1"/>
  </cols>
  <sheetData>
    <row r="1" spans="1:13" ht="17" thickBot="1">
      <c r="A1" s="3"/>
      <c r="B1" s="5"/>
      <c r="C1" s="5"/>
      <c r="D1" s="5"/>
      <c r="E1" s="3"/>
      <c r="F1" s="3"/>
      <c r="G1" s="3"/>
      <c r="H1" s="3"/>
      <c r="I1" s="3"/>
      <c r="J1" s="3"/>
      <c r="K1" s="3"/>
      <c r="L1" s="3"/>
      <c r="M1" s="3"/>
    </row>
    <row r="2" spans="1:13" ht="19.5" customHeight="1" thickBot="1">
      <c r="A2" s="3"/>
      <c r="B2" s="148" t="s">
        <v>84</v>
      </c>
      <c r="C2" s="149"/>
      <c r="D2" s="150"/>
      <c r="E2" s="3"/>
      <c r="F2" s="3"/>
      <c r="G2" s="3"/>
      <c r="H2" s="3"/>
    </row>
    <row r="3" spans="1:13" ht="16.5" customHeight="1">
      <c r="A3" s="3"/>
      <c r="B3" s="151" t="s">
        <v>0</v>
      </c>
      <c r="C3" s="151"/>
      <c r="D3" s="151"/>
      <c r="E3" s="3"/>
      <c r="F3" s="3"/>
      <c r="G3" s="3"/>
      <c r="H3" s="3"/>
    </row>
    <row r="4" spans="1:13">
      <c r="A4" s="3"/>
      <c r="B4" s="152"/>
      <c r="C4" s="152"/>
      <c r="D4" s="152"/>
      <c r="E4" s="3"/>
      <c r="F4" s="3"/>
      <c r="G4" s="3"/>
      <c r="H4" s="3"/>
    </row>
    <row r="5" spans="1:13" ht="60.5" customHeight="1">
      <c r="A5" s="3"/>
      <c r="B5" s="10" t="s">
        <v>75</v>
      </c>
      <c r="C5" s="8"/>
      <c r="D5" s="18" t="e" vm="1">
        <v>#VALUE!</v>
      </c>
      <c r="E5" s="3"/>
      <c r="F5" s="3"/>
      <c r="G5" s="3"/>
      <c r="H5" s="3"/>
    </row>
    <row r="6" spans="1:13" ht="16.5" customHeight="1">
      <c r="A6" s="3"/>
      <c r="B6" s="19"/>
      <c r="C6" s="19"/>
      <c r="D6" s="18"/>
      <c r="E6" s="3"/>
      <c r="F6" s="3"/>
      <c r="G6" s="3"/>
      <c r="H6" s="3"/>
    </row>
    <row r="7" spans="1:13" ht="16.5" customHeight="1">
      <c r="A7" s="3"/>
      <c r="B7" s="21" t="s">
        <v>32</v>
      </c>
      <c r="C7" s="54" t="s">
        <v>103</v>
      </c>
      <c r="D7" s="18"/>
      <c r="E7" s="3"/>
      <c r="F7" s="3"/>
      <c r="G7" s="3"/>
      <c r="H7" s="3"/>
    </row>
    <row r="8" spans="1:13" ht="32.5" customHeight="1">
      <c r="A8" s="3"/>
      <c r="B8" s="21" t="s">
        <v>33</v>
      </c>
      <c r="C8" s="53" t="s">
        <v>34</v>
      </c>
      <c r="D8" s="18"/>
      <c r="E8" s="3"/>
      <c r="F8" s="3"/>
      <c r="G8" s="3"/>
      <c r="H8" s="3"/>
    </row>
    <row r="9" spans="1:13" ht="16.5" customHeight="1">
      <c r="A9" s="3"/>
      <c r="B9" s="6"/>
      <c r="C9"/>
      <c r="D9" s="5"/>
      <c r="E9" s="3"/>
      <c r="F9" s="3"/>
      <c r="G9" s="3"/>
      <c r="H9" s="3"/>
    </row>
    <row r="10" spans="1:13" ht="66" customHeight="1">
      <c r="A10" s="3"/>
      <c r="B10" s="156" t="s">
        <v>104</v>
      </c>
      <c r="C10" s="156"/>
      <c r="D10" s="156"/>
      <c r="E10" s="3"/>
      <c r="F10" s="3"/>
      <c r="G10" s="3"/>
      <c r="H10" s="3"/>
    </row>
    <row r="11" spans="1:13" ht="19.5" customHeight="1">
      <c r="A11" s="3"/>
      <c r="B11" s="7"/>
      <c r="C11" s="7"/>
      <c r="D11" s="7"/>
      <c r="E11" s="3"/>
      <c r="F11" s="3"/>
      <c r="G11" s="3"/>
      <c r="H11" s="3"/>
    </row>
    <row r="12" spans="1:13" ht="16.5" customHeight="1">
      <c r="A12" s="3"/>
      <c r="B12" s="153" t="s">
        <v>1</v>
      </c>
      <c r="C12" s="154"/>
      <c r="D12" s="155"/>
      <c r="E12" s="3"/>
      <c r="F12" s="3"/>
      <c r="G12" s="3"/>
      <c r="H12" s="3"/>
    </row>
    <row r="13" spans="1:13" ht="17" thickBot="1">
      <c r="A13" s="3"/>
      <c r="B13" s="5"/>
      <c r="C13" s="5"/>
      <c r="D13" s="5"/>
      <c r="E13" s="3"/>
      <c r="F13" s="3"/>
      <c r="G13" s="3"/>
      <c r="H13" s="3"/>
    </row>
    <row r="14" spans="1:13" ht="19" thickBot="1">
      <c r="A14" s="3"/>
      <c r="B14" s="146"/>
      <c r="C14" s="147"/>
      <c r="D14" s="147"/>
      <c r="E14" s="3"/>
      <c r="F14" s="3"/>
      <c r="G14" s="3"/>
      <c r="H14" s="3"/>
    </row>
    <row r="15" spans="1:13">
      <c r="A15" s="3"/>
      <c r="B15" s="3"/>
      <c r="C15" s="3"/>
      <c r="D15" s="3"/>
      <c r="E15" s="3"/>
      <c r="F15" s="3"/>
      <c r="G15" s="3"/>
      <c r="H15" s="3"/>
    </row>
    <row r="16" spans="1:13" hidden="1">
      <c r="A16" s="3"/>
      <c r="B16" s="3"/>
      <c r="C16" s="3"/>
      <c r="D16" s="3"/>
      <c r="E16" s="3"/>
      <c r="F16" s="3"/>
      <c r="G16" s="3"/>
      <c r="H16" s="3"/>
    </row>
    <row r="17" spans="1:8" hidden="1">
      <c r="A17" s="3"/>
      <c r="B17" s="3"/>
      <c r="C17" s="3"/>
      <c r="D17" s="3"/>
      <c r="E17" s="3"/>
      <c r="F17" s="3"/>
      <c r="G17" s="3"/>
      <c r="H17" s="3"/>
    </row>
    <row r="18" spans="1:8" hidden="1">
      <c r="A18" s="3"/>
      <c r="B18" s="3"/>
      <c r="C18" s="3"/>
      <c r="D18" s="3"/>
      <c r="E18" s="3"/>
      <c r="F18" s="3"/>
      <c r="G18" s="3"/>
      <c r="H18" s="3"/>
    </row>
    <row r="19" spans="1:8" hidden="1">
      <c r="A19" s="3"/>
      <c r="B19" s="3"/>
      <c r="C19" s="3"/>
      <c r="D19" s="3"/>
      <c r="E19" s="3"/>
      <c r="F19" s="3"/>
      <c r="G19" s="3"/>
      <c r="H19" s="3"/>
    </row>
    <row r="20" spans="1:8" hidden="1">
      <c r="A20" s="3"/>
      <c r="B20" s="3"/>
      <c r="C20" s="3"/>
      <c r="D20" s="3"/>
      <c r="E20" s="3"/>
      <c r="F20" s="3"/>
      <c r="G20" s="3"/>
      <c r="H20" s="3"/>
    </row>
    <row r="21" spans="1:8" hidden="1">
      <c r="A21" s="3"/>
      <c r="B21" s="3"/>
      <c r="C21" s="3"/>
      <c r="D21" s="3"/>
      <c r="E21" s="3"/>
      <c r="F21" s="3"/>
      <c r="G21" s="3"/>
      <c r="H21" s="3"/>
    </row>
    <row r="22" spans="1:8" hidden="1">
      <c r="A22" s="3"/>
      <c r="B22" s="3"/>
      <c r="C22" s="3"/>
      <c r="D22" s="3"/>
      <c r="E22" s="3"/>
      <c r="F22" s="3"/>
      <c r="G22" s="3"/>
      <c r="H22" s="3"/>
    </row>
    <row r="23" spans="1:8" hidden="1">
      <c r="A23" s="3"/>
      <c r="B23" s="3"/>
      <c r="C23" s="3"/>
      <c r="D23" s="3"/>
      <c r="E23" s="3"/>
      <c r="F23" s="3"/>
      <c r="G23" s="3"/>
      <c r="H23" s="3"/>
    </row>
    <row r="24" spans="1:8" hidden="1">
      <c r="A24" s="3"/>
    </row>
    <row r="25" spans="1:8" hidden="1">
      <c r="A25" s="3"/>
    </row>
    <row r="26" spans="1:8" hidden="1">
      <c r="A26" s="3"/>
    </row>
    <row r="39" ht="16.5" customHeight="1"/>
  </sheetData>
  <sheetProtection sheet="1" objects="1" scenarios="1"/>
  <mergeCells count="6">
    <mergeCell ref="B14:D14"/>
    <mergeCell ref="B2:D2"/>
    <mergeCell ref="B3:D3"/>
    <mergeCell ref="B4:D4"/>
    <mergeCell ref="B12:D12"/>
    <mergeCell ref="B10:D10"/>
  </mergeCells>
  <hyperlinks>
    <hyperlink ref="C8" r:id="rId1" xr:uid="{60F8126B-D46E-4ABD-986C-B44783A3E7CD}"/>
    <hyperlink ref="C7" r:id="rId2" xr:uid="{300DED1D-4F06-434C-AD94-7F2F434D14E3}"/>
  </hyperlinks>
  <pageMargins left="0.7" right="0.7" top="0.75" bottom="0.75" header="0.3" footer="0.3"/>
  <pageSetup scale="8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L88"/>
  <sheetViews>
    <sheetView showGridLines="0" tabSelected="1" zoomScale="80" zoomScaleNormal="80" workbookViewId="0">
      <selection activeCell="G30" sqref="G30:G35"/>
    </sheetView>
  </sheetViews>
  <sheetFormatPr defaultColWidth="0" defaultRowHeight="15.5" zeroHeight="1"/>
  <cols>
    <col min="1" max="1" width="3" style="1" customWidth="1"/>
    <col min="2" max="2" width="1.5" style="1" customWidth="1"/>
    <col min="3" max="3" width="30.08203125" style="1" customWidth="1"/>
    <col min="4" max="4" width="13.5" style="1" customWidth="1"/>
    <col min="5" max="5" width="11.5" style="1" customWidth="1"/>
    <col min="6" max="6" width="14.58203125" style="1" customWidth="1"/>
    <col min="7" max="7" width="16.5" style="1" customWidth="1"/>
    <col min="8" max="8" width="17.08203125" style="1" customWidth="1"/>
    <col min="9" max="9" width="9.08203125" style="1" customWidth="1"/>
    <col min="10" max="10" width="3" style="1" customWidth="1"/>
    <col min="11" max="11" width="9" style="1" hidden="1" customWidth="1"/>
    <col min="12" max="12" width="10" style="1" hidden="1" customWidth="1"/>
    <col min="13" max="16384" width="9" style="1" hidden="1"/>
  </cols>
  <sheetData>
    <row r="1" spans="1:10" ht="21.75" customHeight="1">
      <c r="A1" s="55"/>
      <c r="B1" s="160" t="s">
        <v>85</v>
      </c>
      <c r="C1" s="161"/>
      <c r="D1" s="161"/>
      <c r="E1" s="161"/>
      <c r="F1" s="161"/>
      <c r="G1" s="162"/>
      <c r="H1" s="78"/>
      <c r="I1" s="78"/>
      <c r="J1" s="55"/>
    </row>
    <row r="2" spans="1:10" ht="16" customHeight="1">
      <c r="A2" s="79"/>
      <c r="B2" s="80" t="s">
        <v>12</v>
      </c>
      <c r="C2" s="80"/>
      <c r="D2" s="80" t="s">
        <v>3</v>
      </c>
      <c r="E2" s="81" t="s">
        <v>4</v>
      </c>
      <c r="F2" s="81" t="s">
        <v>35</v>
      </c>
      <c r="G2" s="81" t="s">
        <v>36</v>
      </c>
      <c r="H2" s="82"/>
      <c r="I2" s="82"/>
      <c r="J2" s="55"/>
    </row>
    <row r="3" spans="1:10" ht="16" customHeight="1">
      <c r="A3" s="79"/>
      <c r="B3" s="79" t="s">
        <v>86</v>
      </c>
      <c r="C3" s="79"/>
      <c r="D3" s="83" t="s">
        <v>87</v>
      </c>
      <c r="E3" s="84">
        <v>900</v>
      </c>
      <c r="F3" s="85">
        <v>15.49</v>
      </c>
      <c r="G3" s="86">
        <f>E3*F3</f>
        <v>13941</v>
      </c>
      <c r="H3" s="79"/>
      <c r="I3" s="79"/>
      <c r="J3" s="55"/>
    </row>
    <row r="4" spans="1:10" ht="16" customHeight="1">
      <c r="A4" s="79"/>
      <c r="B4" s="79"/>
      <c r="C4" s="87" t="s">
        <v>13</v>
      </c>
      <c r="D4" s="55"/>
      <c r="E4" s="79"/>
      <c r="F4" s="79"/>
      <c r="G4" s="88">
        <f>G3</f>
        <v>13941</v>
      </c>
      <c r="H4" s="79"/>
      <c r="I4" s="79"/>
      <c r="J4" s="55"/>
    </row>
    <row r="5" spans="1:10" ht="16" customHeight="1">
      <c r="A5" s="79"/>
      <c r="B5" s="89" t="s">
        <v>14</v>
      </c>
      <c r="C5" s="89"/>
      <c r="D5" s="80" t="s">
        <v>3</v>
      </c>
      <c r="E5" s="81" t="s">
        <v>4</v>
      </c>
      <c r="F5" s="81" t="s">
        <v>35</v>
      </c>
      <c r="G5" s="81" t="s">
        <v>36</v>
      </c>
      <c r="H5" s="82"/>
      <c r="I5" s="82"/>
      <c r="J5" s="55"/>
    </row>
    <row r="6" spans="1:10" ht="16" customHeight="1">
      <c r="A6" s="79"/>
      <c r="B6" s="79" t="s">
        <v>88</v>
      </c>
      <c r="C6" s="79"/>
      <c r="D6" s="83" t="s">
        <v>76</v>
      </c>
      <c r="E6" s="84">
        <v>14.028</v>
      </c>
      <c r="F6" s="85">
        <v>39.950000000000003</v>
      </c>
      <c r="G6" s="88">
        <f>E6*F6</f>
        <v>560.41860000000008</v>
      </c>
      <c r="H6" s="79"/>
      <c r="I6" s="79"/>
      <c r="J6" s="55"/>
    </row>
    <row r="7" spans="1:10" ht="16" customHeight="1">
      <c r="A7" s="79"/>
      <c r="B7" s="79" t="s">
        <v>37</v>
      </c>
      <c r="C7" s="79"/>
      <c r="D7" s="83"/>
      <c r="E7" s="90"/>
      <c r="F7" s="91"/>
      <c r="G7" s="88"/>
      <c r="H7" s="79"/>
      <c r="I7" s="79"/>
      <c r="J7" s="55"/>
    </row>
    <row r="8" spans="1:10" ht="16" customHeight="1">
      <c r="A8" s="79"/>
      <c r="B8" s="79"/>
      <c r="C8" s="79" t="s">
        <v>38</v>
      </c>
      <c r="D8" s="83" t="s">
        <v>8</v>
      </c>
      <c r="E8" s="84">
        <v>110</v>
      </c>
      <c r="F8" s="85">
        <v>0.45</v>
      </c>
      <c r="G8" s="88">
        <f t="shared" ref="G8:G13" si="0">E8*F8</f>
        <v>49.5</v>
      </c>
      <c r="H8" s="79"/>
      <c r="I8" s="79"/>
      <c r="J8" s="55"/>
    </row>
    <row r="9" spans="1:10" ht="16" customHeight="1">
      <c r="A9" s="79"/>
      <c r="B9" s="79"/>
      <c r="C9" s="79" t="s">
        <v>39</v>
      </c>
      <c r="D9" s="83" t="s">
        <v>8</v>
      </c>
      <c r="E9" s="84">
        <v>60</v>
      </c>
      <c r="F9" s="85">
        <v>0.45</v>
      </c>
      <c r="G9" s="88">
        <f t="shared" si="0"/>
        <v>27</v>
      </c>
      <c r="H9" s="79"/>
      <c r="I9" s="79"/>
      <c r="J9" s="55"/>
    </row>
    <row r="10" spans="1:10" ht="16" customHeight="1">
      <c r="A10" s="79"/>
      <c r="B10" s="79"/>
      <c r="C10" s="79" t="s">
        <v>41</v>
      </c>
      <c r="D10" s="83" t="s">
        <v>8</v>
      </c>
      <c r="E10" s="84">
        <v>120</v>
      </c>
      <c r="F10" s="85">
        <v>0.55000000000000004</v>
      </c>
      <c r="G10" s="88">
        <f t="shared" si="0"/>
        <v>66</v>
      </c>
      <c r="H10" s="79"/>
      <c r="I10" s="79"/>
      <c r="J10" s="55"/>
    </row>
    <row r="11" spans="1:10" ht="16" customHeight="1">
      <c r="A11" s="79"/>
      <c r="B11" s="79"/>
      <c r="C11" s="79" t="s">
        <v>42</v>
      </c>
      <c r="D11" s="83" t="s">
        <v>8</v>
      </c>
      <c r="E11" s="84">
        <v>125</v>
      </c>
      <c r="F11" s="85">
        <v>0.38</v>
      </c>
      <c r="G11" s="88">
        <f t="shared" si="0"/>
        <v>47.5</v>
      </c>
      <c r="H11" s="79"/>
      <c r="I11" s="79"/>
      <c r="J11" s="55"/>
    </row>
    <row r="12" spans="1:10" ht="16" customHeight="1">
      <c r="A12" s="79"/>
      <c r="B12" s="79"/>
      <c r="C12" s="79" t="s">
        <v>43</v>
      </c>
      <c r="D12" s="83" t="s">
        <v>7</v>
      </c>
      <c r="E12" s="84">
        <v>0.5</v>
      </c>
      <c r="F12" s="85">
        <v>30</v>
      </c>
      <c r="G12" s="88">
        <f t="shared" si="0"/>
        <v>15</v>
      </c>
      <c r="H12" s="79"/>
      <c r="I12" s="79"/>
      <c r="J12" s="55"/>
    </row>
    <row r="13" spans="1:10" ht="16" customHeight="1">
      <c r="A13" s="79"/>
      <c r="B13" s="79"/>
      <c r="C13" s="79" t="s">
        <v>89</v>
      </c>
      <c r="D13" s="83" t="s">
        <v>90</v>
      </c>
      <c r="E13" s="84">
        <v>0</v>
      </c>
      <c r="F13" s="85">
        <v>79.48</v>
      </c>
      <c r="G13" s="88">
        <f t="shared" si="0"/>
        <v>0</v>
      </c>
      <c r="H13" s="79"/>
      <c r="I13" s="79"/>
      <c r="J13" s="55"/>
    </row>
    <row r="14" spans="1:10" ht="16" customHeight="1">
      <c r="A14" s="79"/>
      <c r="B14" s="79" t="s">
        <v>49</v>
      </c>
      <c r="C14" s="79"/>
      <c r="D14" s="83"/>
      <c r="E14" s="90"/>
      <c r="F14" s="92"/>
      <c r="G14" s="88"/>
      <c r="H14" s="79"/>
      <c r="I14" s="79"/>
      <c r="J14" s="55"/>
    </row>
    <row r="15" spans="1:10" ht="16" customHeight="1">
      <c r="A15" s="79"/>
      <c r="B15" s="79"/>
      <c r="C15" s="93" t="s">
        <v>91</v>
      </c>
      <c r="D15" s="94" t="s">
        <v>44</v>
      </c>
      <c r="E15" s="84">
        <v>1.5</v>
      </c>
      <c r="F15" s="85">
        <v>3.56</v>
      </c>
      <c r="G15" s="88">
        <f t="shared" ref="G15:G24" si="1">E15*F15</f>
        <v>5.34</v>
      </c>
      <c r="H15" s="79"/>
      <c r="I15" s="79"/>
      <c r="J15" s="55"/>
    </row>
    <row r="16" spans="1:10" ht="16" customHeight="1">
      <c r="A16" s="79"/>
      <c r="B16" s="79"/>
      <c r="C16" s="93" t="s">
        <v>45</v>
      </c>
      <c r="D16" s="94" t="s">
        <v>47</v>
      </c>
      <c r="E16" s="84">
        <v>0</v>
      </c>
      <c r="F16" s="85">
        <v>0</v>
      </c>
      <c r="G16" s="88">
        <f t="shared" si="1"/>
        <v>0</v>
      </c>
      <c r="H16" s="79"/>
      <c r="I16" s="79"/>
      <c r="J16" s="55"/>
    </row>
    <row r="17" spans="1:12" ht="16" customHeight="1">
      <c r="A17" s="79"/>
      <c r="B17" s="79" t="s">
        <v>50</v>
      </c>
      <c r="C17" s="79"/>
      <c r="D17" s="83"/>
      <c r="E17" s="90"/>
      <c r="F17" s="92"/>
      <c r="G17" s="88"/>
      <c r="H17" s="79"/>
      <c r="I17" s="79"/>
      <c r="J17" s="55"/>
    </row>
    <row r="18" spans="1:12" ht="16" customHeight="1">
      <c r="A18" s="79"/>
      <c r="B18" s="79"/>
      <c r="C18" s="93" t="s">
        <v>92</v>
      </c>
      <c r="D18" s="94" t="s">
        <v>46</v>
      </c>
      <c r="E18" s="84">
        <v>8</v>
      </c>
      <c r="F18" s="85">
        <v>1.54</v>
      </c>
      <c r="G18" s="88">
        <f t="shared" si="1"/>
        <v>12.32</v>
      </c>
      <c r="H18" s="79"/>
      <c r="I18" s="79"/>
      <c r="J18" s="55"/>
    </row>
    <row r="19" spans="1:12" ht="16" customHeight="1">
      <c r="A19" s="79"/>
      <c r="B19" s="79"/>
      <c r="C19" s="93" t="s">
        <v>79</v>
      </c>
      <c r="D19" s="94" t="s">
        <v>46</v>
      </c>
      <c r="E19" s="84">
        <v>16</v>
      </c>
      <c r="F19" s="85">
        <v>6.41</v>
      </c>
      <c r="G19" s="88">
        <f t="shared" si="1"/>
        <v>102.56</v>
      </c>
      <c r="H19" s="79"/>
      <c r="I19" s="79"/>
      <c r="J19" s="55"/>
    </row>
    <row r="20" spans="1:12" ht="16" customHeight="1">
      <c r="A20" s="79"/>
      <c r="B20" s="79"/>
      <c r="C20" s="93" t="s">
        <v>93</v>
      </c>
      <c r="D20" s="94" t="s">
        <v>46</v>
      </c>
      <c r="E20" s="84">
        <v>3</v>
      </c>
      <c r="F20" s="85">
        <v>7.66</v>
      </c>
      <c r="G20" s="88">
        <f t="shared" si="1"/>
        <v>22.98</v>
      </c>
      <c r="H20" s="79"/>
      <c r="I20" s="79"/>
      <c r="J20" s="55"/>
    </row>
    <row r="21" spans="1:12" ht="16" customHeight="1">
      <c r="A21" s="79"/>
      <c r="B21" s="79"/>
      <c r="C21" s="93" t="s">
        <v>45</v>
      </c>
      <c r="D21" s="94" t="s">
        <v>47</v>
      </c>
      <c r="E21" s="84">
        <v>0</v>
      </c>
      <c r="F21" s="85">
        <v>0</v>
      </c>
      <c r="G21" s="88">
        <f t="shared" si="1"/>
        <v>0</v>
      </c>
      <c r="H21" s="79"/>
      <c r="I21" s="79"/>
      <c r="J21" s="55"/>
    </row>
    <row r="22" spans="1:12" ht="16" customHeight="1">
      <c r="A22" s="79"/>
      <c r="B22" s="79" t="s">
        <v>51</v>
      </c>
      <c r="C22" s="79"/>
      <c r="D22" s="83"/>
      <c r="E22" s="90"/>
      <c r="F22" s="91"/>
      <c r="G22" s="88"/>
      <c r="H22" s="79"/>
      <c r="I22" s="79"/>
      <c r="J22" s="55"/>
    </row>
    <row r="23" spans="1:12" ht="16" customHeight="1">
      <c r="A23" s="79"/>
      <c r="B23" s="55"/>
      <c r="C23" s="93" t="s">
        <v>48</v>
      </c>
      <c r="D23" s="94" t="s">
        <v>44</v>
      </c>
      <c r="E23" s="84">
        <v>4.5</v>
      </c>
      <c r="F23" s="85">
        <v>4</v>
      </c>
      <c r="G23" s="88">
        <f t="shared" si="1"/>
        <v>18</v>
      </c>
      <c r="H23" s="79"/>
      <c r="I23" s="79"/>
      <c r="J23" s="55"/>
    </row>
    <row r="24" spans="1:12" ht="16" customHeight="1">
      <c r="A24" s="79"/>
      <c r="B24" s="79"/>
      <c r="C24" s="93" t="s">
        <v>45</v>
      </c>
      <c r="D24" s="94" t="s">
        <v>47</v>
      </c>
      <c r="E24" s="84">
        <v>0</v>
      </c>
      <c r="F24" s="85">
        <v>0</v>
      </c>
      <c r="G24" s="88">
        <f t="shared" si="1"/>
        <v>0</v>
      </c>
      <c r="H24" s="79"/>
      <c r="I24" s="79"/>
      <c r="J24" s="55"/>
    </row>
    <row r="25" spans="1:12" ht="16" customHeight="1">
      <c r="A25" s="112"/>
      <c r="B25" s="79" t="s">
        <v>114</v>
      </c>
      <c r="C25" s="79"/>
      <c r="D25" s="83" t="s">
        <v>115</v>
      </c>
      <c r="E25" s="84">
        <v>1.2</v>
      </c>
      <c r="F25" s="85">
        <v>80.31</v>
      </c>
      <c r="G25" s="88">
        <f>E25*F25</f>
        <v>96.372</v>
      </c>
      <c r="H25" s="79"/>
      <c r="I25" s="79"/>
      <c r="J25" s="55"/>
    </row>
    <row r="26" spans="1:12" ht="16" customHeight="1">
      <c r="A26" s="112"/>
      <c r="B26" s="79" t="s">
        <v>116</v>
      </c>
      <c r="C26" s="79"/>
      <c r="D26" s="83" t="s">
        <v>115</v>
      </c>
      <c r="E26" s="84">
        <v>1.8</v>
      </c>
      <c r="F26" s="85">
        <v>179.95</v>
      </c>
      <c r="G26" s="88">
        <f>E26*F26</f>
        <v>323.90999999999997</v>
      </c>
      <c r="H26" s="79"/>
      <c r="I26" s="79"/>
      <c r="J26" s="55"/>
    </row>
    <row r="27" spans="1:12" ht="16" customHeight="1">
      <c r="A27" s="79"/>
      <c r="B27" s="79" t="s">
        <v>80</v>
      </c>
      <c r="C27" s="79"/>
      <c r="D27" s="83" t="s">
        <v>5</v>
      </c>
      <c r="E27" s="84">
        <v>900</v>
      </c>
      <c r="F27" s="85">
        <v>1.35</v>
      </c>
      <c r="G27" s="88">
        <f>E27*F27</f>
        <v>1215</v>
      </c>
      <c r="H27" s="79"/>
      <c r="I27" s="79"/>
      <c r="J27" s="55"/>
      <c r="K27" s="2"/>
      <c r="L27" s="2"/>
    </row>
    <row r="28" spans="1:12" ht="16" customHeight="1">
      <c r="A28" s="79"/>
      <c r="B28" s="79" t="s">
        <v>94</v>
      </c>
      <c r="C28" s="79"/>
      <c r="D28" s="83" t="s">
        <v>5</v>
      </c>
      <c r="E28" s="84">
        <v>900</v>
      </c>
      <c r="F28" s="85">
        <v>0.25</v>
      </c>
      <c r="G28" s="88">
        <f>E28*F28</f>
        <v>225</v>
      </c>
      <c r="H28" s="79"/>
      <c r="I28" s="79"/>
      <c r="J28" s="55"/>
      <c r="K28" s="2"/>
      <c r="L28" s="2"/>
    </row>
    <row r="29" spans="1:12" ht="16" customHeight="1">
      <c r="A29" s="79"/>
      <c r="B29" s="79" t="s">
        <v>40</v>
      </c>
      <c r="C29" s="79"/>
      <c r="D29" s="83"/>
      <c r="E29" s="90"/>
      <c r="F29" s="79"/>
      <c r="G29" s="88"/>
      <c r="H29" s="79"/>
      <c r="I29" s="79"/>
      <c r="J29" s="55"/>
      <c r="K29" s="2"/>
      <c r="L29" s="2"/>
    </row>
    <row r="30" spans="1:12" ht="16" customHeight="1">
      <c r="A30" s="79"/>
      <c r="B30" s="79"/>
      <c r="C30" s="95" t="s">
        <v>105</v>
      </c>
      <c r="D30" s="83" t="s">
        <v>53</v>
      </c>
      <c r="E30" s="96">
        <f>F67</f>
        <v>3.8459999999999996</v>
      </c>
      <c r="F30" s="85">
        <v>18</v>
      </c>
      <c r="G30" s="88">
        <f>E30*F30</f>
        <v>69.227999999999994</v>
      </c>
      <c r="H30" s="79"/>
      <c r="I30" s="79"/>
      <c r="J30" s="55"/>
      <c r="K30" s="2"/>
      <c r="L30" s="2"/>
    </row>
    <row r="31" spans="1:12" ht="16" customHeight="1">
      <c r="A31" s="79"/>
      <c r="B31" s="79"/>
      <c r="C31" s="79" t="s">
        <v>52</v>
      </c>
      <c r="D31" s="83" t="s">
        <v>53</v>
      </c>
      <c r="E31" s="84">
        <v>25</v>
      </c>
      <c r="F31" s="85">
        <v>18</v>
      </c>
      <c r="G31" s="88">
        <f>E31*F31</f>
        <v>450</v>
      </c>
      <c r="H31" s="79"/>
      <c r="I31" s="79"/>
      <c r="J31" s="55"/>
      <c r="K31" s="2"/>
      <c r="L31" s="2"/>
    </row>
    <row r="32" spans="1:12" ht="16" customHeight="1">
      <c r="A32" s="79"/>
      <c r="B32" s="55"/>
      <c r="C32" s="79" t="s">
        <v>82</v>
      </c>
      <c r="D32" s="83" t="s">
        <v>53</v>
      </c>
      <c r="E32" s="84">
        <v>80</v>
      </c>
      <c r="F32" s="85">
        <v>18</v>
      </c>
      <c r="G32" s="88">
        <f>E32*F32</f>
        <v>1440</v>
      </c>
      <c r="H32" s="79"/>
      <c r="I32" s="79"/>
      <c r="J32" s="55"/>
      <c r="K32" s="2"/>
      <c r="L32" s="2"/>
    </row>
    <row r="33" spans="1:12" ht="16" customHeight="1">
      <c r="A33" s="79"/>
      <c r="B33" s="55"/>
      <c r="C33" s="79" t="s">
        <v>95</v>
      </c>
      <c r="D33" s="83" t="s">
        <v>53</v>
      </c>
      <c r="E33" s="84">
        <v>35</v>
      </c>
      <c r="F33" s="85">
        <v>18</v>
      </c>
      <c r="G33" s="88">
        <f>E33*F33</f>
        <v>630</v>
      </c>
      <c r="H33" s="79"/>
      <c r="I33" s="79"/>
      <c r="J33" s="55"/>
      <c r="K33" s="2"/>
      <c r="L33" s="2"/>
    </row>
    <row r="34" spans="1:12" ht="16" customHeight="1">
      <c r="A34" s="112"/>
      <c r="B34"/>
      <c r="C34" s="113" t="s">
        <v>117</v>
      </c>
      <c r="D34" s="114" t="s">
        <v>53</v>
      </c>
      <c r="E34" s="115">
        <v>18</v>
      </c>
      <c r="F34" s="116">
        <v>18</v>
      </c>
      <c r="G34" s="117">
        <f t="shared" ref="G34" si="2">E34*F34</f>
        <v>324</v>
      </c>
      <c r="H34" s="79"/>
      <c r="I34" s="79"/>
      <c r="J34" s="55"/>
      <c r="K34" s="2"/>
      <c r="L34" s="2"/>
    </row>
    <row r="35" spans="1:12" ht="16" customHeight="1">
      <c r="A35" s="79"/>
      <c r="B35" s="79"/>
      <c r="C35" s="79" t="s">
        <v>45</v>
      </c>
      <c r="D35" s="83" t="s">
        <v>53</v>
      </c>
      <c r="E35" s="84">
        <v>13</v>
      </c>
      <c r="F35" s="85">
        <v>18</v>
      </c>
      <c r="G35" s="88">
        <f>E35*F35</f>
        <v>234</v>
      </c>
      <c r="H35" s="79"/>
      <c r="I35" s="79"/>
      <c r="J35" s="55"/>
      <c r="K35" s="2"/>
      <c r="L35" s="2"/>
    </row>
    <row r="36" spans="1:12" ht="16" customHeight="1">
      <c r="A36" s="79"/>
      <c r="B36" s="111" t="s">
        <v>54</v>
      </c>
      <c r="C36" s="111"/>
      <c r="D36" s="83" t="s">
        <v>6</v>
      </c>
      <c r="E36" s="90"/>
      <c r="F36" s="92"/>
      <c r="G36" s="88">
        <f>G67</f>
        <v>259.61</v>
      </c>
      <c r="H36" s="79"/>
      <c r="I36" s="79"/>
      <c r="J36" s="55"/>
      <c r="K36" s="2"/>
      <c r="L36" s="2"/>
    </row>
    <row r="37" spans="1:12" ht="16" customHeight="1">
      <c r="A37" s="79"/>
      <c r="B37" s="111" t="s">
        <v>118</v>
      </c>
      <c r="C37" s="111"/>
      <c r="D37" s="83" t="s">
        <v>119</v>
      </c>
      <c r="E37" s="84">
        <v>0</v>
      </c>
      <c r="F37" s="85">
        <v>0</v>
      </c>
      <c r="G37" s="88">
        <f>G68</f>
        <v>0</v>
      </c>
      <c r="H37" s="79"/>
      <c r="I37" s="79"/>
      <c r="J37" s="55"/>
      <c r="K37" s="2"/>
      <c r="L37" s="2"/>
    </row>
    <row r="38" spans="1:12" ht="16" customHeight="1">
      <c r="A38" s="79"/>
      <c r="B38" s="111" t="s">
        <v>55</v>
      </c>
      <c r="C38" s="111"/>
      <c r="D38" s="83" t="s">
        <v>53</v>
      </c>
      <c r="E38" s="84">
        <v>90</v>
      </c>
      <c r="F38" s="85">
        <v>0.49</v>
      </c>
      <c r="G38" s="88">
        <f>E38*F38</f>
        <v>44.1</v>
      </c>
      <c r="H38" s="79"/>
      <c r="I38" s="79"/>
      <c r="J38" s="55"/>
      <c r="K38" s="2"/>
      <c r="L38" s="2"/>
    </row>
    <row r="39" spans="1:12" ht="16" customHeight="1">
      <c r="A39" s="79"/>
      <c r="B39" s="79" t="s">
        <v>56</v>
      </c>
      <c r="C39" s="79"/>
      <c r="D39" s="83" t="s">
        <v>6</v>
      </c>
      <c r="E39" s="90"/>
      <c r="F39" s="92"/>
      <c r="G39" s="88">
        <f>H77</f>
        <v>271.15999999999997</v>
      </c>
      <c r="H39" s="79"/>
      <c r="I39" s="79"/>
      <c r="J39" s="55"/>
      <c r="K39" s="2"/>
      <c r="L39" s="2"/>
    </row>
    <row r="40" spans="1:12" ht="16" customHeight="1">
      <c r="A40" s="79"/>
      <c r="B40" s="79" t="s">
        <v>57</v>
      </c>
      <c r="C40" s="79"/>
      <c r="D40" s="97" t="s">
        <v>30</v>
      </c>
      <c r="E40" s="98">
        <f>G4</f>
        <v>13941</v>
      </c>
      <c r="F40" s="99">
        <v>0.1</v>
      </c>
      <c r="G40" s="88">
        <f>E40*F40</f>
        <v>1394.1000000000001</v>
      </c>
      <c r="H40" s="79"/>
      <c r="I40" s="79"/>
      <c r="J40" s="55"/>
    </row>
    <row r="41" spans="1:12" ht="16" customHeight="1">
      <c r="A41" s="55"/>
      <c r="B41" s="95" t="s">
        <v>31</v>
      </c>
      <c r="C41" s="101"/>
      <c r="D41" s="83" t="s">
        <v>9</v>
      </c>
      <c r="E41" s="84">
        <v>6</v>
      </c>
      <c r="F41" s="102">
        <v>7.7499999999999999E-2</v>
      </c>
      <c r="G41" s="86">
        <f>(SUM(G6:G40))*F41*(E41/12)</f>
        <v>306.24507075000002</v>
      </c>
      <c r="H41" s="79"/>
      <c r="I41" s="79"/>
      <c r="J41" s="55"/>
    </row>
    <row r="42" spans="1:12" ht="16" customHeight="1">
      <c r="A42" s="55"/>
      <c r="B42" s="55"/>
      <c r="C42" s="87" t="s">
        <v>15</v>
      </c>
      <c r="D42" s="83"/>
      <c r="E42" s="103"/>
      <c r="F42" s="79"/>
      <c r="G42" s="88">
        <f>SUM(G6:G41)</f>
        <v>8209.3436707500005</v>
      </c>
      <c r="H42" s="88"/>
      <c r="I42" s="88"/>
      <c r="J42" s="55"/>
    </row>
    <row r="43" spans="1:12" ht="16" customHeight="1">
      <c r="A43" s="55"/>
      <c r="B43" s="89" t="s">
        <v>16</v>
      </c>
      <c r="C43" s="89"/>
      <c r="D43" s="104" t="s">
        <v>3</v>
      </c>
      <c r="E43" s="105"/>
      <c r="F43" s="105"/>
      <c r="G43" s="105" t="s">
        <v>77</v>
      </c>
      <c r="H43" s="82"/>
      <c r="I43" s="82"/>
      <c r="J43" s="55"/>
    </row>
    <row r="44" spans="1:12" ht="16" customHeight="1">
      <c r="A44" s="55"/>
      <c r="B44" s="79" t="s">
        <v>58</v>
      </c>
      <c r="C44" s="79"/>
      <c r="D44" s="83" t="s">
        <v>6</v>
      </c>
      <c r="E44" s="79"/>
      <c r="F44" s="79"/>
      <c r="G44" s="100">
        <v>185</v>
      </c>
      <c r="H44" s="79"/>
      <c r="I44" s="79"/>
      <c r="J44" s="55"/>
    </row>
    <row r="45" spans="1:12" ht="16" customHeight="1">
      <c r="A45" s="55"/>
      <c r="B45" s="79" t="s">
        <v>106</v>
      </c>
      <c r="C45" s="79"/>
      <c r="D45" s="83" t="s">
        <v>6</v>
      </c>
      <c r="E45" s="79"/>
      <c r="F45" s="79"/>
      <c r="G45" s="88">
        <f>H67</f>
        <v>142.92000000000002</v>
      </c>
      <c r="H45" s="79"/>
      <c r="I45" s="79"/>
      <c r="J45" s="55"/>
    </row>
    <row r="46" spans="1:12" s="138" customFormat="1" ht="16" customHeight="1">
      <c r="A46" s="126"/>
      <c r="B46" s="141" t="s">
        <v>107</v>
      </c>
      <c r="C46" s="141"/>
      <c r="D46" s="142" t="s">
        <v>6</v>
      </c>
      <c r="E46" s="141"/>
      <c r="F46" s="141"/>
      <c r="G46" s="143">
        <f>E77</f>
        <v>251.16000000000003</v>
      </c>
      <c r="H46" s="126"/>
      <c r="I46" s="126"/>
      <c r="J46" s="140"/>
    </row>
    <row r="47" spans="1:12" ht="16" customHeight="1">
      <c r="A47" s="55"/>
      <c r="B47" s="55"/>
      <c r="C47" s="87" t="s">
        <v>17</v>
      </c>
      <c r="D47" s="55"/>
      <c r="E47" s="79"/>
      <c r="F47" s="79"/>
      <c r="G47" s="88">
        <f>SUM(G44:G46)</f>
        <v>579.08000000000004</v>
      </c>
      <c r="H47" s="79"/>
      <c r="I47" s="79"/>
      <c r="J47" s="55"/>
    </row>
    <row r="48" spans="1:12" ht="16" customHeight="1">
      <c r="A48" s="55"/>
      <c r="B48" s="57"/>
      <c r="C48" s="87" t="s">
        <v>10</v>
      </c>
      <c r="D48" s="57"/>
      <c r="E48" s="79"/>
      <c r="F48" s="79"/>
      <c r="G48" s="88">
        <f>G42+G47</f>
        <v>8788.4236707500004</v>
      </c>
      <c r="H48" s="88"/>
      <c r="I48" s="88"/>
      <c r="J48" s="55"/>
    </row>
    <row r="49" spans="1:10" ht="16" customHeight="1">
      <c r="A49" s="55"/>
      <c r="B49" s="118" t="s">
        <v>18</v>
      </c>
      <c r="C49" s="118"/>
      <c r="D49" s="118"/>
      <c r="E49" s="106"/>
      <c r="F49" s="106"/>
      <c r="G49" s="107">
        <f>G4-G42</f>
        <v>5731.6563292499995</v>
      </c>
      <c r="H49" s="88"/>
      <c r="I49" s="88"/>
      <c r="J49" s="55"/>
    </row>
    <row r="50" spans="1:10" ht="16" customHeight="1">
      <c r="A50" s="55"/>
      <c r="B50" s="120" t="s">
        <v>120</v>
      </c>
      <c r="C50" s="120"/>
      <c r="D50" s="120"/>
      <c r="E50" s="79"/>
      <c r="F50" s="79"/>
      <c r="G50" s="88">
        <f>(G4-(G42-(G44+SUM(G30:G35))))</f>
        <v>9063.8843292499987</v>
      </c>
      <c r="H50" s="88"/>
      <c r="I50" s="88"/>
      <c r="J50" s="55"/>
    </row>
    <row r="51" spans="1:10" ht="16" customHeight="1" thickBot="1">
      <c r="A51" s="55"/>
      <c r="B51" s="119" t="s">
        <v>11</v>
      </c>
      <c r="C51" s="119"/>
      <c r="D51" s="119"/>
      <c r="E51" s="108"/>
      <c r="F51" s="108"/>
      <c r="G51" s="109">
        <f>G4-G48</f>
        <v>5152.5763292499996</v>
      </c>
      <c r="H51" s="88"/>
      <c r="I51" s="88"/>
      <c r="J51" s="55"/>
    </row>
    <row r="52" spans="1:10" ht="16" thickTop="1">
      <c r="A52" s="55"/>
      <c r="B52" s="159" t="s">
        <v>108</v>
      </c>
      <c r="C52" s="159"/>
      <c r="D52" s="159"/>
      <c r="E52" s="159"/>
      <c r="F52" s="159"/>
      <c r="G52" s="159"/>
      <c r="H52" s="110"/>
      <c r="I52" s="110"/>
      <c r="J52" s="55"/>
    </row>
    <row r="53" spans="1:10" ht="16" customHeight="1">
      <c r="A53" s="55"/>
      <c r="B53" s="158" t="s">
        <v>109</v>
      </c>
      <c r="C53" s="158"/>
      <c r="D53" s="158"/>
      <c r="E53" s="158"/>
      <c r="F53" s="158"/>
      <c r="G53" s="158"/>
      <c r="H53" s="55"/>
      <c r="I53" s="55"/>
      <c r="J53" s="55"/>
    </row>
    <row r="54" spans="1:10" ht="16" customHeight="1">
      <c r="A54" s="55"/>
      <c r="B54" s="55"/>
      <c r="C54" s="56"/>
      <c r="D54" s="55"/>
      <c r="E54" s="55"/>
      <c r="F54" s="55"/>
      <c r="G54" s="55"/>
      <c r="H54" s="55"/>
      <c r="I54" s="55"/>
      <c r="J54" s="55"/>
    </row>
    <row r="55" spans="1:10" ht="16" customHeight="1">
      <c r="A55" s="55"/>
      <c r="B55" s="139" t="s">
        <v>128</v>
      </c>
      <c r="C55" s="57"/>
      <c r="D55" s="57"/>
      <c r="E55" s="57"/>
      <c r="F55" s="58"/>
      <c r="G55" s="58"/>
      <c r="H55" s="57"/>
      <c r="I55" s="55"/>
      <c r="J55" s="55"/>
    </row>
    <row r="56" spans="1:10" ht="16" customHeight="1">
      <c r="A56" s="55"/>
      <c r="B56" s="55"/>
      <c r="C56" s="55" t="s">
        <v>59</v>
      </c>
      <c r="D56" s="55" t="s">
        <v>68</v>
      </c>
      <c r="E56" s="59" t="s">
        <v>60</v>
      </c>
      <c r="F56" s="60" t="s">
        <v>40</v>
      </c>
      <c r="G56" s="60" t="s">
        <v>110</v>
      </c>
      <c r="H56" s="59" t="s">
        <v>111</v>
      </c>
      <c r="I56" s="59"/>
      <c r="J56" s="55"/>
    </row>
    <row r="57" spans="1:10" ht="16" customHeight="1">
      <c r="A57" s="55"/>
      <c r="B57" s="57"/>
      <c r="C57" s="57"/>
      <c r="D57" s="57"/>
      <c r="E57" s="57"/>
      <c r="F57" s="61" t="s">
        <v>74</v>
      </c>
      <c r="G57" s="61" t="s">
        <v>61</v>
      </c>
      <c r="H57" s="62" t="s">
        <v>61</v>
      </c>
      <c r="I57" s="121"/>
      <c r="J57" s="55"/>
    </row>
    <row r="58" spans="1:10" ht="16" customHeight="1">
      <c r="A58" s="55"/>
      <c r="B58" s="55"/>
      <c r="C58" s="63" t="s">
        <v>96</v>
      </c>
      <c r="D58" s="63" t="s">
        <v>62</v>
      </c>
      <c r="E58" s="63">
        <v>1</v>
      </c>
      <c r="F58" s="64">
        <v>0.22</v>
      </c>
      <c r="G58" s="64">
        <v>6.12</v>
      </c>
      <c r="H58" s="65">
        <v>2.76</v>
      </c>
      <c r="I58" s="128"/>
      <c r="J58" s="55"/>
    </row>
    <row r="59" spans="1:10" ht="16" customHeight="1">
      <c r="A59" s="55"/>
      <c r="B59" s="55"/>
      <c r="C59" s="63" t="s">
        <v>63</v>
      </c>
      <c r="D59" s="63" t="s">
        <v>62</v>
      </c>
      <c r="E59" s="63">
        <v>2</v>
      </c>
      <c r="F59" s="66">
        <v>0.19800000000000001</v>
      </c>
      <c r="G59" s="67">
        <v>12.02</v>
      </c>
      <c r="H59" s="67">
        <v>3.68</v>
      </c>
      <c r="I59" s="125"/>
      <c r="J59" s="55"/>
    </row>
    <row r="60" spans="1:10" ht="16" customHeight="1">
      <c r="A60" s="55"/>
      <c r="B60" s="55"/>
      <c r="C60" s="63" t="s">
        <v>81</v>
      </c>
      <c r="D60" s="63" t="s">
        <v>62</v>
      </c>
      <c r="E60" s="63">
        <v>1</v>
      </c>
      <c r="F60" s="63">
        <v>0.08</v>
      </c>
      <c r="G60" s="68">
        <v>1.93</v>
      </c>
      <c r="H60" s="68">
        <v>0.83</v>
      </c>
      <c r="I60" s="129"/>
      <c r="J60" s="55"/>
    </row>
    <row r="61" spans="1:10" ht="16" customHeight="1">
      <c r="A61" s="55"/>
      <c r="B61" s="55"/>
      <c r="C61" s="63" t="s">
        <v>97</v>
      </c>
      <c r="D61" s="63" t="s">
        <v>62</v>
      </c>
      <c r="E61" s="63">
        <v>1</v>
      </c>
      <c r="F61" s="63">
        <v>0.21</v>
      </c>
      <c r="G61" s="68">
        <v>7.44</v>
      </c>
      <c r="H61" s="68">
        <v>3.7</v>
      </c>
      <c r="I61" s="129"/>
      <c r="J61" s="55"/>
    </row>
    <row r="62" spans="1:10" ht="16" customHeight="1">
      <c r="A62" s="55"/>
      <c r="B62" s="55"/>
      <c r="C62" s="63" t="s">
        <v>98</v>
      </c>
      <c r="D62" s="63" t="s">
        <v>62</v>
      </c>
      <c r="E62" s="63">
        <v>1</v>
      </c>
      <c r="F62" s="69">
        <v>1.47</v>
      </c>
      <c r="G62" s="64">
        <v>44.15</v>
      </c>
      <c r="H62" s="67">
        <v>20.38</v>
      </c>
      <c r="I62" s="125"/>
      <c r="J62" s="55"/>
    </row>
    <row r="63" spans="1:10" ht="16" customHeight="1">
      <c r="A63" s="55"/>
      <c r="B63" s="55"/>
      <c r="C63" s="63" t="s">
        <v>99</v>
      </c>
      <c r="D63" s="63" t="s">
        <v>62</v>
      </c>
      <c r="E63" s="63">
        <v>1</v>
      </c>
      <c r="F63" s="66">
        <v>0.19</v>
      </c>
      <c r="G63" s="67">
        <v>5.35</v>
      </c>
      <c r="H63" s="67">
        <v>2.5299999999999998</v>
      </c>
      <c r="I63" s="125"/>
      <c r="J63" s="55"/>
    </row>
    <row r="64" spans="1:10" ht="16" customHeight="1">
      <c r="A64" s="55"/>
      <c r="B64" s="55"/>
      <c r="C64" s="63" t="s">
        <v>100</v>
      </c>
      <c r="D64" s="63" t="s">
        <v>62</v>
      </c>
      <c r="E64" s="63">
        <v>4</v>
      </c>
      <c r="F64" s="66">
        <v>0.25</v>
      </c>
      <c r="G64" s="67">
        <v>39.6</v>
      </c>
      <c r="H64" s="67">
        <v>24.46</v>
      </c>
      <c r="I64" s="125"/>
      <c r="J64" s="55"/>
    </row>
    <row r="65" spans="1:11" ht="16" customHeight="1">
      <c r="A65" s="55"/>
      <c r="B65" s="55"/>
      <c r="C65" s="63" t="s">
        <v>101</v>
      </c>
      <c r="D65" s="63" t="s">
        <v>62</v>
      </c>
      <c r="E65" s="63">
        <v>1</v>
      </c>
      <c r="F65" s="66">
        <v>0.19</v>
      </c>
      <c r="G65" s="67">
        <v>10.31</v>
      </c>
      <c r="H65" s="67">
        <v>6.81</v>
      </c>
      <c r="I65" s="125"/>
      <c r="J65" s="55"/>
    </row>
    <row r="66" spans="1:11" ht="16" customHeight="1">
      <c r="A66" s="55"/>
      <c r="B66" s="57"/>
      <c r="C66" s="70" t="s">
        <v>102</v>
      </c>
      <c r="D66" s="70" t="s">
        <v>62</v>
      </c>
      <c r="E66" s="70">
        <v>1</v>
      </c>
      <c r="F66" s="71">
        <v>0.09</v>
      </c>
      <c r="G66" s="72">
        <v>1.87</v>
      </c>
      <c r="H66" s="72">
        <v>0.71</v>
      </c>
      <c r="I66" s="125"/>
      <c r="J66" s="55"/>
    </row>
    <row r="67" spans="1:11" ht="16" customHeight="1">
      <c r="A67" s="55"/>
      <c r="B67" s="55"/>
      <c r="C67" s="55"/>
      <c r="D67" s="55"/>
      <c r="E67" s="59" t="s">
        <v>72</v>
      </c>
      <c r="F67" s="73">
        <f>SUMPRODUCT($E$58:$E$66,F58:F66)</f>
        <v>3.8459999999999996</v>
      </c>
      <c r="G67" s="74">
        <f>SUMPRODUCT($E$58:$E$66,G58:G66)</f>
        <v>259.61</v>
      </c>
      <c r="H67" s="74">
        <f>SUMPRODUCT($E$58:$E$66,H58:H66)</f>
        <v>142.92000000000002</v>
      </c>
      <c r="I67" s="74"/>
      <c r="J67" s="55"/>
    </row>
    <row r="68" spans="1:11" ht="16" customHeight="1">
      <c r="A68" s="55"/>
      <c r="B68" s="55"/>
      <c r="C68" s="75" t="s">
        <v>112</v>
      </c>
      <c r="D68" s="55"/>
      <c r="E68" s="55"/>
      <c r="F68" s="73"/>
      <c r="G68" s="74"/>
      <c r="H68" s="74"/>
      <c r="I68" s="74"/>
      <c r="J68" s="55"/>
    </row>
    <row r="69" spans="1:11" ht="16" customHeight="1">
      <c r="A69" s="55"/>
      <c r="B69" s="55"/>
      <c r="C69" s="75" t="s">
        <v>113</v>
      </c>
      <c r="D69" s="55"/>
      <c r="E69" s="55"/>
      <c r="F69" s="73"/>
      <c r="G69" s="74"/>
      <c r="H69" s="74"/>
      <c r="I69" s="74"/>
      <c r="J69" s="55"/>
    </row>
    <row r="70" spans="1:11" ht="16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</row>
    <row r="71" spans="1:11" ht="16" customHeight="1">
      <c r="A71" s="55"/>
      <c r="B71" s="57" t="s">
        <v>78</v>
      </c>
      <c r="C71" s="57"/>
      <c r="D71" s="55"/>
      <c r="E71" s="55"/>
      <c r="F71" s="55"/>
      <c r="G71" s="55"/>
      <c r="H71" s="55"/>
      <c r="I71" s="55"/>
      <c r="J71" s="55"/>
    </row>
    <row r="72" spans="1:11" ht="32.5" customHeight="1">
      <c r="A72" s="55"/>
      <c r="B72" s="55"/>
      <c r="C72" s="55" t="s">
        <v>59</v>
      </c>
      <c r="D72" s="76" t="s">
        <v>69</v>
      </c>
      <c r="E72" s="124" t="s">
        <v>124</v>
      </c>
      <c r="F72" s="77" t="s">
        <v>71</v>
      </c>
      <c r="G72" s="77" t="s">
        <v>70</v>
      </c>
      <c r="H72" s="77" t="s">
        <v>73</v>
      </c>
      <c r="I72" s="77" t="s">
        <v>64</v>
      </c>
      <c r="J72" s="59"/>
      <c r="K72" s="55"/>
    </row>
    <row r="73" spans="1:11" ht="16" customHeight="1">
      <c r="A73" s="55"/>
      <c r="B73" s="57"/>
      <c r="C73" s="57"/>
      <c r="D73" s="62" t="s">
        <v>65</v>
      </c>
      <c r="E73" s="62" t="s">
        <v>125</v>
      </c>
      <c r="F73" s="62" t="s">
        <v>66</v>
      </c>
      <c r="G73" s="62" t="s">
        <v>67</v>
      </c>
      <c r="H73" s="62" t="s">
        <v>9</v>
      </c>
      <c r="I73" s="62" t="s">
        <v>9</v>
      </c>
      <c r="J73" s="121"/>
      <c r="K73" s="55"/>
    </row>
    <row r="74" spans="1:11" ht="16" customHeight="1">
      <c r="A74" s="55"/>
      <c r="B74" s="55"/>
      <c r="C74" s="55" t="s">
        <v>127</v>
      </c>
      <c r="D74" s="65">
        <v>3029</v>
      </c>
      <c r="E74" s="133">
        <v>0.2</v>
      </c>
      <c r="F74" s="134">
        <v>5</v>
      </c>
      <c r="G74" s="135">
        <v>0</v>
      </c>
      <c r="H74" s="133">
        <v>0.04</v>
      </c>
      <c r="I74" s="136">
        <v>7.7499999999999999E-2</v>
      </c>
      <c r="J74" s="121"/>
      <c r="K74" s="55"/>
    </row>
    <row r="75" spans="1:11" ht="16" customHeight="1">
      <c r="A75" s="55"/>
      <c r="B75" s="55"/>
      <c r="C75" s="55" t="s">
        <v>121</v>
      </c>
      <c r="D75" s="65">
        <v>400</v>
      </c>
      <c r="E75" s="133">
        <v>1</v>
      </c>
      <c r="F75" s="134">
        <v>5</v>
      </c>
      <c r="G75" s="135">
        <v>0</v>
      </c>
      <c r="H75" s="133">
        <v>0</v>
      </c>
      <c r="I75" s="136">
        <v>7.7499999999999999E-2</v>
      </c>
      <c r="J75" s="121"/>
      <c r="K75" s="55"/>
    </row>
    <row r="76" spans="1:11" ht="16" customHeight="1">
      <c r="A76" s="55"/>
      <c r="B76" s="57"/>
      <c r="C76" s="122" t="s">
        <v>122</v>
      </c>
      <c r="D76" s="72">
        <v>30000</v>
      </c>
      <c r="E76" s="130">
        <v>0.05</v>
      </c>
      <c r="F76" s="70">
        <v>30</v>
      </c>
      <c r="G76" s="123">
        <v>0</v>
      </c>
      <c r="H76" s="131">
        <v>0.01</v>
      </c>
      <c r="I76" s="132">
        <v>7.7499999999999999E-2</v>
      </c>
      <c r="J76" s="127"/>
      <c r="K76" s="55"/>
    </row>
    <row r="77" spans="1:11" ht="16" customHeight="1">
      <c r="A77" s="55"/>
      <c r="B77" s="55"/>
      <c r="C77" s="55" t="s">
        <v>123</v>
      </c>
      <c r="D77" s="125"/>
      <c r="E77" s="125">
        <f>((D74*E74)/F74+(D75*E75)/F75+(D76*E76)/F76)</f>
        <v>251.16000000000003</v>
      </c>
      <c r="F77" s="126"/>
      <c r="G77" s="127"/>
      <c r="H77" s="137">
        <f>((D74+(D74*G74)/2))*H74+((D75+(D75*G75)/2))*H75+((D76+(D76*G76))/2)*H76</f>
        <v>271.15999999999997</v>
      </c>
      <c r="I77" s="127"/>
      <c r="J77" s="127"/>
      <c r="K77" s="55"/>
    </row>
    <row r="78" spans="1:11" ht="30.5" customHeight="1">
      <c r="A78" s="55"/>
      <c r="B78" s="55"/>
      <c r="C78" s="157" t="s">
        <v>126</v>
      </c>
      <c r="D78" s="157"/>
      <c r="E78" s="157"/>
      <c r="F78" s="157"/>
      <c r="G78" s="157"/>
      <c r="H78" s="157"/>
      <c r="I78" s="157"/>
      <c r="J78" s="55"/>
    </row>
    <row r="79" spans="1:11" hidden="1">
      <c r="A79" s="55"/>
      <c r="B79" s="55"/>
      <c r="C79" s="55"/>
      <c r="D79" s="55"/>
      <c r="E79" s="55"/>
      <c r="F79" s="55"/>
      <c r="G79" s="55"/>
      <c r="H79" s="55"/>
      <c r="I79" s="55"/>
      <c r="J79" s="55"/>
    </row>
    <row r="80" spans="1:11" hidden="1">
      <c r="A80" s="55"/>
      <c r="B80" s="55"/>
      <c r="C80" s="55"/>
      <c r="D80" s="55"/>
      <c r="E80" s="55"/>
      <c r="F80" s="55"/>
      <c r="G80" s="55"/>
      <c r="H80" s="55"/>
      <c r="I80" s="55"/>
      <c r="J80" s="55"/>
    </row>
    <row r="81" spans="1:10" hidden="1">
      <c r="A81" s="55"/>
      <c r="B81" s="55"/>
      <c r="C81" s="55"/>
      <c r="D81" s="55"/>
      <c r="E81" s="55"/>
      <c r="F81" s="55"/>
      <c r="G81" s="55"/>
      <c r="H81" s="55"/>
      <c r="I81" s="55"/>
      <c r="J81" s="55"/>
    </row>
    <row r="82" spans="1:10" hidden="1">
      <c r="A82" s="55"/>
      <c r="B82" s="55"/>
      <c r="C82" s="55"/>
      <c r="D82" s="55"/>
      <c r="E82" s="55"/>
      <c r="F82" s="55"/>
      <c r="G82" s="55"/>
      <c r="H82" s="55"/>
      <c r="I82" s="55"/>
      <c r="J82" s="55"/>
    </row>
    <row r="83" spans="1:10" hidden="1">
      <c r="A83" s="55"/>
      <c r="B83" s="55"/>
      <c r="C83" s="55"/>
      <c r="D83" s="55"/>
      <c r="E83" s="55"/>
      <c r="F83" s="55"/>
      <c r="G83" s="55"/>
      <c r="H83" s="55"/>
      <c r="I83" s="55"/>
      <c r="J83" s="55"/>
    </row>
    <row r="84" spans="1:10" hidden="1">
      <c r="A84" s="55"/>
      <c r="B84" s="55"/>
      <c r="C84" s="55"/>
      <c r="D84" s="55"/>
      <c r="E84" s="55"/>
      <c r="F84" s="55"/>
      <c r="G84" s="55"/>
      <c r="H84" s="55"/>
      <c r="I84" s="55"/>
      <c r="J84" s="55"/>
    </row>
    <row r="85" spans="1:10" hidden="1">
      <c r="A85" s="55"/>
      <c r="B85" s="55"/>
      <c r="C85" s="55"/>
      <c r="D85" s="55"/>
      <c r="E85" s="55"/>
      <c r="F85" s="55"/>
      <c r="G85" s="55"/>
      <c r="H85" s="55"/>
      <c r="I85" s="55"/>
      <c r="J85" s="55"/>
    </row>
    <row r="86" spans="1:10" hidden="1">
      <c r="A86" s="55"/>
      <c r="B86" s="55"/>
      <c r="C86" s="55"/>
      <c r="D86" s="55"/>
      <c r="E86" s="55"/>
      <c r="F86" s="55"/>
      <c r="G86" s="55"/>
      <c r="H86" s="55"/>
      <c r="I86" s="55"/>
      <c r="J86" s="55"/>
    </row>
    <row r="87" spans="1:10" hidden="1">
      <c r="A87" s="55"/>
      <c r="B87" s="55"/>
      <c r="C87" s="55"/>
      <c r="D87" s="55"/>
      <c r="E87" s="55"/>
      <c r="F87" s="55"/>
      <c r="G87" s="55"/>
      <c r="H87" s="55"/>
      <c r="I87" s="55"/>
      <c r="J87" s="55"/>
    </row>
    <row r="88" spans="1:10"/>
  </sheetData>
  <protectedRanges>
    <protectedRange sqref="C23:D24" name="Fungicide chemical names"/>
    <protectedRange sqref="E23:F28" name="Fungicide price and quantity block"/>
    <protectedRange sqref="F40" name="Marketing"/>
    <protectedRange sqref="E37:F38" name="Irrigation costs"/>
    <protectedRange sqref="E31:E35" name="Labor hours"/>
    <protectedRange sqref="F30:F35" name="Labor"/>
    <protectedRange sqref="E6:F6" name="Plants"/>
    <protectedRange sqref="E8:F13" name="Fertilizer pq"/>
    <protectedRange sqref="E6:F6" name="Range4"/>
    <protectedRange sqref="E3:F3" name="Sales"/>
    <protectedRange sqref="E41:F41" name="interest on operating capital"/>
    <protectedRange sqref="G44" name="land"/>
    <protectedRange sqref="C58:H66" name="Table 1"/>
    <protectedRange sqref="D74:I76" name="Table 2"/>
  </protectedRanges>
  <mergeCells count="4">
    <mergeCell ref="C78:I78"/>
    <mergeCell ref="B53:G53"/>
    <mergeCell ref="B52:G52"/>
    <mergeCell ref="B1:G1"/>
  </mergeCells>
  <conditionalFormatting sqref="E2">
    <cfRule type="expression" dxfId="3" priority="2">
      <formula>#REF!="no"</formula>
    </cfRule>
  </conditionalFormatting>
  <conditionalFormatting sqref="E5">
    <cfRule type="expression" dxfId="2" priority="1">
      <formula>#REF!="no"</formula>
    </cfRule>
  </conditionalFormatting>
  <hyperlinks>
    <hyperlink ref="B53:G53" r:id="rId1" display="Access online at muext.us/MissouriAgBudgets. " xr:uid="{B5FABBEC-3CA2-4F86-911E-45FB42CC7429}"/>
  </hyperlinks>
  <pageMargins left="0.7" right="0.7" top="0.75" bottom="0.75" header="0.3" footer="0.3"/>
  <pageSetup scale="81" orientation="portrait" r:id="rId2"/>
  <ignoredErrors>
    <ignoredError sqref="E30 E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6"/>
  <sheetViews>
    <sheetView workbookViewId="0">
      <selection activeCell="L14" sqref="L14"/>
    </sheetView>
  </sheetViews>
  <sheetFormatPr defaultColWidth="0" defaultRowHeight="14.5" zeroHeight="1"/>
  <cols>
    <col min="1" max="1" width="3" customWidth="1"/>
    <col min="2" max="2" width="8.5" customWidth="1"/>
    <col min="3" max="3" width="10" customWidth="1"/>
    <col min="4" max="4" width="10.33203125" customWidth="1"/>
    <col min="5" max="5" width="11.83203125" customWidth="1"/>
    <col min="6" max="6" width="9.6640625" bestFit="1" customWidth="1"/>
    <col min="7" max="7" width="9" bestFit="1" customWidth="1"/>
    <col min="8" max="8" width="9.83203125" customWidth="1"/>
    <col min="9" max="9" width="11" customWidth="1"/>
    <col min="10" max="10" width="10" bestFit="1" customWidth="1"/>
    <col min="11" max="11" width="10" customWidth="1"/>
    <col min="12" max="12" width="3" customWidth="1"/>
    <col min="13" max="16384" width="8.5" hidden="1"/>
  </cols>
  <sheetData>
    <row r="1" spans="1:12" ht="16">
      <c r="A1" s="5"/>
      <c r="B1" s="163" t="s">
        <v>132</v>
      </c>
      <c r="C1" s="163"/>
      <c r="D1" s="163"/>
      <c r="E1" s="163"/>
      <c r="F1" s="163"/>
      <c r="G1" s="163"/>
      <c r="H1" s="163"/>
      <c r="I1" s="163"/>
      <c r="J1" s="163"/>
      <c r="K1" s="163"/>
      <c r="L1" s="5"/>
    </row>
    <row r="2" spans="1:12" ht="34" customHeight="1">
      <c r="A2" s="5"/>
      <c r="B2" s="172" t="s">
        <v>131</v>
      </c>
      <c r="C2" s="173"/>
      <c r="D2" s="173"/>
      <c r="E2" s="173"/>
      <c r="F2" s="173"/>
      <c r="G2" s="173"/>
      <c r="H2" s="173"/>
      <c r="I2" s="173"/>
      <c r="J2" s="173"/>
      <c r="K2" s="173"/>
      <c r="L2" s="5"/>
    </row>
    <row r="3" spans="1:12" ht="16.5" customHeight="1">
      <c r="A3" s="5"/>
      <c r="B3" s="22"/>
      <c r="C3" s="23"/>
      <c r="D3" s="34"/>
      <c r="E3" s="168" t="s">
        <v>129</v>
      </c>
      <c r="F3" s="168"/>
      <c r="G3" s="168"/>
      <c r="H3" s="168"/>
      <c r="I3" s="168"/>
      <c r="J3" s="168"/>
      <c r="K3" s="169"/>
      <c r="L3" s="5"/>
    </row>
    <row r="4" spans="1:12" ht="16.5" customHeight="1">
      <c r="A4" s="5"/>
      <c r="B4" s="24"/>
      <c r="C4" s="25"/>
      <c r="D4" s="35"/>
      <c r="E4" s="26" t="s">
        <v>29</v>
      </c>
      <c r="F4" s="26" t="s">
        <v>28</v>
      </c>
      <c r="G4" s="26" t="s">
        <v>24</v>
      </c>
      <c r="H4" s="26" t="s">
        <v>22</v>
      </c>
      <c r="I4" s="26" t="s">
        <v>20</v>
      </c>
      <c r="J4" s="26" t="s">
        <v>26</v>
      </c>
      <c r="K4" s="27" t="s">
        <v>27</v>
      </c>
      <c r="L4" s="5"/>
    </row>
    <row r="5" spans="1:12" ht="16.5" customHeight="1">
      <c r="A5" s="5"/>
      <c r="B5" s="36"/>
      <c r="C5" s="37"/>
      <c r="D5" s="12"/>
      <c r="E5" s="13">
        <f>H5*70%</f>
        <v>630</v>
      </c>
      <c r="F5" s="13">
        <f>H5*80%</f>
        <v>720</v>
      </c>
      <c r="G5" s="13">
        <f>H5*90%</f>
        <v>810</v>
      </c>
      <c r="H5" s="144">
        <f>Budget!E3</f>
        <v>900</v>
      </c>
      <c r="I5" s="13">
        <f>H5*110%</f>
        <v>990.00000000000011</v>
      </c>
      <c r="J5" s="13">
        <f>H5*120%</f>
        <v>1080</v>
      </c>
      <c r="K5" s="29">
        <f>H5*130%</f>
        <v>1170</v>
      </c>
      <c r="L5" s="5"/>
    </row>
    <row r="6" spans="1:12" ht="16.5" customHeight="1">
      <c r="A6" s="5"/>
      <c r="B6" s="165" t="s">
        <v>130</v>
      </c>
      <c r="C6" s="30" t="s">
        <v>25</v>
      </c>
      <c r="D6" s="20">
        <f>D9*85%</f>
        <v>13.166499999999999</v>
      </c>
      <c r="E6" s="38">
        <f>(D6*$E$5)-Budget!$G$48</f>
        <v>-493.52867075000177</v>
      </c>
      <c r="F6" s="39">
        <f>(D6*$F$5)-Budget!$G$48</f>
        <v>691.45632924999882</v>
      </c>
      <c r="G6" s="39">
        <f>(D6*$G$5)-Budget!$G$48</f>
        <v>1876.4413292499994</v>
      </c>
      <c r="H6" s="39">
        <f>(D6*$H$5)-Budget!$G$48</f>
        <v>3061.4263292499982</v>
      </c>
      <c r="I6" s="39">
        <f>(D6*$I$5)-Budget!$G$48</f>
        <v>4246.4113292500006</v>
      </c>
      <c r="J6" s="39">
        <f>(D6*$J$5)-Budget!$G$48</f>
        <v>5431.3963292499993</v>
      </c>
      <c r="K6" s="40">
        <f>(D6*$K$5)-Budget!$G$48</f>
        <v>6616.3813292499981</v>
      </c>
      <c r="L6" s="5"/>
    </row>
    <row r="7" spans="1:12" ht="16.5" customHeight="1">
      <c r="A7" s="5"/>
      <c r="B7" s="165"/>
      <c r="C7" s="30" t="s">
        <v>24</v>
      </c>
      <c r="D7" s="20">
        <f>D9*90%</f>
        <v>13.941000000000001</v>
      </c>
      <c r="E7" s="41">
        <f>(D7*$E$5)-Budget!$G$48</f>
        <v>-5.5936707500004559</v>
      </c>
      <c r="F7" s="42">
        <f>(D7*$F$5)-Budget!$G$48</f>
        <v>1249.0963292500001</v>
      </c>
      <c r="G7" s="42">
        <f>(D7*$G$5)-Budget!$G$48</f>
        <v>2503.7863292500006</v>
      </c>
      <c r="H7" s="42">
        <f>(D7*$H$5)-Budget!$G$48</f>
        <v>3758.4763292500011</v>
      </c>
      <c r="I7" s="42">
        <f>(D7*$I$5)-Budget!$G$48</f>
        <v>5013.1663292500016</v>
      </c>
      <c r="J7" s="42">
        <f>(D7*$J$5)-Budget!$G$48</f>
        <v>6267.8563292500003</v>
      </c>
      <c r="K7" s="43">
        <f>(D7*$K$5)-Budget!$G$48</f>
        <v>7522.5463292500008</v>
      </c>
      <c r="L7" s="5"/>
    </row>
    <row r="8" spans="1:12" ht="16.5" customHeight="1" thickBot="1">
      <c r="A8" s="5"/>
      <c r="B8" s="165"/>
      <c r="C8" s="31" t="s">
        <v>23</v>
      </c>
      <c r="D8" s="20">
        <f>D9*0.95</f>
        <v>14.715499999999999</v>
      </c>
      <c r="E8" s="41">
        <f>(D8*$E$5)-Budget!$G$48</f>
        <v>482.34132924999903</v>
      </c>
      <c r="F8" s="42">
        <f>(D8*$F$5)-Budget!$G$48</f>
        <v>1806.7363292499995</v>
      </c>
      <c r="G8" s="42">
        <f>(D8*$G$5)-Budget!$G$48</f>
        <v>3131.1313292499981</v>
      </c>
      <c r="H8" s="42">
        <f>(D8*$H$5)-Budget!$G$48</f>
        <v>4455.5263292499985</v>
      </c>
      <c r="I8" s="42">
        <f>(D8*$I$5)-Budget!$G$48</f>
        <v>5779.9213292500008</v>
      </c>
      <c r="J8" s="42">
        <f>(D8*$J$5)-Budget!$G$48</f>
        <v>7104.3163292499976</v>
      </c>
      <c r="K8" s="43">
        <f>(D8*$K$5)-Budget!$G$48</f>
        <v>8428.711329249998</v>
      </c>
      <c r="L8" s="5"/>
    </row>
    <row r="9" spans="1:12" ht="16.5" customHeight="1" thickBot="1">
      <c r="A9" s="5"/>
      <c r="B9" s="165"/>
      <c r="C9" s="30" t="s">
        <v>22</v>
      </c>
      <c r="D9" s="145">
        <f>Budget!F3</f>
        <v>15.49</v>
      </c>
      <c r="E9" s="41">
        <f>(D9*$E$5)-Budget!$G$48</f>
        <v>970.27632925000034</v>
      </c>
      <c r="F9" s="42">
        <f>(D9*$F$5)-Budget!$G$48</f>
        <v>2364.3763292499989</v>
      </c>
      <c r="G9" s="42">
        <f>(D9*$G$5)-Budget!$G$48</f>
        <v>3758.4763292499993</v>
      </c>
      <c r="H9" s="44">
        <f>(D9*$H$5)-Budget!$G$48</f>
        <v>5152.5763292499996</v>
      </c>
      <c r="I9" s="42">
        <f>(D9*$I$5)-Budget!$G$48</f>
        <v>6546.6763292500018</v>
      </c>
      <c r="J9" s="42">
        <f>(D9*$J$5)-Budget!$G$48</f>
        <v>7940.7763292500003</v>
      </c>
      <c r="K9" s="43">
        <f>(D9*$K$5)-Budget!$G$48</f>
        <v>9334.8763292499989</v>
      </c>
      <c r="L9" s="5"/>
    </row>
    <row r="10" spans="1:12" ht="16.5" customHeight="1">
      <c r="A10" s="5"/>
      <c r="B10" s="165"/>
      <c r="C10" s="30" t="s">
        <v>21</v>
      </c>
      <c r="D10" s="20">
        <f>D9*105%</f>
        <v>16.264500000000002</v>
      </c>
      <c r="E10" s="41">
        <f>(D10*$E$5)-Budget!$G$48</f>
        <v>1458.2113292499998</v>
      </c>
      <c r="F10" s="42">
        <f>(D10*$F$5)-Budget!$G$48</f>
        <v>2922.0163292500001</v>
      </c>
      <c r="G10" s="42">
        <f>(D10*$G$5)-Budget!$G$48</f>
        <v>4385.8213292500004</v>
      </c>
      <c r="H10" s="42">
        <f>(D10*$H$5)-Budget!$G$48</f>
        <v>5849.6263292500007</v>
      </c>
      <c r="I10" s="42">
        <f>(D10*$I$5)-Budget!$G$48</f>
        <v>7313.4313292500028</v>
      </c>
      <c r="J10" s="42">
        <f>(D10*$J$5)-Budget!$G$48</f>
        <v>8777.2363292500031</v>
      </c>
      <c r="K10" s="43">
        <f>(D10*$K$5)-Budget!$G$48</f>
        <v>10241.041329250003</v>
      </c>
      <c r="L10" s="5"/>
    </row>
    <row r="11" spans="1:12" ht="16.5" customHeight="1">
      <c r="A11" s="5"/>
      <c r="B11" s="165"/>
      <c r="C11" s="30" t="s">
        <v>20</v>
      </c>
      <c r="D11" s="20">
        <f>D9*110%</f>
        <v>17.039000000000001</v>
      </c>
      <c r="E11" s="41">
        <f>(D11*$E$5)-Budget!$G$48</f>
        <v>1946.1463292500011</v>
      </c>
      <c r="F11" s="42">
        <f>(D11*$F$5)-Budget!$G$48</f>
        <v>3479.6563292500014</v>
      </c>
      <c r="G11" s="42">
        <f>(D11*$G$5)-Budget!$G$48</f>
        <v>5013.1663292500016</v>
      </c>
      <c r="H11" s="42">
        <f>(D11*$H$5)-Budget!$G$48</f>
        <v>6546.6763292500018</v>
      </c>
      <c r="I11" s="42">
        <f>(D11*$I$5)-Budget!$G$48</f>
        <v>8080.1863292500038</v>
      </c>
      <c r="J11" s="42">
        <f>(D11*$J$5)-Budget!$G$48</f>
        <v>9613.6963292500022</v>
      </c>
      <c r="K11" s="43">
        <f>(D11*$K$5)-Budget!$G$48</f>
        <v>11147.206329250001</v>
      </c>
      <c r="L11" s="5"/>
    </row>
    <row r="12" spans="1:12" ht="16.5" customHeight="1">
      <c r="A12" s="5"/>
      <c r="B12" s="166"/>
      <c r="C12" s="32" t="s">
        <v>19</v>
      </c>
      <c r="D12" s="33">
        <f>D9*115%</f>
        <v>17.813499999999998</v>
      </c>
      <c r="E12" s="45">
        <f>(D12*$E$5)-Budget!$G$48</f>
        <v>2434.0813292499988</v>
      </c>
      <c r="F12" s="46">
        <f>(D12*$F$5)-Budget!$G$48</f>
        <v>4037.2963292499971</v>
      </c>
      <c r="G12" s="46">
        <f>(D12*$G$5)-Budget!$G$48</f>
        <v>5640.5113292499973</v>
      </c>
      <c r="H12" s="46">
        <f>(D12*$H$5)-Budget!$G$48</f>
        <v>7243.7263292499974</v>
      </c>
      <c r="I12" s="46">
        <f>(D12*$I$5)-Budget!$G$48</f>
        <v>8846.9413292499976</v>
      </c>
      <c r="J12" s="46">
        <f>(D12*$J$5)-Budget!$G$48</f>
        <v>10450.156329249998</v>
      </c>
      <c r="K12" s="47">
        <f>(D12*$K$5)-Budget!$G$48</f>
        <v>12053.371329249998</v>
      </c>
      <c r="L12" s="5"/>
    </row>
    <row r="13" spans="1:12" s="5" customFormat="1" ht="16.5" customHeight="1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s="5" customFormat="1" ht="16.5" customHeight="1">
      <c r="B14" s="163" t="s">
        <v>133</v>
      </c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2" s="5" customFormat="1" ht="16">
      <c r="B15" s="173" t="s">
        <v>83</v>
      </c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2" ht="16.5" customHeight="1">
      <c r="A16" s="5"/>
      <c r="B16" s="22"/>
      <c r="C16" s="50"/>
      <c r="D16" s="50"/>
      <c r="E16" s="167" t="s">
        <v>2</v>
      </c>
      <c r="F16" s="168"/>
      <c r="G16" s="168"/>
      <c r="H16" s="168"/>
      <c r="I16" s="168"/>
      <c r="J16" s="168"/>
      <c r="K16" s="169"/>
      <c r="L16" s="5"/>
    </row>
    <row r="17" spans="1:12" ht="16.5" customHeight="1">
      <c r="A17" s="5"/>
      <c r="B17" s="28"/>
      <c r="C17" s="11"/>
      <c r="D17" s="14"/>
      <c r="E17" s="48" t="s">
        <v>25</v>
      </c>
      <c r="F17" s="15" t="s">
        <v>24</v>
      </c>
      <c r="G17" s="15" t="s">
        <v>23</v>
      </c>
      <c r="H17" s="15" t="s">
        <v>22</v>
      </c>
      <c r="I17" s="15" t="s">
        <v>21</v>
      </c>
      <c r="J17" s="15" t="s">
        <v>20</v>
      </c>
      <c r="K17" s="49" t="s">
        <v>19</v>
      </c>
      <c r="L17" s="5"/>
    </row>
    <row r="18" spans="1:12" ht="16.5" customHeight="1">
      <c r="A18" s="5"/>
      <c r="B18" s="170" t="s">
        <v>14</v>
      </c>
      <c r="C18" s="16"/>
      <c r="D18" s="17" t="s">
        <v>25</v>
      </c>
      <c r="E18" s="38">
        <f>(Budget!G4*0.85)-(Budget!G42*0.85)-Budget!G47</f>
        <v>4292.8278798625006</v>
      </c>
      <c r="F18" s="39">
        <f>(Budget!G4*0.9)-(Budget!G42*0.85)-Budget!G47</f>
        <v>4989.8778798624999</v>
      </c>
      <c r="G18" s="39">
        <f>(Budget!G4*0.95)-(Budget!G42*0.85)-Budget!G47</f>
        <v>5686.9278798624991</v>
      </c>
      <c r="H18" s="39">
        <f>Budget!G4-(Budget!G42*0.85)-Budget!G47</f>
        <v>6383.9778798625002</v>
      </c>
      <c r="I18" s="39">
        <f>(Budget!G4*1.05)-(Budget!G42*0.85)-Budget!G47</f>
        <v>7081.0278798625013</v>
      </c>
      <c r="J18" s="39">
        <f>(Budget!G4*1.1)-(Budget!G42*0.85)-Budget!G47</f>
        <v>7778.0778798625015</v>
      </c>
      <c r="K18" s="40">
        <f>(Budget!G4*1.15)-(Budget!G42*0.85)-Budget!G47</f>
        <v>8475.1278798625008</v>
      </c>
      <c r="L18" s="5"/>
    </row>
    <row r="19" spans="1:12" ht="16.5" customHeight="1">
      <c r="A19" s="5"/>
      <c r="B19" s="170"/>
      <c r="C19" s="16"/>
      <c r="D19" s="17" t="s">
        <v>24</v>
      </c>
      <c r="E19" s="41">
        <f>(Budget!G4*0.85)-(Budget!G42*0.9)-Budget!G47</f>
        <v>3882.3606963249995</v>
      </c>
      <c r="F19" s="42">
        <f>(Budget!G4*0.9)-(Budget!G42*0.9)-Budget!G47</f>
        <v>4579.4106963249988</v>
      </c>
      <c r="G19" s="42">
        <f>(Budget!G4*0.95)-(Budget!G42*0.9)-Budget!G47</f>
        <v>5276.460696324998</v>
      </c>
      <c r="H19" s="42">
        <f>Budget!G4-(Budget!G42*0.9)-Budget!G47</f>
        <v>5973.5106963249991</v>
      </c>
      <c r="I19" s="42">
        <f>(Budget!G4*1.05)-(Budget!G42*0.9)-Budget!G47</f>
        <v>6670.5606963250002</v>
      </c>
      <c r="J19" s="42">
        <f>(Budget!G4*1.1)-(Budget!G42*0.9)-Budget!G47</f>
        <v>7367.6106963249995</v>
      </c>
      <c r="K19" s="43">
        <f>(Budget!G4*1.15)-(Budget!G42*0.9)-Budget!G47</f>
        <v>8064.6606963249997</v>
      </c>
      <c r="L19" s="5"/>
    </row>
    <row r="20" spans="1:12" ht="16.5" customHeight="1" thickBot="1">
      <c r="A20" s="5"/>
      <c r="B20" s="170"/>
      <c r="C20" s="16"/>
      <c r="D20" s="17" t="s">
        <v>23</v>
      </c>
      <c r="E20" s="41">
        <f>(Budget!G4*0.85)-(Budget!G42*0.95)-Budget!G47</f>
        <v>3471.8935127875002</v>
      </c>
      <c r="F20" s="42">
        <f>(Budget!G4*0.9)-(Budget!G42*0.95)-Budget!G47</f>
        <v>4168.9435127874995</v>
      </c>
      <c r="G20" s="42">
        <f>(Budget!G4*0.95)-(Budget!G42*0.95)-Budget!G47</f>
        <v>4865.9935127874987</v>
      </c>
      <c r="H20" s="42">
        <f>Budget!G4-(Budget!G42*0.95)-Budget!G47</f>
        <v>5563.0435127874998</v>
      </c>
      <c r="I20" s="42">
        <f>(Budget!G4*1.05)-(Budget!G42*0.95)-Budget!G47</f>
        <v>6260.0935127875009</v>
      </c>
      <c r="J20" s="42">
        <f>(Budget!G4*1.1)-(Budget!G42*0.95)-Budget!G47</f>
        <v>6957.1435127875002</v>
      </c>
      <c r="K20" s="43">
        <f>(Budget!G4*1.15)-(Budget!G42*0.95)-Budget!G47</f>
        <v>7654.1935127874985</v>
      </c>
      <c r="L20" s="5"/>
    </row>
    <row r="21" spans="1:12" ht="16.5" customHeight="1" thickBot="1">
      <c r="A21" s="5"/>
      <c r="B21" s="170"/>
      <c r="C21" s="16"/>
      <c r="D21" s="17" t="s">
        <v>22</v>
      </c>
      <c r="E21" s="41">
        <f>(Budget!G4*0.85)-Budget!G42-Budget!GH47</f>
        <v>3640.5063292499999</v>
      </c>
      <c r="F21" s="42">
        <f>(Budget!G4*0.9)-(Budget!G42)-Budget!G47</f>
        <v>3758.4763292499993</v>
      </c>
      <c r="G21" s="42">
        <f>(Budget!G4*0.95)-(Budget!G42)-Budget!G47</f>
        <v>4455.5263292499985</v>
      </c>
      <c r="H21" s="44">
        <f>Budget!G4-(Budget!G42)-Budget!G47</f>
        <v>5152.5763292499996</v>
      </c>
      <c r="I21" s="42">
        <f>(Budget!G4*1.05)-(Budget!G42)-Budget!G47</f>
        <v>5849.6263292500007</v>
      </c>
      <c r="J21" s="42">
        <f>(Budget!G4*1.1)-(Budget!G42)-Budget!G47</f>
        <v>6546.67632925</v>
      </c>
      <c r="K21" s="43">
        <f>(Budget!G4*1.15)-(Budget!G42)-Budget!G47</f>
        <v>7243.7263292499993</v>
      </c>
      <c r="L21" s="5"/>
    </row>
    <row r="22" spans="1:12" ht="16.5" customHeight="1">
      <c r="A22" s="5"/>
      <c r="B22" s="170"/>
      <c r="C22" s="16"/>
      <c r="D22" s="17" t="s">
        <v>21</v>
      </c>
      <c r="E22" s="41">
        <f>(Budget!G4*0.85)-(Budget!G42*1.05)-Budget!G47</f>
        <v>2650.9591457124989</v>
      </c>
      <c r="F22" s="42">
        <f>(Budget!G4*0.9)-(Budget!G42*1.05)-Budget!G47</f>
        <v>3348.0091457124981</v>
      </c>
      <c r="G22" s="42">
        <f>(Budget!G4*0.95)-(Budget!G42*1.05)-Budget!G47</f>
        <v>4045.0591457124974</v>
      </c>
      <c r="H22" s="42">
        <f>Budget!G4-(Budget!G42*1.05)-Budget!G47</f>
        <v>4742.1091457124985</v>
      </c>
      <c r="I22" s="42">
        <f>(Budget!G4*1.05)-(Budget!G42*1.05)-Budget!G47</f>
        <v>5439.1591457124996</v>
      </c>
      <c r="J22" s="42">
        <f>(Budget!G4*1.1)-(Budget!G42*1.05)-Budget!G47</f>
        <v>6136.2091457124989</v>
      </c>
      <c r="K22" s="43">
        <f>(Budget!G4*1.15)-(Budget!G42*1.05)-Budget!G47</f>
        <v>6833.2591457124981</v>
      </c>
      <c r="L22" s="5"/>
    </row>
    <row r="23" spans="1:12" ht="16.5" customHeight="1">
      <c r="A23" s="5"/>
      <c r="B23" s="170"/>
      <c r="C23" s="16"/>
      <c r="D23" s="17" t="s">
        <v>20</v>
      </c>
      <c r="E23" s="41">
        <f>(Budget!G4*0.85)-(Budget!G42*1.1)-Budget!G47</f>
        <v>2240.4919621749996</v>
      </c>
      <c r="F23" s="42">
        <f>(Budget!G4*0.9)-(Budget!G42*1.1)-Budget!G47</f>
        <v>2937.5419621749988</v>
      </c>
      <c r="G23" s="42">
        <f>(Budget!G4*0.95)-(Budget!G42*1.1)-Budget!G47</f>
        <v>3634.5919621749981</v>
      </c>
      <c r="H23" s="42">
        <f>Budget!G4-(Budget!G42*1.1)-Budget!G47</f>
        <v>4331.6419621749992</v>
      </c>
      <c r="I23" s="42">
        <f>(Budget!G4*1.05)-(Budget!G42*1.1)-Budget!G47</f>
        <v>5028.6919621750003</v>
      </c>
      <c r="J23" s="42">
        <f>(Budget!G4*1.1)-(Budget!G42*1.1)-Budget!G47</f>
        <v>5725.7419621749996</v>
      </c>
      <c r="K23" s="43">
        <f>(Budget!G4*1.15)-(Budget!G42*1.1)-Budget!G47</f>
        <v>6422.7919621749988</v>
      </c>
      <c r="L23" s="5"/>
    </row>
    <row r="24" spans="1:12" ht="16.5" customHeight="1">
      <c r="A24" s="5"/>
      <c r="B24" s="171"/>
      <c r="C24" s="51"/>
      <c r="D24" s="52" t="s">
        <v>19</v>
      </c>
      <c r="E24" s="45">
        <f>(Budget!G4*0.85)-(Budget!G42*1.15)-Budget!G47</f>
        <v>1830.0247786375003</v>
      </c>
      <c r="F24" s="46">
        <f>(Budget!G4*0.9)-(Budget!G42*1.15)-Budget!G47</f>
        <v>2527.0747786374995</v>
      </c>
      <c r="G24" s="46">
        <f>(Budget!G4*0.95)-(Budget!G42*1.15)-Budget!G47</f>
        <v>3224.1247786374988</v>
      </c>
      <c r="H24" s="46">
        <f>Budget!G4-(Budget!G42*1.15)-Budget!G47</f>
        <v>3921.1747786374999</v>
      </c>
      <c r="I24" s="46">
        <f>(Budget!G4*1.05)-(Budget!G42*1.15)-Budget!G47</f>
        <v>4618.224778637501</v>
      </c>
      <c r="J24" s="46">
        <f>(Budget!G4*1.1)-(Budget!G42*1.15)-Budget!G47</f>
        <v>5315.2747786375003</v>
      </c>
      <c r="K24" s="47">
        <f>(Budget!G4*1.15)-(Budget!G42*1.15)-Budget!G47</f>
        <v>6012.3247786374995</v>
      </c>
      <c r="L24" s="5"/>
    </row>
    <row r="25" spans="1:12" ht="9" hidden="1" customHeight="1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2" ht="14.5" hidden="1" customHeight="1"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12" ht="32.25" hidden="1" customHeight="1"/>
    <row r="29" spans="1:12" ht="16" hidden="1"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2" ht="16" hidden="1"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2" ht="16" hidden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2" ht="16" hidden="1">
      <c r="G32" s="8"/>
      <c r="H32" s="8"/>
      <c r="I32" s="8"/>
      <c r="J32" s="8"/>
      <c r="K32" s="8"/>
    </row>
    <row r="33" spans="7:11" ht="16" hidden="1">
      <c r="G33" s="8"/>
      <c r="H33" s="8"/>
      <c r="I33" s="8"/>
      <c r="J33" s="8"/>
      <c r="K33" s="8"/>
    </row>
    <row r="34" spans="7:11" ht="16" hidden="1">
      <c r="G34" s="8"/>
      <c r="H34" s="8"/>
      <c r="I34" s="8"/>
      <c r="J34" s="8"/>
      <c r="K34" s="8"/>
    </row>
    <row r="35" spans="7:11" ht="16" hidden="1">
      <c r="G35" s="8"/>
      <c r="H35" s="8"/>
      <c r="I35" s="8"/>
      <c r="J35" s="8"/>
      <c r="K35" s="8"/>
    </row>
    <row r="36" spans="7:11" ht="16" hidden="1">
      <c r="G36" s="8"/>
      <c r="H36" s="8"/>
      <c r="I36" s="8"/>
      <c r="J36" s="8"/>
      <c r="K36" s="8"/>
    </row>
  </sheetData>
  <sheetProtection sheet="1" objects="1" scenarios="1"/>
  <mergeCells count="10">
    <mergeCell ref="B1:K1"/>
    <mergeCell ref="B14:K14"/>
    <mergeCell ref="B29:K29"/>
    <mergeCell ref="B30:K30"/>
    <mergeCell ref="B6:B12"/>
    <mergeCell ref="E16:K16"/>
    <mergeCell ref="B18:B24"/>
    <mergeCell ref="B2:K2"/>
    <mergeCell ref="B15:K15"/>
    <mergeCell ref="E3:K3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a6830-88fc-4660-8252-66421c0ed606">
      <Terms xmlns="http://schemas.microsoft.com/office/infopath/2007/PartnerControls"/>
    </lcf76f155ced4ddcb4097134ff3c332f>
    <TaxCatchAll xmlns="68029b82-de8b-4bb8-a3ab-fd0183ed5d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293EDA749C499D09F25756402A22" ma:contentTypeVersion="18" ma:contentTypeDescription="Create a new document." ma:contentTypeScope="" ma:versionID="5d5302aff14df483c43236a570fa4496">
  <xsd:schema xmlns:xsd="http://www.w3.org/2001/XMLSchema" xmlns:xs="http://www.w3.org/2001/XMLSchema" xmlns:p="http://schemas.microsoft.com/office/2006/metadata/properties" xmlns:ns2="efba6830-88fc-4660-8252-66421c0ed606" xmlns:ns3="68029b82-de8b-4bb8-a3ab-fd0183ed5d77" targetNamespace="http://schemas.microsoft.com/office/2006/metadata/properties" ma:root="true" ma:fieldsID="e4ef6fd8f4a36105861edc94ec9f0e2c" ns2:_="" ns3:_="">
    <xsd:import namespace="efba6830-88fc-4660-8252-66421c0ed606"/>
    <xsd:import namespace="68029b82-de8b-4bb8-a3ab-fd0183ed5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a6830-88fc-4660-8252-66421c0ed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9b82-de8b-4bb8-a3ab-fd0183ed5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8e622-2bdb-4ed5-999f-2e6ceaea9292}" ma:internalName="TaxCatchAll" ma:showField="CatchAllData" ma:web="68029b82-de8b-4bb8-a3ab-fd0183ed5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  <ds:schemaRef ds:uri="efba6830-88fc-4660-8252-66421c0ed606"/>
    <ds:schemaRef ds:uri="68029b82-de8b-4bb8-a3ab-fd0183ed5d77"/>
  </ds:schemaRefs>
</ds:datastoreItem>
</file>

<file path=customXml/itemProps2.xml><?xml version="1.0" encoding="utf-8"?>
<ds:datastoreItem xmlns:ds="http://schemas.openxmlformats.org/officeDocument/2006/customXml" ds:itemID="{D15350D8-FF3A-4783-AB03-34AB286EE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a6830-88fc-4660-8252-66421c0ed606"/>
    <ds:schemaRef ds:uri="68029b82-de8b-4bb8-a3ab-fd0183ed5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Rahe, Mallory</cp:lastModifiedBy>
  <cp:revision/>
  <cp:lastPrinted>2025-08-08T12:53:59Z</cp:lastPrinted>
  <dcterms:created xsi:type="dcterms:W3CDTF">2020-07-30T17:48:44Z</dcterms:created>
  <dcterms:modified xsi:type="dcterms:W3CDTF">2025-10-20T19:24:55Z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0x010100C8E1293EDA749C499D09F25756402A22</vt:lpwstr>
  </property>
  <property fmtid="{D5CDD505-2E9C-101B-9397-08002B2CF9AE}" pid="3" name="MediaServiceImageTags">
    <vt:lpwstr/>
  </property>
</Properties>
</file>