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ailmissouri.sharepoint.com/sites/MUEXTPlantSciences-Ogrp-ABPInternalMaterials/Shared Documents/ABP-Internal/Clare Staley 2025/Blueberry Budget Information/"/>
    </mc:Choice>
  </mc:AlternateContent>
  <xr:revisionPtr revIDLastSave="9" documentId="8_{0C447CFD-0BF8-40D8-AB99-C895803921C2}" xr6:coauthVersionLast="47" xr6:coauthVersionMax="47" xr10:uidLastSave="{C313323A-7ACD-49AF-A8DE-DDC791F04747}"/>
  <bookViews>
    <workbookView xWindow="28680" yWindow="-120" windowWidth="38640" windowHeight="21840" xr2:uid="{50691399-9F51-4DAE-88E6-4D51F075FBD5}"/>
  </bookViews>
  <sheets>
    <sheet name="Introduction" sheetId="3" r:id="rId1"/>
    <sheet name="Budget" sheetId="1" r:id="rId2"/>
    <sheet name="Infrastructure" sheetId="7" r:id="rId3"/>
    <sheet name="Chemicals" sheetId="6" state="hidden" r:id="rId4"/>
    <sheet name="Machinery" sheetId="9" state="hidden" r:id="rId5"/>
    <sheet name="Financial Sensitivity" sheetId="4" r:id="rId6"/>
  </sheets>
  <externalReferences>
    <externalReference r:id="rId7"/>
    <externalReference r:id="rId8"/>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udgetActivities" localSheetId="4">#REF!</definedName>
    <definedName name="BudgetActivities">#REF!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Activities" localSheetId="4">#REF!</definedName>
    <definedName name="CustomActivities">#REF!</definedName>
    <definedName name="customhire2">#REF!,#REF!</definedName>
    <definedName name="CustomImps" localSheetId="4">#REF!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Budget!$B$2:$U$58</definedName>
    <definedName name="_xlnm.Print_Area" localSheetId="4">Machinery!$B$1:$I$43,Machinery!$B$45:$I$49,Machinery!$L$1:$S$18</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s">#REF!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 localSheetId="4">#REF!</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1" l="1"/>
  <c r="Q7" i="1" s="1"/>
  <c r="P35" i="1"/>
  <c r="M35" i="1"/>
  <c r="N25" i="4"/>
  <c r="N24" i="4"/>
  <c r="N23" i="4"/>
  <c r="O16" i="4" l="1"/>
  <c r="Q51" i="1"/>
  <c r="T43" i="1"/>
  <c r="Q43" i="1"/>
  <c r="K43" i="1"/>
  <c r="H43" i="1"/>
  <c r="G31" i="9"/>
  <c r="G30" i="9"/>
  <c r="G28" i="9"/>
  <c r="G26" i="9"/>
  <c r="J38" i="9"/>
  <c r="J39" i="9"/>
  <c r="J43" i="9" s="1"/>
  <c r="J40" i="9"/>
  <c r="J41" i="9"/>
  <c r="J42" i="9"/>
  <c r="J37" i="9"/>
  <c r="J27" i="9"/>
  <c r="J28" i="9"/>
  <c r="J29" i="9"/>
  <c r="J30" i="9"/>
  <c r="J31" i="9"/>
  <c r="J26" i="9"/>
  <c r="J32" i="9" s="1"/>
  <c r="J15" i="9"/>
  <c r="J16" i="9"/>
  <c r="J21" i="9" s="1"/>
  <c r="J17" i="9"/>
  <c r="J18" i="9"/>
  <c r="J19" i="9"/>
  <c r="J20" i="9"/>
  <c r="J10" i="9"/>
  <c r="J5" i="9"/>
  <c r="J6" i="9"/>
  <c r="J7" i="9"/>
  <c r="J8" i="9"/>
  <c r="J9" i="9"/>
  <c r="J4" i="9"/>
  <c r="G4" i="9"/>
  <c r="E26" i="9"/>
  <c r="G31" i="1"/>
  <c r="N53" i="1"/>
  <c r="N52" i="1"/>
  <c r="T51" i="1"/>
  <c r="S41" i="1"/>
  <c r="T41" i="1" s="1"/>
  <c r="P41" i="1"/>
  <c r="Q41" i="1" s="1"/>
  <c r="J41" i="1"/>
  <c r="K41" i="1" s="1"/>
  <c r="T42" i="1"/>
  <c r="Q42" i="1"/>
  <c r="N40" i="1"/>
  <c r="N42" i="1"/>
  <c r="K40" i="1"/>
  <c r="K42" i="1"/>
  <c r="H42" i="1"/>
  <c r="H44" i="1"/>
  <c r="G41" i="1"/>
  <c r="H41" i="1" s="1"/>
  <c r="G19" i="9"/>
  <c r="G15" i="9"/>
  <c r="E7" i="9"/>
  <c r="G7" i="9" s="1"/>
  <c r="H8" i="9"/>
  <c r="H9" i="9"/>
  <c r="H7" i="9"/>
  <c r="H19" i="9"/>
  <c r="H20" i="9"/>
  <c r="H18" i="9"/>
  <c r="H30" i="9"/>
  <c r="H31" i="9"/>
  <c r="H29" i="9"/>
  <c r="H41" i="9"/>
  <c r="H42" i="9"/>
  <c r="H40" i="9"/>
  <c r="E41" i="9"/>
  <c r="E42" i="9"/>
  <c r="E40" i="9"/>
  <c r="G40" i="9" s="1"/>
  <c r="I40" i="9" s="1"/>
  <c r="E31" i="9"/>
  <c r="E8" i="9"/>
  <c r="E9" i="9"/>
  <c r="E19" i="9"/>
  <c r="E20" i="9"/>
  <c r="E18" i="9"/>
  <c r="E30" i="9"/>
  <c r="E29" i="9"/>
  <c r="F31" i="9"/>
  <c r="F30" i="9"/>
  <c r="F29" i="9"/>
  <c r="F19" i="9"/>
  <c r="F20" i="9"/>
  <c r="F18" i="9"/>
  <c r="F9" i="9"/>
  <c r="F8" i="9"/>
  <c r="F7" i="9"/>
  <c r="F6" i="9"/>
  <c r="F5" i="9"/>
  <c r="E4" i="9"/>
  <c r="H6" i="1"/>
  <c r="H5" i="1"/>
  <c r="K6" i="1"/>
  <c r="K5" i="1"/>
  <c r="N6" i="1"/>
  <c r="N5" i="1"/>
  <c r="G38" i="9"/>
  <c r="G41" i="9"/>
  <c r="I41" i="9" s="1"/>
  <c r="G37" i="9"/>
  <c r="I37" i="9" s="1"/>
  <c r="T10" i="1"/>
  <c r="T11" i="1"/>
  <c r="T12" i="1"/>
  <c r="T13" i="1"/>
  <c r="T15" i="1"/>
  <c r="T16" i="1"/>
  <c r="T17" i="1"/>
  <c r="T18" i="1"/>
  <c r="T19" i="1"/>
  <c r="T14" i="1"/>
  <c r="T21" i="1"/>
  <c r="T22" i="1"/>
  <c r="T23" i="1"/>
  <c r="T25" i="1"/>
  <c r="T29" i="1"/>
  <c r="T36" i="1"/>
  <c r="T37" i="1"/>
  <c r="T38" i="1"/>
  <c r="T39" i="1"/>
  <c r="T6" i="1"/>
  <c r="Q10" i="1"/>
  <c r="Q11" i="1"/>
  <c r="Q12" i="1"/>
  <c r="Q13" i="1"/>
  <c r="Q15" i="1"/>
  <c r="Q16" i="1"/>
  <c r="Q17" i="1"/>
  <c r="Q18" i="1"/>
  <c r="Q19" i="1"/>
  <c r="Q14" i="1"/>
  <c r="Q21" i="1"/>
  <c r="Q22" i="1"/>
  <c r="Q23" i="1"/>
  <c r="Q25" i="1"/>
  <c r="Q29" i="1"/>
  <c r="Q36" i="1"/>
  <c r="Q37" i="1"/>
  <c r="Q38" i="1"/>
  <c r="Q39" i="1"/>
  <c r="N25" i="1"/>
  <c r="N10" i="1"/>
  <c r="N11" i="1"/>
  <c r="N12" i="1"/>
  <c r="N13" i="1"/>
  <c r="N15" i="1"/>
  <c r="N16" i="1"/>
  <c r="N17" i="1"/>
  <c r="N18" i="1"/>
  <c r="N19" i="1"/>
  <c r="N14" i="1"/>
  <c r="N21" i="1"/>
  <c r="N22" i="1"/>
  <c r="N23" i="1"/>
  <c r="N29" i="1"/>
  <c r="N36" i="1"/>
  <c r="N37" i="1"/>
  <c r="N38" i="1"/>
  <c r="N39" i="1"/>
  <c r="K10" i="1"/>
  <c r="K11" i="1"/>
  <c r="K12" i="1"/>
  <c r="K13" i="1"/>
  <c r="K15" i="1"/>
  <c r="K16" i="1"/>
  <c r="K17" i="1"/>
  <c r="K18" i="1"/>
  <c r="K19" i="1"/>
  <c r="K21" i="1"/>
  <c r="K22" i="1"/>
  <c r="K23" i="1"/>
  <c r="K25" i="1"/>
  <c r="K29" i="1"/>
  <c r="K36" i="1"/>
  <c r="K37" i="1"/>
  <c r="K38" i="1"/>
  <c r="K39" i="1"/>
  <c r="K45" i="1"/>
  <c r="H9" i="1"/>
  <c r="H10" i="1"/>
  <c r="H11" i="1"/>
  <c r="H12" i="1"/>
  <c r="H13" i="1"/>
  <c r="H15" i="1"/>
  <c r="H16" i="1"/>
  <c r="H17" i="1"/>
  <c r="H18" i="1"/>
  <c r="H19" i="1"/>
  <c r="H14" i="1"/>
  <c r="H21" i="1"/>
  <c r="H22" i="1"/>
  <c r="H23" i="1"/>
  <c r="H25" i="1"/>
  <c r="H29" i="1"/>
  <c r="H36" i="1"/>
  <c r="H37" i="1"/>
  <c r="H38" i="1"/>
  <c r="H39" i="1"/>
  <c r="H40" i="1"/>
  <c r="H45" i="1"/>
  <c r="B42" i="9"/>
  <c r="B40" i="9"/>
  <c r="F40" i="9"/>
  <c r="B31" i="9"/>
  <c r="B29" i="9"/>
  <c r="B20" i="9"/>
  <c r="B18" i="9"/>
  <c r="B9" i="9"/>
  <c r="B7" i="9"/>
  <c r="M16" i="9"/>
  <c r="G29" i="9" s="1"/>
  <c r="I29" i="9" s="1"/>
  <c r="M17" i="9"/>
  <c r="M27" i="1"/>
  <c r="M28" i="1"/>
  <c r="M26" i="1"/>
  <c r="S32" i="1"/>
  <c r="P32" i="1"/>
  <c r="R5" i="4"/>
  <c r="P31" i="1"/>
  <c r="N18" i="4"/>
  <c r="N19" i="4"/>
  <c r="N20" i="4"/>
  <c r="N21" i="4"/>
  <c r="N22" i="4"/>
  <c r="N17" i="4"/>
  <c r="N15" i="4"/>
  <c r="N14" i="4"/>
  <c r="N13" i="4"/>
  <c r="N12" i="4"/>
  <c r="P5" i="4"/>
  <c r="R3" i="4" s="1"/>
  <c r="S34" i="1"/>
  <c r="N43" i="1" l="1"/>
  <c r="K7" i="1"/>
  <c r="N7" i="1"/>
  <c r="O12" i="4" s="1"/>
  <c r="H7" i="1"/>
  <c r="G39" i="9"/>
  <c r="G9" i="9"/>
  <c r="G18" i="9"/>
  <c r="I18" i="9" s="1"/>
  <c r="J44" i="9"/>
  <c r="G16" i="9"/>
  <c r="G27" i="9"/>
  <c r="G17" i="9"/>
  <c r="G42" i="9"/>
  <c r="G20" i="9"/>
  <c r="I20" i="9" s="1"/>
  <c r="G5" i="9"/>
  <c r="G6" i="9"/>
  <c r="J11" i="9"/>
  <c r="J22" i="9"/>
  <c r="G32" i="9"/>
  <c r="I19" i="9"/>
  <c r="G8" i="9"/>
  <c r="I8" i="9" s="1"/>
  <c r="I9" i="9"/>
  <c r="I30" i="9"/>
  <c r="I7" i="9"/>
  <c r="O22" i="4"/>
  <c r="O13" i="4"/>
  <c r="O21" i="4"/>
  <c r="O23" i="4"/>
  <c r="O15" i="4"/>
  <c r="J9" i="1"/>
  <c r="O19" i="4"/>
  <c r="O18" i="4"/>
  <c r="O20" i="4"/>
  <c r="O17" i="4"/>
  <c r="O25" i="4"/>
  <c r="O14" i="4"/>
  <c r="O24" i="4"/>
  <c r="S28" i="1"/>
  <c r="S27" i="1"/>
  <c r="K9" i="1" l="1"/>
  <c r="J14" i="1"/>
  <c r="K14" i="1" s="1"/>
  <c r="P33" i="1"/>
  <c r="S33" i="1"/>
  <c r="M33" i="1"/>
  <c r="D5" i="7"/>
  <c r="M9" i="1"/>
  <c r="N9" i="1" s="1"/>
  <c r="S5" i="1"/>
  <c r="S40" i="1" s="1"/>
  <c r="T40" i="1" s="1"/>
  <c r="P5" i="1"/>
  <c r="S35" i="1"/>
  <c r="S31" i="1" s="1"/>
  <c r="H26" i="9"/>
  <c r="H15" i="9"/>
  <c r="P40" i="1" l="1"/>
  <c r="Q40" i="1" s="1"/>
  <c r="Q5" i="1"/>
  <c r="E20" i="1"/>
  <c r="N20" i="1" l="1"/>
  <c r="K20" i="1"/>
  <c r="Q20" i="1"/>
  <c r="T20" i="1"/>
  <c r="H20" i="1"/>
  <c r="V34" i="9"/>
  <c r="E15" i="7" l="1"/>
  <c r="K15" i="7" s="1"/>
  <c r="E16" i="7"/>
  <c r="K16" i="7" s="1"/>
  <c r="E14" i="7"/>
  <c r="I14" i="7" s="1"/>
  <c r="E24" i="1"/>
  <c r="P27" i="1"/>
  <c r="P28" i="1"/>
  <c r="P26" i="1"/>
  <c r="E27" i="1"/>
  <c r="E28" i="1"/>
  <c r="C19" i="6"/>
  <c r="B19" i="6"/>
  <c r="B18" i="6"/>
  <c r="C18" i="6"/>
  <c r="B17" i="6"/>
  <c r="C17" i="6"/>
  <c r="I4" i="6"/>
  <c r="I5" i="6"/>
  <c r="I6" i="6"/>
  <c r="I7" i="6"/>
  <c r="I8" i="6"/>
  <c r="I9" i="6"/>
  <c r="I10" i="6"/>
  <c r="I11" i="6"/>
  <c r="I12" i="6"/>
  <c r="I13" i="6"/>
  <c r="I3" i="6"/>
  <c r="Q27" i="1" l="1"/>
  <c r="Q24" i="1"/>
  <c r="T24" i="1"/>
  <c r="H24" i="1"/>
  <c r="K24" i="1"/>
  <c r="N24" i="1"/>
  <c r="K27" i="1"/>
  <c r="H27" i="1"/>
  <c r="N27" i="1"/>
  <c r="T27" i="1"/>
  <c r="H28" i="1"/>
  <c r="K28" i="1"/>
  <c r="N28" i="1"/>
  <c r="T28" i="1"/>
  <c r="Q28" i="1"/>
  <c r="H14" i="7"/>
  <c r="K14" i="7"/>
  <c r="I15" i="7"/>
  <c r="H15" i="7"/>
  <c r="I16" i="7"/>
  <c r="H16" i="7"/>
  <c r="S26" i="1"/>
  <c r="E26" i="1"/>
  <c r="S9" i="1"/>
  <c r="T9" i="1" s="1"/>
  <c r="P9" i="1"/>
  <c r="Q9" i="1" s="1"/>
  <c r="D17" i="6"/>
  <c r="D18" i="6"/>
  <c r="D19" i="6"/>
  <c r="H39" i="9"/>
  <c r="F39" i="9"/>
  <c r="E39" i="9"/>
  <c r="B39" i="9"/>
  <c r="H38" i="9"/>
  <c r="F38" i="9"/>
  <c r="E38" i="9"/>
  <c r="B38" i="9"/>
  <c r="H37" i="9"/>
  <c r="F37" i="9"/>
  <c r="E37" i="9"/>
  <c r="B37" i="9"/>
  <c r="H28" i="9"/>
  <c r="F28" i="9"/>
  <c r="E28" i="9"/>
  <c r="B28" i="9"/>
  <c r="H27" i="9"/>
  <c r="F27" i="9"/>
  <c r="E27" i="9"/>
  <c r="B27" i="9"/>
  <c r="F26" i="9"/>
  <c r="B26" i="9"/>
  <c r="H17" i="9"/>
  <c r="F17" i="9"/>
  <c r="E17" i="9"/>
  <c r="B17" i="9"/>
  <c r="H16" i="9"/>
  <c r="F16" i="9"/>
  <c r="E16" i="9"/>
  <c r="B16" i="9"/>
  <c r="F15" i="9"/>
  <c r="E15" i="9"/>
  <c r="B15" i="9"/>
  <c r="H6" i="9"/>
  <c r="E6" i="9"/>
  <c r="B6" i="9"/>
  <c r="H5" i="9"/>
  <c r="E5" i="9"/>
  <c r="B5" i="9"/>
  <c r="H4" i="9"/>
  <c r="F4" i="9"/>
  <c r="B4" i="9"/>
  <c r="E5" i="7"/>
  <c r="J35" i="1"/>
  <c r="J31" i="1" s="1"/>
  <c r="E13" i="7"/>
  <c r="E12" i="7"/>
  <c r="E6" i="7"/>
  <c r="H6" i="7" s="1"/>
  <c r="D9" i="4"/>
  <c r="D8" i="4" s="1"/>
  <c r="T53" i="1"/>
  <c r="Q53" i="1"/>
  <c r="K53" i="1"/>
  <c r="H53" i="1"/>
  <c r="T52" i="1"/>
  <c r="Q52" i="1"/>
  <c r="K52" i="1"/>
  <c r="H52" i="1"/>
  <c r="H26" i="1" l="1"/>
  <c r="K26" i="1"/>
  <c r="N26" i="1"/>
  <c r="Q26" i="1"/>
  <c r="T26" i="1"/>
  <c r="Q45" i="1"/>
  <c r="O10" i="4"/>
  <c r="E33" i="1"/>
  <c r="E31" i="1"/>
  <c r="E32" i="1"/>
  <c r="E35" i="1"/>
  <c r="K35" i="1" s="1"/>
  <c r="E30" i="1"/>
  <c r="E34" i="1"/>
  <c r="O11" i="4"/>
  <c r="H32" i="9"/>
  <c r="N51" i="1" s="1"/>
  <c r="T5" i="1"/>
  <c r="T7" i="1" s="1"/>
  <c r="H5" i="4"/>
  <c r="I5" i="4" s="1"/>
  <c r="H43" i="9"/>
  <c r="E43" i="9"/>
  <c r="F10" i="9"/>
  <c r="E32" i="9"/>
  <c r="E21" i="9"/>
  <c r="H10" i="9"/>
  <c r="H51" i="1" s="1"/>
  <c r="H21" i="9"/>
  <c r="K51" i="1" s="1"/>
  <c r="F43" i="9"/>
  <c r="E10" i="9"/>
  <c r="F21" i="9"/>
  <c r="F32" i="9"/>
  <c r="M41" i="1" s="1"/>
  <c r="N41" i="1" s="1"/>
  <c r="K6" i="7"/>
  <c r="I6" i="7"/>
  <c r="D6" i="4"/>
  <c r="I13" i="7"/>
  <c r="H13" i="7"/>
  <c r="I5" i="7"/>
  <c r="H5" i="7"/>
  <c r="H7" i="7" s="1"/>
  <c r="K5" i="7"/>
  <c r="E7" i="7"/>
  <c r="K13" i="7"/>
  <c r="I14" i="6"/>
  <c r="D12" i="4"/>
  <c r="D7" i="4"/>
  <c r="D11" i="4"/>
  <c r="D10" i="4"/>
  <c r="E17" i="7"/>
  <c r="K12" i="7"/>
  <c r="I12" i="7"/>
  <c r="H12" i="7"/>
  <c r="I39" i="9"/>
  <c r="I16" i="9"/>
  <c r="I31" i="9"/>
  <c r="I27" i="9"/>
  <c r="I6" i="9"/>
  <c r="I38" i="9"/>
  <c r="I28" i="9"/>
  <c r="I42" i="9"/>
  <c r="I17" i="9"/>
  <c r="I5" i="9"/>
  <c r="M31" i="1" l="1"/>
  <c r="J33" i="9"/>
  <c r="N49" i="1"/>
  <c r="N31" i="1"/>
  <c r="H31" i="1"/>
  <c r="Q34" i="1"/>
  <c r="T34" i="1"/>
  <c r="N34" i="1"/>
  <c r="K34" i="1"/>
  <c r="H34" i="1"/>
  <c r="H35" i="1"/>
  <c r="Q35" i="1"/>
  <c r="N35" i="1"/>
  <c r="T35" i="1"/>
  <c r="T30" i="1"/>
  <c r="K30" i="1"/>
  <c r="N30" i="1"/>
  <c r="H30" i="1"/>
  <c r="Q30" i="1"/>
  <c r="H33" i="1"/>
  <c r="K33" i="1"/>
  <c r="N33" i="1"/>
  <c r="Q33" i="1"/>
  <c r="T33" i="1"/>
  <c r="N32" i="1"/>
  <c r="K32" i="1"/>
  <c r="H32" i="1"/>
  <c r="Q32" i="1"/>
  <c r="T32" i="1"/>
  <c r="K31" i="1"/>
  <c r="T45" i="1"/>
  <c r="N45" i="1"/>
  <c r="T31" i="1"/>
  <c r="Q31" i="1"/>
  <c r="K49" i="1"/>
  <c r="H49" i="1"/>
  <c r="I17" i="7"/>
  <c r="K17" i="7"/>
  <c r="K7" i="7"/>
  <c r="H17" i="7"/>
  <c r="T49" i="1" s="1"/>
  <c r="I7" i="7"/>
  <c r="N50" i="1" s="1"/>
  <c r="E5" i="4"/>
  <c r="J5" i="4"/>
  <c r="G5" i="4"/>
  <c r="F5" i="4"/>
  <c r="K5" i="4"/>
  <c r="G43" i="9"/>
  <c r="I43" i="9"/>
  <c r="G10" i="9"/>
  <c r="I4" i="9"/>
  <c r="I10" i="9" s="1"/>
  <c r="G21" i="9"/>
  <c r="I15" i="9"/>
  <c r="I21" i="9" s="1"/>
  <c r="I26" i="9"/>
  <c r="I32" i="9" s="1"/>
  <c r="Q49" i="1" l="1"/>
  <c r="N54" i="1"/>
  <c r="Q44" i="1"/>
  <c r="T44" i="1"/>
  <c r="T46" i="1" s="1"/>
  <c r="T47" i="1" s="1"/>
  <c r="T56" i="1" s="1"/>
  <c r="N44" i="1"/>
  <c r="K44" i="1"/>
  <c r="K46" i="1" s="1"/>
  <c r="K47" i="1" s="1"/>
  <c r="K56" i="1" s="1"/>
  <c r="Q50" i="1"/>
  <c r="T50" i="1"/>
  <c r="T54" i="1" s="1"/>
  <c r="H46" i="1"/>
  <c r="N46" i="1"/>
  <c r="Q46" i="1"/>
  <c r="Q47" i="1" s="1"/>
  <c r="Q56" i="1" s="1"/>
  <c r="H50" i="1"/>
  <c r="H54" i="1" s="1"/>
  <c r="K50" i="1"/>
  <c r="K54" i="1" s="1"/>
  <c r="Q54" i="1" l="1"/>
  <c r="Q55" i="1" s="1"/>
  <c r="H47" i="1"/>
  <c r="H56" i="1" s="1"/>
  <c r="N47" i="1"/>
  <c r="N55" i="1" s="1"/>
  <c r="K55" i="1"/>
  <c r="K57" i="1" s="1"/>
  <c r="H55" i="1"/>
  <c r="H57" i="1" s="1"/>
  <c r="K20" i="4"/>
  <c r="E24" i="4"/>
  <c r="E19" i="4"/>
  <c r="E23" i="4"/>
  <c r="F18" i="4"/>
  <c r="E20" i="4"/>
  <c r="H21" i="4"/>
  <c r="K23" i="4"/>
  <c r="I22" i="4"/>
  <c r="K19" i="4"/>
  <c r="F19" i="4"/>
  <c r="K21" i="4"/>
  <c r="K22" i="4"/>
  <c r="H19" i="4"/>
  <c r="G19" i="4"/>
  <c r="F21" i="4"/>
  <c r="J21" i="4"/>
  <c r="I20" i="4"/>
  <c r="J20" i="4"/>
  <c r="K18" i="4"/>
  <c r="H23" i="4"/>
  <c r="I24" i="4"/>
  <c r="G24" i="4"/>
  <c r="K24" i="4"/>
  <c r="H24" i="4"/>
  <c r="J22" i="4"/>
  <c r="F23" i="4"/>
  <c r="J18" i="4"/>
  <c r="J19" i="4"/>
  <c r="I18" i="4"/>
  <c r="E21" i="4"/>
  <c r="J23" i="4"/>
  <c r="G23" i="4"/>
  <c r="G20" i="4"/>
  <c r="G21" i="4"/>
  <c r="G22" i="4"/>
  <c r="T55" i="1"/>
  <c r="I23" i="4"/>
  <c r="E18" i="4"/>
  <c r="F20" i="4"/>
  <c r="H22" i="4"/>
  <c r="H20" i="4"/>
  <c r="G18" i="4"/>
  <c r="I19" i="4"/>
  <c r="H18" i="4"/>
  <c r="E22" i="4"/>
  <c r="F24" i="4"/>
  <c r="F22" i="4"/>
  <c r="I21" i="4"/>
  <c r="J24" i="4"/>
  <c r="N56" i="1" l="1"/>
  <c r="Q57" i="1"/>
  <c r="P16" i="4"/>
  <c r="Q16" i="4" s="1"/>
  <c r="P17" i="4"/>
  <c r="Q17" i="4" s="1"/>
  <c r="P13" i="4"/>
  <c r="Q13" i="4" s="1"/>
  <c r="P14" i="4"/>
  <c r="Q14" i="4" s="1"/>
  <c r="P15" i="4"/>
  <c r="Q15" i="4" s="1"/>
  <c r="N57" i="1"/>
  <c r="P12" i="4"/>
  <c r="Q12" i="4" s="1"/>
  <c r="P10" i="4"/>
  <c r="Q10" i="4" s="1"/>
  <c r="R10" i="4" s="1"/>
  <c r="P20" i="4"/>
  <c r="Q20" i="4" s="1"/>
  <c r="P25" i="4"/>
  <c r="Q25" i="4" s="1"/>
  <c r="P21" i="4"/>
  <c r="Q21" i="4" s="1"/>
  <c r="F8" i="4"/>
  <c r="H11" i="4"/>
  <c r="P11" i="4"/>
  <c r="Q11" i="4" s="1"/>
  <c r="J6" i="4"/>
  <c r="P23" i="4"/>
  <c r="Q23" i="4" s="1"/>
  <c r="P24" i="4"/>
  <c r="Q24" i="4" s="1"/>
  <c r="E9" i="4"/>
  <c r="J11" i="4"/>
  <c r="F11" i="4"/>
  <c r="G8" i="4"/>
  <c r="G9" i="4"/>
  <c r="K6" i="4"/>
  <c r="G11" i="4"/>
  <c r="J10" i="4"/>
  <c r="E12" i="4"/>
  <c r="I7" i="4"/>
  <c r="I8" i="4"/>
  <c r="I11" i="4"/>
  <c r="J9" i="4"/>
  <c r="F9" i="4"/>
  <c r="G6" i="4"/>
  <c r="F10" i="4"/>
  <c r="E6" i="4"/>
  <c r="H8" i="4"/>
  <c r="E8" i="4"/>
  <c r="G7" i="4"/>
  <c r="I12" i="4"/>
  <c r="H10" i="4"/>
  <c r="G10" i="4"/>
  <c r="K12" i="4"/>
  <c r="K10" i="4"/>
  <c r="K9" i="4"/>
  <c r="I10" i="4"/>
  <c r="J7" i="4"/>
  <c r="E11" i="4"/>
  <c r="T57" i="1"/>
  <c r="E7" i="4"/>
  <c r="J8" i="4"/>
  <c r="F6" i="4"/>
  <c r="P19" i="4"/>
  <c r="Q19" i="4" s="1"/>
  <c r="I6" i="4"/>
  <c r="H7" i="4"/>
  <c r="I9" i="4"/>
  <c r="K11" i="4"/>
  <c r="G12" i="4"/>
  <c r="E10" i="4"/>
  <c r="F12" i="4"/>
  <c r="H6" i="4"/>
  <c r="F7" i="4"/>
  <c r="H12" i="4"/>
  <c r="P22" i="4"/>
  <c r="Q22" i="4" s="1"/>
  <c r="K8" i="4"/>
  <c r="H9" i="4"/>
  <c r="J12" i="4"/>
  <c r="K7" i="4"/>
  <c r="P18" i="4"/>
  <c r="Q18" i="4" s="1"/>
  <c r="E39" i="4" l="1"/>
  <c r="R11" i="4"/>
  <c r="R12" i="4" s="1"/>
  <c r="R13" i="4" s="1"/>
  <c r="R14" i="4" s="1"/>
  <c r="R15" i="4" s="1"/>
  <c r="R16" i="4" s="1"/>
  <c r="R17" i="4" s="1"/>
  <c r="R18" i="4" s="1"/>
  <c r="R19" i="4" s="1"/>
  <c r="R20" i="4" s="1"/>
  <c r="R21" i="4" s="1"/>
  <c r="R22" i="4" s="1"/>
  <c r="R23" i="4" s="1"/>
  <c r="R24" i="4" s="1"/>
  <c r="R25" i="4" s="1"/>
  <c r="E38" i="4"/>
  <c r="E3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Staley, Clare (MU-Student)</author>
  </authors>
  <commentList>
    <comment ref="S2" authorId="0" shapeId="0" xr:uid="{B99B6755-FF3A-47D4-852E-A49C7FE5F5C0}">
      <text>
        <r>
          <rPr>
            <b/>
            <sz val="9"/>
            <color indexed="81"/>
            <rFont val="Tahoma"/>
            <family val="2"/>
          </rPr>
          <t>Staley, Clare (MU-Student):</t>
        </r>
        <r>
          <rPr>
            <sz val="9"/>
            <color indexed="81"/>
            <rFont val="Tahoma"/>
            <family val="2"/>
          </rPr>
          <t xml:space="preserve">
Estimate of use commensurate with justifying a new piece of machinery. Hours per year are often higher than a “typical” farm may use. That is ok as it artificially decreases ownership costs on operations with lower use equipment that are likely operating older machinery with little depreciation expense</t>
        </r>
      </text>
    </comment>
  </commentList>
</comments>
</file>

<file path=xl/sharedStrings.xml><?xml version="1.0" encoding="utf-8"?>
<sst xmlns="http://schemas.openxmlformats.org/spreadsheetml/2006/main" count="491" uniqueCount="250">
  <si>
    <t>Updated: 1/2025</t>
  </si>
  <si>
    <t>This worksheet is for educational purposes only and the user assumes all risks associated with its use.</t>
  </si>
  <si>
    <t>Revenue</t>
  </si>
  <si>
    <t>Unit</t>
  </si>
  <si>
    <t>Price
per unit</t>
  </si>
  <si>
    <t xml:space="preserve"> Quantity</t>
  </si>
  <si>
    <t>Dollars 
per acre</t>
  </si>
  <si>
    <t>Dollars
per acre</t>
  </si>
  <si>
    <t>each</t>
  </si>
  <si>
    <t>acre</t>
  </si>
  <si>
    <t>pound</t>
  </si>
  <si>
    <t>feet</t>
  </si>
  <si>
    <t>percent</t>
  </si>
  <si>
    <t>Total costs</t>
  </si>
  <si>
    <t>Return over total costs</t>
  </si>
  <si>
    <t>Net present value of net returns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</si>
  <si>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</si>
  <si>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</si>
  <si>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</si>
  <si>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</si>
  <si>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</si>
  <si>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</si>
  <si>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</si>
  <si>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</si>
  <si>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</si>
  <si>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</si>
  <si>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</si>
  <si>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</si>
  <si>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</si>
  <si>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</si>
  <si>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</si>
  <si>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</si>
  <si>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</si>
  <si>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</si>
  <si>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Required rate of return</t>
  </si>
  <si>
    <t xml:space="preserve">  NPV years 1-10</t>
  </si>
  <si>
    <t xml:space="preserve">  NPV years 1-15</t>
  </si>
  <si>
    <t>Develop a customized budget by adjusting the assumptions in gray cells to match the management practices and expected yields and prices for your farm.</t>
  </si>
  <si>
    <t>hour</t>
  </si>
  <si>
    <t>Year 1  
site preparation</t>
  </si>
  <si>
    <t>Year 2 
planting year</t>
  </si>
  <si>
    <t>gallon</t>
  </si>
  <si>
    <t>ounce</t>
  </si>
  <si>
    <t>Labor</t>
  </si>
  <si>
    <t>Phosphate</t>
  </si>
  <si>
    <t>Potash</t>
  </si>
  <si>
    <t xml:space="preserve">Marketing </t>
  </si>
  <si>
    <t>Fresh berry sales</t>
  </si>
  <si>
    <t>Plants</t>
  </si>
  <si>
    <t>Soil test</t>
  </si>
  <si>
    <t>Oats seed (cover crop)</t>
  </si>
  <si>
    <t>Annual ryegrass (cover crop)</t>
  </si>
  <si>
    <t>Irrigation</t>
  </si>
  <si>
    <t>Interest on operating capital</t>
  </si>
  <si>
    <t>trip</t>
  </si>
  <si>
    <t>Price per pound</t>
  </si>
  <si>
    <t>Peat moss</t>
  </si>
  <si>
    <t>Wood mulch</t>
  </si>
  <si>
    <t>cubic yard</t>
  </si>
  <si>
    <t>Nitrogen</t>
  </si>
  <si>
    <t>Sulfur</t>
  </si>
  <si>
    <t>Explore annual profitability expectations (per acre returns over total costs) under varying yield and price scenarios in full production and holding costs constant. Modify gray cells for further exploration.</t>
  </si>
  <si>
    <t>Blueberry Price and Yield Sensitivity Table</t>
  </si>
  <si>
    <t xml:space="preserve">  NPV years 1-5</t>
  </si>
  <si>
    <t xml:space="preserve">For horticulture expertise, contact: </t>
  </si>
  <si>
    <t>MU Commercial Horticulture Team</t>
  </si>
  <si>
    <t>Timing/stage</t>
  </si>
  <si>
    <t>Chemical name</t>
  </si>
  <si>
    <t>Use</t>
  </si>
  <si>
    <t>Rate guidance</t>
  </si>
  <si>
    <t>Quantity</t>
  </si>
  <si>
    <t>Price/unit</t>
  </si>
  <si>
    <t>Total</t>
  </si>
  <si>
    <t>Activity #</t>
  </si>
  <si>
    <t>Machine</t>
  </si>
  <si>
    <t>Dollars</t>
  </si>
  <si>
    <t>Fungicide</t>
  </si>
  <si>
    <t>Air blast</t>
  </si>
  <si>
    <t>Insecticide</t>
  </si>
  <si>
    <t>Herbicide</t>
  </si>
  <si>
    <t>Assail</t>
  </si>
  <si>
    <t>Imidan</t>
  </si>
  <si>
    <t>Before bud break</t>
  </si>
  <si>
    <t>Weed sprayer</t>
  </si>
  <si>
    <t>Post emergence 1</t>
  </si>
  <si>
    <t>Post emergence 2</t>
  </si>
  <si>
    <t>Roundup WeatherMAX</t>
  </si>
  <si>
    <t xml:space="preserve">10 to 11 ounces </t>
  </si>
  <si>
    <t>Chemicals</t>
  </si>
  <si>
    <t>Plastic bags</t>
  </si>
  <si>
    <t>Item</t>
  </si>
  <si>
    <t>Price per unit</t>
  </si>
  <si>
    <t>Lifespan</t>
  </si>
  <si>
    <t>Salvage value</t>
  </si>
  <si>
    <t>Depreciation</t>
  </si>
  <si>
    <t>Interest</t>
  </si>
  <si>
    <t>Repairs</t>
  </si>
  <si>
    <t>Units</t>
  </si>
  <si>
    <t>Years</t>
  </si>
  <si>
    <t>Percent</t>
  </si>
  <si>
    <t>Irrigation system, dripline, fertigation, well connection</t>
  </si>
  <si>
    <t>High tensile fence for wildlife control</t>
  </si>
  <si>
    <t>cubic foot</t>
  </si>
  <si>
    <t>Table 3. Machinery activities for site preparation year</t>
  </si>
  <si>
    <t>Table 11. Machinery economic calculations per unit</t>
  </si>
  <si>
    <t>Activity (not custom)</t>
  </si>
  <si>
    <t>Fuel</t>
  </si>
  <si>
    <r>
      <t>Operating costs</t>
    </r>
    <r>
      <rPr>
        <b/>
        <vertAlign val="superscript"/>
        <sz val="12"/>
        <color theme="1"/>
        <rFont val="Aptos"/>
        <family val="2"/>
      </rPr>
      <t>1</t>
    </r>
  </si>
  <si>
    <r>
      <t>Ownership costs</t>
    </r>
    <r>
      <rPr>
        <b/>
        <vertAlign val="superscript"/>
        <sz val="12"/>
        <color theme="1"/>
        <rFont val="Aptos"/>
        <family val="2"/>
      </rPr>
      <t>2</t>
    </r>
  </si>
  <si>
    <t>Total
 costs</t>
  </si>
  <si>
    <t>Fuel use</t>
  </si>
  <si>
    <t>Overhead</t>
  </si>
  <si>
    <t>Repair</t>
  </si>
  <si>
    <t>Hours</t>
  </si>
  <si>
    <t xml:space="preserve">Purchase </t>
  </si>
  <si>
    <t>Number</t>
  </si>
  <si>
    <t>Gallons</t>
  </si>
  <si>
    <t>$ per acre</t>
  </si>
  <si>
    <t>per hour</t>
  </si>
  <si>
    <t>per acre</t>
  </si>
  <si>
    <t xml:space="preserve">Price </t>
  </si>
  <si>
    <t>per year</t>
  </si>
  <si>
    <t>Airblast sprayer, 100 gallon; 45 HP MFWD</t>
  </si>
  <si>
    <t>Weed sprayer - pull-type; 45 HP MFWD</t>
  </si>
  <si>
    <t>Spreader - double spinner; 45 HP MFWD</t>
  </si>
  <si>
    <r>
      <t>Total</t>
    </r>
    <r>
      <rPr>
        <vertAlign val="superscript"/>
        <sz val="12"/>
        <color theme="1"/>
        <rFont val="Aptos"/>
        <family val="2"/>
      </rPr>
      <t>3</t>
    </r>
    <r>
      <rPr>
        <sz val="12"/>
        <color theme="1"/>
        <rFont val="Aptos"/>
        <family val="2"/>
      </rPr>
      <t xml:space="preserve"> </t>
    </r>
  </si>
  <si>
    <t>Table 4. Machinery activities for planting year</t>
  </si>
  <si>
    <t>Operator labor</t>
  </si>
  <si>
    <t>Fuel price</t>
  </si>
  <si>
    <t>Table 5. Machinery activities for no production year</t>
  </si>
  <si>
    <t>Table 6. Machinery activities for first production year</t>
  </si>
  <si>
    <r>
      <rPr>
        <vertAlign val="superscript"/>
        <sz val="11"/>
        <color theme="1"/>
        <rFont val="Aptos"/>
        <family val="2"/>
      </rPr>
      <t xml:space="preserve">1 </t>
    </r>
    <r>
      <rPr>
        <sz val="11"/>
        <color theme="1"/>
        <rFont val="Aptos"/>
        <family val="2"/>
      </rPr>
      <t>Machinery operating cost is the sum of fuel, repairs, maintenance, and the value of labor</t>
    </r>
  </si>
  <si>
    <r>
      <rPr>
        <vertAlign val="superscript"/>
        <sz val="11"/>
        <color theme="1"/>
        <rFont val="Aptos"/>
        <family val="2"/>
      </rPr>
      <t xml:space="preserve">2 </t>
    </r>
    <r>
      <rPr>
        <sz val="11"/>
        <color theme="1"/>
        <rFont val="Aptos"/>
        <family val="2"/>
      </rPr>
      <t>Machinery ownership cost is the sum of machinery overhead and depreciation.</t>
    </r>
  </si>
  <si>
    <r>
      <rPr>
        <vertAlign val="superscript"/>
        <sz val="11"/>
        <color theme="1"/>
        <rFont val="Aptos"/>
        <family val="2"/>
      </rPr>
      <t>3</t>
    </r>
    <r>
      <rPr>
        <sz val="11"/>
        <color theme="1"/>
        <rFont val="Aptos"/>
        <family val="2"/>
      </rPr>
      <t xml:space="preserve"> Totals may not sum due to rounding.</t>
    </r>
  </si>
  <si>
    <t>Pruning</t>
  </si>
  <si>
    <t>Fertilizer and soil amendments</t>
  </si>
  <si>
    <t>Mowing</t>
  </si>
  <si>
    <t>Bird deterrant system (audio + kites)</t>
  </si>
  <si>
    <t>Food grade u-pick buckets</t>
  </si>
  <si>
    <t>Supplies</t>
  </si>
  <si>
    <t>Bee rental</t>
  </si>
  <si>
    <t>hive</t>
  </si>
  <si>
    <t>Plant tissue test</t>
  </si>
  <si>
    <t>Cash rent equivalent</t>
  </si>
  <si>
    <t>Depreciation on infrastructure</t>
  </si>
  <si>
    <t>Interest on infrastructure</t>
  </si>
  <si>
    <t>Machinery ownership</t>
  </si>
  <si>
    <t>Other overhead, taxes, insurance</t>
  </si>
  <si>
    <t>Fertilizer/lime</t>
  </si>
  <si>
    <t>(1 pound/plant)</t>
  </si>
  <si>
    <t>preplant</t>
  </si>
  <si>
    <t>mulching</t>
  </si>
  <si>
    <t>Sulforix</t>
  </si>
  <si>
    <t>labeled rate</t>
  </si>
  <si>
    <t>1.0-2.0</t>
  </si>
  <si>
    <t>Cover spray as indicated</t>
  </si>
  <si>
    <t>Pristine</t>
  </si>
  <si>
    <t xml:space="preserve">ounce </t>
  </si>
  <si>
    <t>18.5-23</t>
  </si>
  <si>
    <t>Spotted wing drosophila/JB</t>
  </si>
  <si>
    <t>4.5-5.3</t>
  </si>
  <si>
    <t>Mustang Maxx</t>
  </si>
  <si>
    <t>Delegate</t>
  </si>
  <si>
    <t>3.0-6.0</t>
  </si>
  <si>
    <t>Chemical Plan for Blueberry Production</t>
  </si>
  <si>
    <t>Mallory Rahe, MU Extension</t>
  </si>
  <si>
    <t>Weighing scale</t>
  </si>
  <si>
    <t>Government payment support</t>
  </si>
  <si>
    <t>dollars</t>
  </si>
  <si>
    <t>Fungicides</t>
  </si>
  <si>
    <t>Insecticides</t>
  </si>
  <si>
    <t>Herbicides</t>
  </si>
  <si>
    <t>Chemical Summaries for Budget</t>
  </si>
  <si>
    <t>Total cost</t>
  </si>
  <si>
    <t>Custom hire</t>
  </si>
  <si>
    <t>cubic yards</t>
  </si>
  <si>
    <t>Recommended Quantity (Midpoint)</t>
  </si>
  <si>
    <t>Cold storage (Freezer, convertible to fridge)</t>
  </si>
  <si>
    <t>Cold storage (Fridge, w/ standard top-freezer)</t>
  </si>
  <si>
    <t>Pruners</t>
  </si>
  <si>
    <t>45 HP Used Tractor w/ Canopy</t>
  </si>
  <si>
    <t>Finish mower, 8 ft.; 45 HP MFWD</t>
  </si>
  <si>
    <t>Year</t>
  </si>
  <si>
    <t>Expenses</t>
  </si>
  <si>
    <t>Net income</t>
  </si>
  <si>
    <t>Cumulative returns</t>
  </si>
  <si>
    <t>Year 5</t>
  </si>
  <si>
    <t>Year 10</t>
  </si>
  <si>
    <t>Year 15</t>
  </si>
  <si>
    <t>Year 1</t>
  </si>
  <si>
    <t>Year 2</t>
  </si>
  <si>
    <t>Year 3</t>
  </si>
  <si>
    <t>Year 4</t>
  </si>
  <si>
    <t>Year 6</t>
  </si>
  <si>
    <t>Year 7</t>
  </si>
  <si>
    <t>Year 8</t>
  </si>
  <si>
    <t>Harvest</t>
  </si>
  <si>
    <t>Pounds per acre at full production</t>
  </si>
  <si>
    <t>Year 9</t>
  </si>
  <si>
    <t>Year 11</t>
  </si>
  <si>
    <t>Year 12</t>
  </si>
  <si>
    <t>Year 13</t>
  </si>
  <si>
    <t>Year 14</t>
  </si>
  <si>
    <t xml:space="preserve">U-Pick Blueberry Enterprise Budget for Missouri </t>
  </si>
  <si>
    <t>Revenue per acre</t>
  </si>
  <si>
    <t>Operating costs per acre</t>
  </si>
  <si>
    <t>U-pick Blueberry Enterprise Budget</t>
  </si>
  <si>
    <t>Pine mulch</t>
  </si>
  <si>
    <t>Ph amendment</t>
  </si>
  <si>
    <t>Soil amendment</t>
  </si>
  <si>
    <t>Budget created by: Clare Staley, Mallory Rahe and Patrick Byers</t>
  </si>
  <si>
    <t>For budget questions, contact:</t>
  </si>
  <si>
    <t>Establishment costs</t>
  </si>
  <si>
    <t>Avg Yield Pds/Plant</t>
  </si>
  <si>
    <t>Width between Rows</t>
  </si>
  <si>
    <t>Square feet per plant</t>
  </si>
  <si>
    <t>Plant width within rows</t>
  </si>
  <si>
    <t>Plants per acre</t>
  </si>
  <si>
    <t>Annual Blueberry Operating Costs and Revenue Sensitivity Table - Full Production Years 8-15</t>
  </si>
  <si>
    <t>Explore estimated annual per acre returns over total costs under varying revenue and cost scenarios.</t>
  </si>
  <si>
    <t>Harvest loss</t>
  </si>
  <si>
    <t>Year 16</t>
  </si>
  <si>
    <t>*Adjust price per pound on the budget tab.</t>
  </si>
  <si>
    <t>Price per pound*</t>
  </si>
  <si>
    <t>Orchard planting density</t>
  </si>
  <si>
    <t>Years 4-8 
year after planting</t>
  </si>
  <si>
    <t>Years 9-16
 full production</t>
  </si>
  <si>
    <t>Year 3
no harvest</t>
  </si>
  <si>
    <t>Dollars per acre</t>
  </si>
  <si>
    <t>Barrier installation (custom hire)</t>
  </si>
  <si>
    <t>Landscape Ground Cover</t>
  </si>
  <si>
    <t>Moldboard plow, 9 Ft, 45 HP MFWD</t>
  </si>
  <si>
    <t>Planting</t>
  </si>
  <si>
    <t>Mulch wagon, side delivery, 45 HP MFWD</t>
  </si>
  <si>
    <t>Fescue seed</t>
  </si>
  <si>
    <t>Machinery fuel</t>
  </si>
  <si>
    <t>Repairs and Maintenance</t>
  </si>
  <si>
    <t>Tractor and machinery</t>
  </si>
  <si>
    <t>Infrastructure</t>
  </si>
  <si>
    <t>Table 1. Initial infrastructure investments for one acre</t>
  </si>
  <si>
    <t>Table 2. Blueberry investments for one acre when harvest starts</t>
  </si>
  <si>
    <t>Repair Cost</t>
  </si>
  <si>
    <t>check</t>
  </si>
  <si>
    <t>Check</t>
  </si>
  <si>
    <t>Machinery</t>
  </si>
  <si>
    <t>Establishment to Maturity Estimates Per Acre*</t>
  </si>
  <si>
    <t>*Model assumes all costs and price per pound are constant, only yields vary.</t>
  </si>
  <si>
    <t>tractor ratio</t>
  </si>
  <si>
    <t xml:space="preserve">This budget assumes the grower is establishing a 3-acre system to justify drip irrigation, but models all costs and returns on a per-acre basis. Tractor and machinery costs are based on an assumption that blueberries represent one-third of the farm's production. </t>
  </si>
  <si>
    <t>This budget models 1 acre of u-pick blueberry production with a 4 foot by 12 foot row spacing. We assume growers start preparing the site for planting at least one year in advance, this is year 1. Blueberry bushes are planted in year 2, bear fruit in year 4, achieve full yield potential by year 8, and are exhausted at year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</si>
</sst>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 numFmtId="167" formatCode="0.0%"/>
    <numFmt numFmtId="168" formatCode="_(&quot;$&quot;* #,##0_);_(&quot;$&quot;* \(#,##0\);_(&quot;$&quot;* &quot;-&quot;??_);_(@_)"/>
    <numFmt numFmtId="169" formatCode="&quot;$&quot;#,##0"/>
  </numFmts>
  <fonts count="51" x14ac:knownFonts="1">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b/>
      <sz val="12"/>
      <color theme="1"/>
      <name val="Aptos"/>
      <family val="2"/>
      <scheme val="minor"/>
    </font>
    <font>
      <b/>
      <sz val="12"/>
      <color rgb="FFFDB719"/>
      <name val="Aptos Black"/>
      <family val="2"/>
      <scheme val="major"/>
    </font>
    <font>
      <b/>
      <sz val="1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u/>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u/>
      <sz val="11"/>
      <color theme="10"/>
      <name val="Aptos"/>
      <family val="2"/>
      <scheme val="minor"/>
    </font>
    <font>
      <b/>
      <u/>
      <sz val="12"/>
      <color theme="10"/>
      <name val="Aptos"/>
      <family val="2"/>
      <scheme val="minor"/>
    </font>
    <font>
      <sz val="11"/>
      <color theme="1"/>
      <name val="Aptos"/>
      <family val="2"/>
    </font>
    <font>
      <b/>
      <sz val="18"/>
      <color theme="1"/>
      <name val="Aptos"/>
      <family val="2"/>
    </font>
    <font>
      <b/>
      <sz val="11"/>
      <color theme="1"/>
      <name val="Aptos"/>
      <family val="2"/>
    </font>
    <font>
      <i/>
      <sz val="9"/>
      <color theme="1"/>
      <name val="Aptos"/>
      <family val="2"/>
    </font>
    <font>
      <sz val="12"/>
      <color theme="1"/>
      <name val="Aptos"/>
      <family val="2"/>
    </font>
    <font>
      <b/>
      <sz val="12"/>
      <name val="Aptos"/>
      <family val="2"/>
    </font>
    <font>
      <b/>
      <sz val="12"/>
      <color theme="1"/>
      <name val="Aptos"/>
      <family val="2"/>
    </font>
    <font>
      <b/>
      <u/>
      <sz val="12"/>
      <name val="Aptos"/>
      <family val="2"/>
    </font>
    <font>
      <sz val="11"/>
      <name val="Aptos"/>
      <family val="2"/>
    </font>
    <font>
      <sz val="12"/>
      <name val="Aptos"/>
      <family val="2"/>
    </font>
    <font>
      <b/>
      <vertAlign val="superscript"/>
      <sz val="12"/>
      <color theme="1"/>
      <name val="Aptos"/>
      <family val="2"/>
    </font>
    <font>
      <vertAlign val="superscript"/>
      <sz val="12"/>
      <color theme="1"/>
      <name val="Aptos"/>
      <family val="2"/>
    </font>
    <font>
      <sz val="10"/>
      <color theme="1"/>
      <name val="Aptos"/>
      <family val="2"/>
    </font>
    <font>
      <b/>
      <u/>
      <sz val="12"/>
      <color theme="1"/>
      <name val="Aptos"/>
      <family val="2"/>
      <scheme val="minor"/>
    </font>
    <font>
      <vertAlign val="superscript"/>
      <sz val="11"/>
      <color theme="1"/>
      <name val="Aptos"/>
      <family val="2"/>
    </font>
    <font>
      <b/>
      <sz val="11"/>
      <name val="Aptos"/>
      <family val="2"/>
    </font>
    <font>
      <i/>
      <sz val="9"/>
      <name val="Aptos"/>
      <family val="2"/>
    </font>
    <font>
      <sz val="11"/>
      <name val="Aptos"/>
      <family val="2"/>
      <scheme val="minor"/>
    </font>
    <font>
      <u/>
      <sz val="11"/>
      <name val="Aptos"/>
      <family val="2"/>
      <scheme val="minor"/>
    </font>
    <font>
      <sz val="10"/>
      <name val="Aptos"/>
      <family val="2"/>
      <scheme val="minor"/>
    </font>
    <font>
      <sz val="11"/>
      <name val="Palatino Linotype"/>
      <family val="1"/>
    </font>
    <font>
      <i/>
      <sz val="9"/>
      <name val="Aptos"/>
      <family val="2"/>
      <scheme val="minor"/>
    </font>
    <font>
      <sz val="8"/>
      <name val="Aptos"/>
      <family val="2"/>
      <scheme val="minor"/>
    </font>
    <font>
      <sz val="12"/>
      <color rgb="FFFF0000"/>
      <name val="Aptos"/>
      <family val="2"/>
      <scheme val="minor"/>
    </font>
    <font>
      <b/>
      <sz val="14"/>
      <color theme="7"/>
      <name val="Aptos Black"/>
      <family val="2"/>
      <scheme val="major"/>
    </font>
    <font>
      <b/>
      <sz val="14"/>
      <color rgb="FFF1B82D"/>
      <name val="Aptos Black"/>
      <family val="2"/>
      <scheme val="major"/>
    </font>
    <font>
      <sz val="9"/>
      <color indexed="81"/>
      <name val="Tahoma"/>
      <family val="2"/>
    </font>
    <font>
      <b/>
      <sz val="9"/>
      <color indexed="81"/>
      <name val="Tahoma"/>
      <family val="2"/>
    </font>
  </fonts>
  <fills count="8">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s>
  <borders count="41">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s>
  <cellStyleXfs count="6">
    <xf numFmtId="0" fontId="0" fillId="0" borderId="0"/>
    <xf numFmtId="9" fontId="1" fillId="0" borderId="0" applyFont="0" applyFill="0" applyBorder="0" applyAlignment="0" applyProtection="0"/>
    <xf numFmtId="0" fontId="8" fillId="4" borderId="4" applyNumberFormat="0" applyAlignment="0" applyProtection="0"/>
    <xf numFmtId="0" fontId="1" fillId="0" borderId="0"/>
    <xf numFmtId="44" fontId="1" fillId="0" borderId="0" applyFont="0" applyFill="0" applyBorder="0" applyAlignment="0" applyProtection="0"/>
    <xf numFmtId="0" fontId="21" fillId="0" borderId="0" applyNumberFormat="0" applyFill="0" applyBorder="0" applyAlignment="0" applyProtection="0"/>
  </cellStyleXfs>
  <cellXfs count="344">
    <xf numFmtId="0" fontId="0" fillId="0" borderId="0" xfId="0"/>
    <xf numFmtId="0" fontId="2" fillId="0" borderId="0" xfId="0" applyFont="1"/>
    <xf numFmtId="0" fontId="9" fillId="5" borderId="0" xfId="0" applyFont="1" applyFill="1"/>
    <xf numFmtId="0" fontId="9" fillId="0" borderId="0" xfId="0" applyFont="1"/>
    <xf numFmtId="0" fontId="0" fillId="5" borderId="0" xfId="0" applyFill="1"/>
    <xf numFmtId="0" fontId="3" fillId="5" borderId="0" xfId="0" applyFont="1" applyFill="1" applyAlignment="1">
      <alignment horizontal="left" indent="4"/>
    </xf>
    <xf numFmtId="0" fontId="11" fillId="5" borderId="0" xfId="0" applyFont="1" applyFill="1"/>
    <xf numFmtId="0" fontId="11" fillId="0" borderId="0" xfId="0" applyFont="1"/>
    <xf numFmtId="0" fontId="4" fillId="5" borderId="0" xfId="0" applyFont="1" applyFill="1"/>
    <xf numFmtId="0" fontId="14" fillId="0" borderId="0" xfId="0" applyFont="1"/>
    <xf numFmtId="164" fontId="11" fillId="2" borderId="0" xfId="4" applyNumberFormat="1" applyFont="1" applyFill="1" applyProtection="1">
      <protection locked="0"/>
    </xf>
    <xf numFmtId="166" fontId="11" fillId="2" borderId="0" xfId="0" applyNumberFormat="1" applyFont="1" applyFill="1" applyProtection="1">
      <protection locked="0"/>
    </xf>
    <xf numFmtId="10" fontId="11" fillId="2" borderId="0" xfId="0" applyNumberFormat="1" applyFont="1" applyFill="1" applyProtection="1">
      <protection locked="0"/>
    </xf>
    <xf numFmtId="165" fontId="11" fillId="2" borderId="0" xfId="0" applyNumberFormat="1" applyFont="1" applyFill="1" applyProtection="1">
      <protection locked="0"/>
    </xf>
    <xf numFmtId="0" fontId="0" fillId="0" borderId="2" xfId="0" applyBorder="1"/>
    <xf numFmtId="0" fontId="0" fillId="0" borderId="11" xfId="0" applyBorder="1"/>
    <xf numFmtId="6" fontId="11" fillId="0" borderId="11" xfId="4" applyNumberFormat="1" applyFont="1" applyBorder="1" applyProtection="1"/>
    <xf numFmtId="7" fontId="11" fillId="0" borderId="18" xfId="4" applyNumberFormat="1" applyFont="1" applyBorder="1" applyAlignment="1" applyProtection="1">
      <alignment horizontal="center"/>
    </xf>
    <xf numFmtId="6" fontId="17" fillId="0" borderId="12" xfId="4" applyNumberFormat="1" applyFont="1" applyBorder="1" applyProtection="1"/>
    <xf numFmtId="6" fontId="17" fillId="0" borderId="0" xfId="4" applyNumberFormat="1" applyFont="1" applyBorder="1" applyProtection="1"/>
    <xf numFmtId="6" fontId="11" fillId="0" borderId="0" xfId="4" applyNumberFormat="1" applyFont="1" applyBorder="1" applyProtection="1"/>
    <xf numFmtId="6" fontId="11" fillId="0" borderId="14" xfId="4" applyNumberFormat="1" applyFont="1" applyBorder="1" applyProtection="1"/>
    <xf numFmtId="6" fontId="17" fillId="0" borderId="11" xfId="4" applyNumberFormat="1" applyFont="1" applyFill="1" applyBorder="1" applyProtection="1"/>
    <xf numFmtId="6" fontId="11" fillId="0" borderId="12" xfId="4" applyNumberFormat="1" applyFont="1" applyBorder="1" applyProtection="1"/>
    <xf numFmtId="6" fontId="17" fillId="0" borderId="0" xfId="4" applyNumberFormat="1" applyFont="1" applyFill="1" applyBorder="1" applyProtection="1"/>
    <xf numFmtId="6" fontId="17" fillId="0" borderId="17" xfId="4" applyNumberFormat="1" applyFont="1" applyFill="1" applyBorder="1" applyProtection="1"/>
    <xf numFmtId="9" fontId="11" fillId="5" borderId="0" xfId="1" applyFont="1" applyFill="1" applyProtection="1"/>
    <xf numFmtId="9" fontId="11" fillId="5" borderId="0" xfId="1" applyFont="1" applyFill="1" applyBorder="1" applyProtection="1"/>
    <xf numFmtId="164" fontId="11" fillId="0" borderId="0" xfId="4" applyNumberFormat="1" applyFont="1" applyProtection="1"/>
    <xf numFmtId="0" fontId="2" fillId="6" borderId="0" xfId="0" applyFont="1" applyFill="1"/>
    <xf numFmtId="0" fontId="4" fillId="5" borderId="0" xfId="0" applyFont="1" applyFill="1" applyAlignment="1">
      <alignment vertical="top" wrapText="1"/>
    </xf>
    <xf numFmtId="0" fontId="4" fillId="5" borderId="0" xfId="0" applyFont="1" applyFill="1" applyAlignment="1">
      <alignment horizontal="left" vertical="top"/>
    </xf>
    <xf numFmtId="0" fontId="7" fillId="0" borderId="0" xfId="0" applyFont="1"/>
    <xf numFmtId="0" fontId="18" fillId="3" borderId="12" xfId="0" applyFont="1" applyFill="1" applyBorder="1" applyAlignment="1">
      <alignment horizontal="center" textRotation="90"/>
    </xf>
    <xf numFmtId="3" fontId="11" fillId="0" borderId="1" xfId="0" applyNumberFormat="1" applyFont="1" applyBorder="1"/>
    <xf numFmtId="0" fontId="17" fillId="5" borderId="12" xfId="0" applyFont="1" applyFill="1" applyBorder="1" applyAlignment="1">
      <alignment horizontal="left" vertical="center"/>
    </xf>
    <xf numFmtId="9" fontId="17" fillId="5" borderId="12" xfId="0" applyNumberFormat="1" applyFont="1" applyFill="1" applyBorder="1" applyAlignment="1">
      <alignment horizontal="left" vertical="center"/>
    </xf>
    <xf numFmtId="0" fontId="16" fillId="3" borderId="16" xfId="0" applyFont="1" applyFill="1" applyBorder="1"/>
    <xf numFmtId="3" fontId="11" fillId="0" borderId="1" xfId="0" applyNumberFormat="1" applyFont="1" applyBorder="1" applyAlignment="1">
      <alignment horizontal="right"/>
    </xf>
    <xf numFmtId="2" fontId="11" fillId="0" borderId="15" xfId="0" applyNumberFormat="1" applyFont="1" applyBorder="1" applyAlignment="1">
      <alignment horizontal="left"/>
    </xf>
    <xf numFmtId="0" fontId="11" fillId="5" borderId="0" xfId="0" applyFont="1" applyFill="1" applyAlignment="1">
      <alignment horizontal="left"/>
    </xf>
    <xf numFmtId="0" fontId="12" fillId="5" borderId="0" xfId="0" applyFont="1" applyFill="1"/>
    <xf numFmtId="0" fontId="11" fillId="5" borderId="0" xfId="0" applyFont="1" applyFill="1" applyAlignment="1">
      <alignment horizontal="right"/>
    </xf>
    <xf numFmtId="164" fontId="11" fillId="5" borderId="0" xfId="0" applyNumberFormat="1" applyFont="1" applyFill="1"/>
    <xf numFmtId="0" fontId="4" fillId="0" borderId="0" xfId="0" applyFont="1"/>
    <xf numFmtId="164" fontId="11" fillId="0" borderId="0" xfId="4" applyNumberFormat="1" applyFont="1" applyFill="1" applyProtection="1"/>
    <xf numFmtId="0" fontId="9" fillId="5" borderId="0" xfId="0" applyFont="1" applyFill="1" applyAlignment="1">
      <alignment horizontal="center"/>
    </xf>
    <xf numFmtId="0" fontId="5" fillId="0" borderId="0" xfId="0" applyFont="1"/>
    <xf numFmtId="0" fontId="17" fillId="0" borderId="0" xfId="0" applyFont="1"/>
    <xf numFmtId="0" fontId="15" fillId="0" borderId="1" xfId="0" applyFont="1" applyBorder="1"/>
    <xf numFmtId="0" fontId="6" fillId="0" borderId="1" xfId="0" applyFont="1" applyBorder="1" applyAlignment="1">
      <alignment horizontal="left" wrapText="1"/>
    </xf>
    <xf numFmtId="0" fontId="15" fillId="0" borderId="1" xfId="0" applyFont="1" applyBorder="1" applyAlignment="1">
      <alignment horizontal="center" wrapText="1"/>
    </xf>
    <xf numFmtId="0" fontId="15" fillId="0" borderId="0" xfId="0" applyFont="1" applyAlignment="1">
      <alignment horizontal="center" wrapText="1"/>
    </xf>
    <xf numFmtId="0" fontId="15" fillId="0" borderId="0" xfId="0" applyFont="1"/>
    <xf numFmtId="0" fontId="15" fillId="0" borderId="0" xfId="0" applyFont="1" applyAlignment="1">
      <alignment horizontal="center"/>
    </xf>
    <xf numFmtId="164" fontId="11" fillId="0" borderId="2" xfId="0" applyNumberFormat="1" applyFont="1" applyBorder="1"/>
    <xf numFmtId="0" fontId="4" fillId="0" borderId="0" xfId="0" applyFont="1" applyAlignment="1">
      <alignment horizontal="right"/>
    </xf>
    <xf numFmtId="164" fontId="11" fillId="0" borderId="0" xfId="0" applyNumberFormat="1" applyFont="1"/>
    <xf numFmtId="166" fontId="11" fillId="0" borderId="0" xfId="0" applyNumberFormat="1" applyFont="1"/>
    <xf numFmtId="165" fontId="11" fillId="0" borderId="0" xfId="0" applyNumberFormat="1" applyFont="1"/>
    <xf numFmtId="9" fontId="7" fillId="0" borderId="0" xfId="0" applyNumberFormat="1" applyFont="1" applyAlignment="1">
      <alignment horizontal="left"/>
    </xf>
    <xf numFmtId="9" fontId="11" fillId="0" borderId="0" xfId="0" applyNumberFormat="1" applyFont="1" applyAlignment="1">
      <alignment horizontal="left"/>
    </xf>
    <xf numFmtId="3" fontId="11" fillId="0" borderId="0" xfId="0" applyNumberFormat="1" applyFont="1"/>
    <xf numFmtId="0" fontId="11" fillId="0" borderId="2" xfId="0" applyFont="1" applyBorder="1"/>
    <xf numFmtId="0" fontId="2" fillId="0" borderId="2" xfId="0" applyFont="1" applyBorder="1"/>
    <xf numFmtId="0" fontId="2" fillId="0" borderId="3" xfId="0" applyFont="1" applyBorder="1"/>
    <xf numFmtId="0" fontId="11" fillId="0" borderId="3" xfId="0" applyFont="1" applyBorder="1"/>
    <xf numFmtId="164" fontId="11" fillId="0" borderId="3" xfId="0" applyNumberFormat="1" applyFont="1" applyBorder="1"/>
    <xf numFmtId="0" fontId="4" fillId="5" borderId="0" xfId="0" applyFont="1" applyFill="1" applyAlignment="1">
      <alignment horizontal="right" vertical="top" wrapText="1"/>
    </xf>
    <xf numFmtId="0" fontId="22" fillId="5" borderId="0" xfId="5" applyFont="1" applyFill="1" applyAlignment="1">
      <alignment horizontal="left" vertical="top" wrapText="1"/>
    </xf>
    <xf numFmtId="0" fontId="4" fillId="5" borderId="0" xfId="0" applyFont="1" applyFill="1" applyAlignment="1">
      <alignment horizontal="left" vertical="top" wrapText="1"/>
    </xf>
    <xf numFmtId="0" fontId="18" fillId="3" borderId="2" xfId="0" applyFont="1" applyFill="1" applyBorder="1" applyAlignment="1">
      <alignment horizontal="center" textRotation="90"/>
    </xf>
    <xf numFmtId="0" fontId="16" fillId="3" borderId="21" xfId="0" applyFont="1" applyFill="1" applyBorder="1"/>
    <xf numFmtId="0" fontId="11" fillId="3" borderId="13" xfId="0" applyFont="1" applyFill="1" applyBorder="1"/>
    <xf numFmtId="0" fontId="4" fillId="0" borderId="0" xfId="0" applyFont="1" applyAlignment="1">
      <alignment horizontal="left"/>
    </xf>
    <xf numFmtId="0" fontId="4" fillId="0" borderId="2" xfId="0" applyFont="1" applyBorder="1" applyAlignment="1">
      <alignment horizontal="left"/>
    </xf>
    <xf numFmtId="0" fontId="23" fillId="0" borderId="0" xfId="0" applyFont="1"/>
    <xf numFmtId="0" fontId="23" fillId="0" borderId="0" xfId="0" applyFont="1" applyAlignment="1">
      <alignment horizontal="right"/>
    </xf>
    <xf numFmtId="0" fontId="27" fillId="0" borderId="2" xfId="0" applyFont="1" applyBorder="1"/>
    <xf numFmtId="0" fontId="27" fillId="0" borderId="0" xfId="0" applyFont="1"/>
    <xf numFmtId="0" fontId="28" fillId="0" borderId="1" xfId="0" applyFont="1" applyBorder="1" applyAlignment="1">
      <alignment horizontal="left" vertical="center"/>
    </xf>
    <xf numFmtId="0" fontId="28" fillId="0" borderId="1" xfId="0" applyFont="1" applyBorder="1" applyAlignment="1">
      <alignment horizontal="center" vertical="center"/>
    </xf>
    <xf numFmtId="0" fontId="29" fillId="0" borderId="1" xfId="0" applyFont="1" applyBorder="1" applyAlignment="1">
      <alignment horizontal="center" wrapText="1"/>
    </xf>
    <xf numFmtId="0" fontId="28" fillId="0" borderId="1" xfId="0" applyFont="1" applyBorder="1" applyAlignment="1">
      <alignment horizontal="center" wrapText="1"/>
    </xf>
    <xf numFmtId="0" fontId="30" fillId="0" borderId="0" xfId="0" applyFont="1" applyAlignment="1">
      <alignment horizontal="left" vertical="center"/>
    </xf>
    <xf numFmtId="0" fontId="31" fillId="0" borderId="0" xfId="0" applyFont="1" applyAlignment="1">
      <alignment horizontal="center" wrapText="1"/>
    </xf>
    <xf numFmtId="0" fontId="27" fillId="0" borderId="0" xfId="0" applyFont="1" applyAlignment="1">
      <alignment horizontal="left"/>
    </xf>
    <xf numFmtId="0" fontId="27" fillId="2" borderId="0" xfId="0" applyFont="1" applyFill="1" applyProtection="1">
      <protection locked="0"/>
    </xf>
    <xf numFmtId="167" fontId="27" fillId="2" borderId="0" xfId="0" applyNumberFormat="1" applyFont="1" applyFill="1" applyProtection="1">
      <protection locked="0"/>
    </xf>
    <xf numFmtId="40" fontId="27" fillId="0" borderId="0" xfId="0" applyNumberFormat="1" applyFont="1"/>
    <xf numFmtId="9" fontId="27" fillId="2" borderId="0" xfId="0" applyNumberFormat="1" applyFont="1" applyFill="1" applyProtection="1">
      <protection locked="0"/>
    </xf>
    <xf numFmtId="2" fontId="27" fillId="0" borderId="0" xfId="0" applyNumberFormat="1" applyFont="1"/>
    <xf numFmtId="9" fontId="27" fillId="2" borderId="2" xfId="0" applyNumberFormat="1" applyFont="1" applyFill="1" applyBorder="1" applyProtection="1">
      <protection locked="0"/>
    </xf>
    <xf numFmtId="2" fontId="27" fillId="0" borderId="2" xfId="0" applyNumberFormat="1" applyFont="1" applyBorder="1"/>
    <xf numFmtId="0" fontId="27" fillId="0" borderId="0" xfId="0" applyFont="1" applyAlignment="1">
      <alignment horizontal="right"/>
    </xf>
    <xf numFmtId="0" fontId="29" fillId="0" borderId="1" xfId="0" applyFont="1" applyBorder="1"/>
    <xf numFmtId="0" fontId="29" fillId="0" borderId="1" xfId="0" applyFont="1" applyBorder="1" applyAlignment="1">
      <alignment horizontal="right"/>
    </xf>
    <xf numFmtId="0" fontId="29" fillId="0" borderId="1" xfId="0" applyFont="1" applyBorder="1" applyAlignment="1">
      <alignment horizontal="right" wrapText="1"/>
    </xf>
    <xf numFmtId="3" fontId="27" fillId="0" borderId="0" xfId="0" applyNumberFormat="1" applyFont="1"/>
    <xf numFmtId="0" fontId="27" fillId="2" borderId="2" xfId="0" applyFont="1" applyFill="1" applyBorder="1" applyProtection="1">
      <protection locked="0"/>
    </xf>
    <xf numFmtId="9" fontId="27" fillId="2" borderId="0" xfId="1" applyFont="1" applyFill="1" applyProtection="1">
      <protection locked="0"/>
    </xf>
    <xf numFmtId="0" fontId="35" fillId="0" borderId="0" xfId="0" applyFont="1" applyAlignment="1">
      <alignment horizontal="left"/>
    </xf>
    <xf numFmtId="0" fontId="36" fillId="0" borderId="0" xfId="0" applyFont="1"/>
    <xf numFmtId="0" fontId="6" fillId="0" borderId="0" xfId="0" applyFont="1" applyAlignment="1">
      <alignment horizontal="left" wrapText="1"/>
    </xf>
    <xf numFmtId="0" fontId="24" fillId="0" borderId="0" xfId="0" applyFont="1"/>
    <xf numFmtId="0" fontId="25" fillId="0" borderId="0" xfId="0" applyFont="1"/>
    <xf numFmtId="0" fontId="25" fillId="0" borderId="0" xfId="0" applyFont="1" applyAlignment="1">
      <alignment horizontal="center"/>
    </xf>
    <xf numFmtId="0" fontId="25" fillId="0" borderId="0" xfId="0" applyFont="1" applyAlignment="1">
      <alignment horizontal="right"/>
    </xf>
    <xf numFmtId="0" fontId="26" fillId="0" borderId="0" xfId="0" applyFont="1" applyAlignment="1">
      <alignment horizontal="center"/>
    </xf>
    <xf numFmtId="2" fontId="23" fillId="0" borderId="0" xfId="0" applyNumberFormat="1" applyFont="1"/>
    <xf numFmtId="2" fontId="23" fillId="0" borderId="0" xfId="0" applyNumberFormat="1" applyFont="1" applyAlignment="1">
      <alignment horizontal="right"/>
    </xf>
    <xf numFmtId="1" fontId="23" fillId="0" borderId="0" xfId="0" applyNumberFormat="1" applyFont="1" applyAlignment="1">
      <alignment horizontal="right"/>
    </xf>
    <xf numFmtId="7" fontId="25" fillId="0" borderId="0" xfId="4" applyNumberFormat="1" applyFont="1" applyFill="1" applyBorder="1" applyAlignment="1">
      <alignment horizontal="right"/>
    </xf>
    <xf numFmtId="2" fontId="25" fillId="0" borderId="0" xfId="0" applyNumberFormat="1" applyFont="1"/>
    <xf numFmtId="1" fontId="25" fillId="0" borderId="0" xfId="0" applyNumberFormat="1" applyFont="1"/>
    <xf numFmtId="7" fontId="23" fillId="0" borderId="0" xfId="4" applyNumberFormat="1" applyFont="1" applyFill="1" applyBorder="1"/>
    <xf numFmtId="44" fontId="23" fillId="0" borderId="0" xfId="4" applyFont="1" applyFill="1" applyBorder="1"/>
    <xf numFmtId="0" fontId="21" fillId="0" borderId="0" xfId="5" applyFill="1" applyBorder="1"/>
    <xf numFmtId="0" fontId="38" fillId="0" borderId="1" xfId="0" applyFont="1" applyBorder="1"/>
    <xf numFmtId="0" fontId="38" fillId="0" borderId="1" xfId="0" applyFont="1" applyBorder="1" applyAlignment="1">
      <alignment horizontal="center"/>
    </xf>
    <xf numFmtId="0" fontId="38" fillId="0" borderId="1" xfId="0" applyFont="1" applyBorder="1" applyAlignment="1">
      <alignment horizontal="right"/>
    </xf>
    <xf numFmtId="0" fontId="31" fillId="0" borderId="0" xfId="0" applyFont="1"/>
    <xf numFmtId="0" fontId="31" fillId="0" borderId="0" xfId="0" applyFont="1" applyAlignment="1">
      <alignment horizontal="right"/>
    </xf>
    <xf numFmtId="0" fontId="39" fillId="0" borderId="0" xfId="0" applyFont="1" applyAlignment="1">
      <alignment horizontal="center"/>
    </xf>
    <xf numFmtId="2" fontId="31" fillId="0" borderId="0" xfId="0" applyNumberFormat="1" applyFont="1"/>
    <xf numFmtId="0" fontId="31" fillId="0" borderId="2" xfId="0" applyFont="1" applyBorder="1"/>
    <xf numFmtId="0" fontId="42" fillId="0" borderId="0" xfId="0" applyFont="1"/>
    <xf numFmtId="0" fontId="43" fillId="0" borderId="0" xfId="0" applyFont="1"/>
    <xf numFmtId="0" fontId="40" fillId="0" borderId="0" xfId="0" applyFont="1"/>
    <xf numFmtId="0" fontId="41" fillId="0" borderId="0" xfId="0" applyFont="1"/>
    <xf numFmtId="0" fontId="43" fillId="0" borderId="0" xfId="0" applyFont="1" applyAlignment="1">
      <alignment wrapText="1"/>
    </xf>
    <xf numFmtId="0" fontId="40" fillId="0" borderId="0" xfId="0" applyFont="1" applyAlignment="1">
      <alignment wrapText="1"/>
    </xf>
    <xf numFmtId="9" fontId="40" fillId="0" borderId="0" xfId="1" applyFont="1" applyFill="1" applyBorder="1" applyProtection="1"/>
    <xf numFmtId="0" fontId="40" fillId="0" borderId="0" xfId="0" applyFont="1" applyAlignment="1">
      <alignment horizontal="right"/>
    </xf>
    <xf numFmtId="164" fontId="40" fillId="0" borderId="0" xfId="0" applyNumberFormat="1" applyFont="1"/>
    <xf numFmtId="0" fontId="39" fillId="0" borderId="0" xfId="0" applyFont="1"/>
    <xf numFmtId="44" fontId="44" fillId="0" borderId="0" xfId="4" applyFont="1"/>
    <xf numFmtId="44" fontId="39" fillId="0" borderId="0" xfId="4" applyFont="1"/>
    <xf numFmtId="44" fontId="31" fillId="0" borderId="0" xfId="4" applyFont="1"/>
    <xf numFmtId="0" fontId="38" fillId="0" borderId="1" xfId="0" applyFont="1" applyBorder="1" applyAlignment="1">
      <alignment horizontal="left"/>
    </xf>
    <xf numFmtId="44" fontId="31" fillId="0" borderId="0" xfId="4" applyFont="1" applyAlignment="1">
      <alignment horizontal="center" wrapText="1"/>
    </xf>
    <xf numFmtId="44" fontId="27" fillId="0" borderId="0" xfId="4" applyFont="1"/>
    <xf numFmtId="44" fontId="27" fillId="0" borderId="2" xfId="4" applyFont="1" applyBorder="1"/>
    <xf numFmtId="44" fontId="28" fillId="0" borderId="1" xfId="4" applyFont="1" applyBorder="1" applyAlignment="1">
      <alignment horizontal="center" wrapText="1"/>
    </xf>
    <xf numFmtId="0" fontId="31" fillId="0" borderId="2" xfId="0" applyFont="1" applyBorder="1" applyAlignment="1">
      <alignment horizontal="right"/>
    </xf>
    <xf numFmtId="165" fontId="23" fillId="0" borderId="0" xfId="0" applyNumberFormat="1" applyFont="1"/>
    <xf numFmtId="166" fontId="27" fillId="2" borderId="0" xfId="0" applyNumberFormat="1" applyFont="1" applyFill="1" applyAlignment="1" applyProtection="1">
      <alignment horizontal="right"/>
      <protection locked="0"/>
    </xf>
    <xf numFmtId="0" fontId="23" fillId="2" borderId="2" xfId="0" applyFont="1" applyFill="1" applyBorder="1" applyAlignment="1" applyProtection="1">
      <alignment horizontal="left"/>
      <protection locked="0"/>
    </xf>
    <xf numFmtId="167" fontId="27" fillId="2" borderId="2" xfId="0" applyNumberFormat="1" applyFont="1" applyFill="1" applyBorder="1" applyProtection="1">
      <protection locked="0"/>
    </xf>
    <xf numFmtId="0" fontId="27" fillId="0" borderId="11" xfId="0" applyFont="1" applyBorder="1" applyAlignment="1">
      <alignment horizontal="right"/>
    </xf>
    <xf numFmtId="0" fontId="27" fillId="0" borderId="11" xfId="0" applyFont="1" applyBorder="1"/>
    <xf numFmtId="40" fontId="27" fillId="0" borderId="11" xfId="0" applyNumberFormat="1" applyFont="1" applyBorder="1"/>
    <xf numFmtId="0" fontId="17" fillId="0" borderId="0" xfId="0" applyFont="1" applyAlignment="1">
      <alignment horizontal="center" wrapText="1"/>
    </xf>
    <xf numFmtId="0" fontId="17" fillId="0" borderId="0" xfId="0" applyFont="1" applyAlignment="1">
      <alignment horizontal="center"/>
    </xf>
    <xf numFmtId="0" fontId="0" fillId="0" borderId="15" xfId="0" applyBorder="1"/>
    <xf numFmtId="168" fontId="0" fillId="0" borderId="24" xfId="0" applyNumberFormat="1" applyBorder="1"/>
    <xf numFmtId="168" fontId="0" fillId="0" borderId="26" xfId="0" applyNumberFormat="1" applyBorder="1"/>
    <xf numFmtId="168" fontId="0" fillId="0" borderId="27" xfId="0" applyNumberFormat="1" applyBorder="1"/>
    <xf numFmtId="0" fontId="3" fillId="0" borderId="28" xfId="0" applyFont="1" applyBorder="1" applyAlignment="1">
      <alignment wrapText="1"/>
    </xf>
    <xf numFmtId="0" fontId="3" fillId="0" borderId="29" xfId="0" applyFont="1" applyBorder="1" applyAlignment="1">
      <alignment horizontal="right" wrapText="1"/>
    </xf>
    <xf numFmtId="0" fontId="3" fillId="0" borderId="30" xfId="0" applyFont="1" applyBorder="1" applyAlignment="1">
      <alignment horizontal="right" wrapText="1"/>
    </xf>
    <xf numFmtId="0" fontId="11" fillId="3" borderId="22" xfId="0" applyFont="1" applyFill="1" applyBorder="1"/>
    <xf numFmtId="0" fontId="11" fillId="3" borderId="31" xfId="0" applyFont="1" applyFill="1" applyBorder="1"/>
    <xf numFmtId="0" fontId="18" fillId="3" borderId="15" xfId="0" applyFont="1" applyFill="1" applyBorder="1" applyAlignment="1">
      <alignment horizontal="center" textRotation="90"/>
    </xf>
    <xf numFmtId="3" fontId="11" fillId="0" borderId="32" xfId="0" applyNumberFormat="1" applyFont="1" applyBorder="1" applyAlignment="1">
      <alignment horizontal="right"/>
    </xf>
    <xf numFmtId="6" fontId="17" fillId="0" borderId="33" xfId="4" applyNumberFormat="1" applyFont="1" applyFill="1" applyBorder="1" applyProtection="1"/>
    <xf numFmtId="6" fontId="17" fillId="0" borderId="24" xfId="4" applyNumberFormat="1" applyFont="1" applyFill="1" applyBorder="1" applyProtection="1"/>
    <xf numFmtId="2" fontId="11" fillId="0" borderId="25" xfId="0" applyNumberFormat="1" applyFont="1" applyBorder="1" applyAlignment="1">
      <alignment horizontal="left"/>
    </xf>
    <xf numFmtId="6" fontId="11" fillId="0" borderId="34" xfId="4" applyNumberFormat="1" applyFont="1" applyBorder="1" applyProtection="1"/>
    <xf numFmtId="6" fontId="11" fillId="0" borderId="26" xfId="4" applyNumberFormat="1" applyFont="1" applyBorder="1" applyProtection="1"/>
    <xf numFmtId="6" fontId="17" fillId="0" borderId="26" xfId="4" applyNumberFormat="1" applyFont="1" applyFill="1" applyBorder="1" applyProtection="1"/>
    <xf numFmtId="6" fontId="17" fillId="0" borderId="27" xfId="4" applyNumberFormat="1" applyFont="1" applyFill="1" applyBorder="1" applyProtection="1"/>
    <xf numFmtId="0" fontId="11" fillId="3" borderId="23" xfId="0" applyFont="1" applyFill="1" applyBorder="1"/>
    <xf numFmtId="0" fontId="11" fillId="3" borderId="35" xfId="0" applyFont="1" applyFill="1" applyBorder="1"/>
    <xf numFmtId="0" fontId="11" fillId="3" borderId="15" xfId="0" applyFont="1" applyFill="1" applyBorder="1"/>
    <xf numFmtId="0" fontId="11" fillId="3" borderId="0" xfId="0" applyFont="1" applyFill="1"/>
    <xf numFmtId="0" fontId="17" fillId="5" borderId="0" xfId="0" applyFont="1" applyFill="1" applyAlignment="1">
      <alignment horizontal="right"/>
    </xf>
    <xf numFmtId="0" fontId="17" fillId="5" borderId="24" xfId="0" applyFont="1" applyFill="1" applyBorder="1" applyAlignment="1">
      <alignment horizontal="right"/>
    </xf>
    <xf numFmtId="0" fontId="18" fillId="3" borderId="20" xfId="0" applyFont="1" applyFill="1" applyBorder="1" applyAlignment="1">
      <alignment horizontal="center" textRotation="90"/>
    </xf>
    <xf numFmtId="3" fontId="11" fillId="0" borderId="32" xfId="0" applyNumberFormat="1" applyFont="1" applyBorder="1"/>
    <xf numFmtId="6" fontId="11" fillId="0" borderId="24" xfId="4" applyNumberFormat="1" applyFont="1" applyBorder="1" applyProtection="1"/>
    <xf numFmtId="0" fontId="17" fillId="5" borderId="34" xfId="0" applyFont="1" applyFill="1" applyBorder="1" applyAlignment="1">
      <alignment horizontal="left" vertical="center"/>
    </xf>
    <xf numFmtId="7" fontId="11" fillId="0" borderId="38" xfId="4" applyNumberFormat="1" applyFont="1" applyBorder="1" applyAlignment="1" applyProtection="1">
      <alignment horizontal="center"/>
    </xf>
    <xf numFmtId="6" fontId="17" fillId="0" borderId="34" xfId="4" applyNumberFormat="1" applyFont="1" applyBorder="1" applyProtection="1"/>
    <xf numFmtId="6" fontId="17" fillId="0" borderId="26" xfId="4" applyNumberFormat="1" applyFont="1" applyBorder="1" applyProtection="1"/>
    <xf numFmtId="6" fontId="11" fillId="0" borderId="27" xfId="4" applyNumberFormat="1" applyFont="1" applyBorder="1" applyProtection="1"/>
    <xf numFmtId="0" fontId="27" fillId="5" borderId="0" xfId="0" applyFont="1" applyFill="1"/>
    <xf numFmtId="0" fontId="27" fillId="2" borderId="0" xfId="0" applyFont="1" applyFill="1"/>
    <xf numFmtId="0" fontId="27" fillId="2" borderId="2" xfId="0" applyFont="1" applyFill="1" applyBorder="1"/>
    <xf numFmtId="3" fontId="27" fillId="2" borderId="2" xfId="0" applyNumberFormat="1" applyFont="1" applyFill="1" applyBorder="1"/>
    <xf numFmtId="0" fontId="27" fillId="5" borderId="0" xfId="0" applyFont="1" applyFill="1" applyAlignment="1">
      <alignment horizontal="left"/>
    </xf>
    <xf numFmtId="0" fontId="32" fillId="5" borderId="0" xfId="0" applyFont="1" applyFill="1" applyAlignment="1">
      <alignment horizontal="left" vertical="center"/>
    </xf>
    <xf numFmtId="0" fontId="27" fillId="5" borderId="2" xfId="0" applyFont="1" applyFill="1" applyBorder="1" applyAlignment="1">
      <alignment horizontal="left"/>
    </xf>
    <xf numFmtId="166" fontId="27" fillId="2" borderId="0" xfId="0" applyNumberFormat="1" applyFont="1" applyFill="1" applyProtection="1">
      <protection locked="0"/>
    </xf>
    <xf numFmtId="0" fontId="17" fillId="0" borderId="0" xfId="0" applyFont="1" applyAlignment="1">
      <alignment horizontal="right"/>
    </xf>
    <xf numFmtId="164" fontId="27" fillId="2" borderId="0" xfId="4" applyNumberFormat="1" applyFont="1" applyFill="1" applyAlignment="1" applyProtection="1">
      <alignment horizontal="right"/>
      <protection locked="0"/>
    </xf>
    <xf numFmtId="164" fontId="27" fillId="0" borderId="0" xfId="4" applyNumberFormat="1" applyFont="1"/>
    <xf numFmtId="164" fontId="27" fillId="0" borderId="11" xfId="4" applyNumberFormat="1" applyFont="1" applyBorder="1"/>
    <xf numFmtId="166" fontId="27" fillId="2" borderId="2" xfId="0" applyNumberFormat="1" applyFont="1" applyFill="1" applyBorder="1" applyProtection="1">
      <protection locked="0"/>
    </xf>
    <xf numFmtId="164" fontId="27" fillId="0" borderId="2" xfId="4" applyNumberFormat="1" applyFont="1" applyBorder="1"/>
    <xf numFmtId="164" fontId="27" fillId="0" borderId="0" xfId="0" applyNumberFormat="1" applyFont="1"/>
    <xf numFmtId="164" fontId="27" fillId="0" borderId="11" xfId="0" applyNumberFormat="1" applyFont="1" applyBorder="1"/>
    <xf numFmtId="164" fontId="0" fillId="0" borderId="0" xfId="4" applyNumberFormat="1" applyFont="1"/>
    <xf numFmtId="164" fontId="23" fillId="0" borderId="0" xfId="4" applyNumberFormat="1" applyFont="1" applyAlignment="1">
      <alignment horizontal="right"/>
    </xf>
    <xf numFmtId="164" fontId="31" fillId="0" borderId="0" xfId="4" applyNumberFormat="1" applyFont="1" applyAlignment="1">
      <alignment horizontal="right"/>
    </xf>
    <xf numFmtId="164" fontId="31" fillId="0" borderId="2" xfId="4" applyNumberFormat="1" applyFont="1" applyBorder="1" applyAlignment="1">
      <alignment horizontal="right"/>
    </xf>
    <xf numFmtId="164" fontId="23" fillId="0" borderId="0" xfId="0" applyNumberFormat="1" applyFont="1"/>
    <xf numFmtId="0" fontId="17" fillId="0" borderId="2" xfId="0" applyFont="1" applyBorder="1" applyAlignment="1">
      <alignment horizontal="center" wrapText="1"/>
    </xf>
    <xf numFmtId="164" fontId="11" fillId="0" borderId="0" xfId="4" applyNumberFormat="1" applyFont="1" applyFill="1" applyProtection="1">
      <protection locked="0"/>
    </xf>
    <xf numFmtId="166" fontId="11" fillId="0" borderId="0" xfId="0" applyNumberFormat="1" applyFont="1" applyProtection="1">
      <protection locked="0"/>
    </xf>
    <xf numFmtId="165" fontId="11" fillId="0" borderId="0" xfId="0" applyNumberFormat="1" applyFont="1" applyProtection="1">
      <protection locked="0"/>
    </xf>
    <xf numFmtId="164" fontId="11" fillId="2" borderId="0" xfId="4" applyNumberFormat="1" applyFont="1" applyFill="1" applyProtection="1"/>
    <xf numFmtId="0" fontId="11" fillId="2" borderId="0" xfId="0" applyFont="1" applyFill="1"/>
    <xf numFmtId="165" fontId="11" fillId="2" borderId="0" xfId="0" applyNumberFormat="1" applyFont="1" applyFill="1"/>
    <xf numFmtId="0" fontId="23" fillId="2" borderId="0" xfId="0" applyFont="1" applyFill="1" applyAlignment="1">
      <alignment horizontal="left"/>
    </xf>
    <xf numFmtId="0" fontId="32" fillId="2" borderId="0" xfId="0" applyFont="1" applyFill="1" applyAlignment="1">
      <alignment horizontal="left" vertical="center"/>
    </xf>
    <xf numFmtId="165" fontId="31" fillId="2" borderId="0" xfId="0" applyNumberFormat="1" applyFont="1" applyFill="1" applyAlignment="1">
      <alignment horizontal="right"/>
    </xf>
    <xf numFmtId="164" fontId="31" fillId="2" borderId="0" xfId="4" applyNumberFormat="1" applyFont="1" applyFill="1" applyAlignment="1" applyProtection="1">
      <alignment horizontal="right"/>
    </xf>
    <xf numFmtId="164" fontId="40" fillId="2" borderId="0" xfId="4" applyNumberFormat="1" applyFont="1" applyFill="1" applyAlignment="1" applyProtection="1">
      <alignment horizontal="right"/>
    </xf>
    <xf numFmtId="165" fontId="31" fillId="2" borderId="2" xfId="0" applyNumberFormat="1" applyFont="1" applyFill="1" applyBorder="1" applyAlignment="1">
      <alignment horizontal="right"/>
    </xf>
    <xf numFmtId="164" fontId="31" fillId="2" borderId="2" xfId="4" applyNumberFormat="1" applyFont="1" applyFill="1" applyBorder="1" applyAlignment="1" applyProtection="1">
      <alignment horizontal="right"/>
    </xf>
    <xf numFmtId="3" fontId="11" fillId="2" borderId="1" xfId="0" applyNumberFormat="1" applyFont="1" applyFill="1" applyBorder="1"/>
    <xf numFmtId="166" fontId="11" fillId="2" borderId="0" xfId="0" applyNumberFormat="1" applyFont="1" applyFill="1"/>
    <xf numFmtId="166" fontId="17" fillId="2" borderId="0" xfId="0" applyNumberFormat="1" applyFont="1" applyFill="1"/>
    <xf numFmtId="164" fontId="27" fillId="2" borderId="0" xfId="4" applyNumberFormat="1" applyFont="1" applyFill="1" applyBorder="1" applyAlignment="1" applyProtection="1">
      <alignment horizontal="right"/>
    </xf>
    <xf numFmtId="165" fontId="46" fillId="2" borderId="0" xfId="0" applyNumberFormat="1" applyFont="1" applyFill="1"/>
    <xf numFmtId="0" fontId="3" fillId="0" borderId="29" xfId="0" applyFont="1" applyBorder="1" applyAlignment="1">
      <alignment wrapText="1"/>
    </xf>
    <xf numFmtId="166" fontId="11" fillId="5" borderId="0" xfId="0" applyNumberFormat="1" applyFont="1" applyFill="1" applyProtection="1">
      <protection locked="0"/>
    </xf>
    <xf numFmtId="7" fontId="11" fillId="2" borderId="18" xfId="4" applyNumberFormat="1" applyFont="1" applyFill="1" applyBorder="1" applyAlignment="1" applyProtection="1">
      <alignment horizontal="center" vertical="center"/>
    </xf>
    <xf numFmtId="6" fontId="17" fillId="0" borderId="12" xfId="4" applyNumberFormat="1" applyFont="1" applyBorder="1" applyAlignment="1" applyProtection="1">
      <alignment vertical="center"/>
    </xf>
    <xf numFmtId="6" fontId="17" fillId="0" borderId="0" xfId="4" applyNumberFormat="1" applyFont="1" applyBorder="1" applyAlignment="1" applyProtection="1">
      <alignment vertical="center"/>
    </xf>
    <xf numFmtId="6" fontId="11" fillId="0" borderId="0" xfId="4" applyNumberFormat="1" applyFont="1" applyBorder="1" applyAlignment="1" applyProtection="1">
      <alignment vertical="center"/>
    </xf>
    <xf numFmtId="6" fontId="11" fillId="0" borderId="17" xfId="4" applyNumberFormat="1" applyFont="1" applyBorder="1" applyAlignment="1" applyProtection="1">
      <alignment vertical="center"/>
    </xf>
    <xf numFmtId="6" fontId="11" fillId="0" borderId="24" xfId="4" applyNumberFormat="1" applyFont="1" applyBorder="1" applyAlignment="1" applyProtection="1">
      <alignment vertical="center"/>
    </xf>
    <xf numFmtId="0" fontId="0" fillId="5" borderId="21" xfId="0" applyFill="1" applyBorder="1"/>
    <xf numFmtId="0" fontId="0" fillId="2" borderId="21" xfId="0" applyFill="1" applyBorder="1"/>
    <xf numFmtId="0" fontId="11" fillId="5" borderId="19" xfId="0" applyFont="1" applyFill="1" applyBorder="1" applyAlignment="1">
      <alignment horizontal="left"/>
    </xf>
    <xf numFmtId="0" fontId="11" fillId="5" borderId="1" xfId="0" applyFont="1" applyFill="1" applyBorder="1" applyAlignment="1">
      <alignment horizontal="left"/>
    </xf>
    <xf numFmtId="0" fontId="11" fillId="5" borderId="39" xfId="0" applyFont="1" applyFill="1" applyBorder="1" applyAlignment="1">
      <alignment horizontal="left"/>
    </xf>
    <xf numFmtId="0" fontId="11" fillId="5" borderId="21" xfId="0" applyFont="1" applyFill="1" applyBorder="1"/>
    <xf numFmtId="168" fontId="0" fillId="0" borderId="0" xfId="0" applyNumberFormat="1"/>
    <xf numFmtId="0" fontId="0" fillId="0" borderId="25" xfId="0" applyBorder="1"/>
    <xf numFmtId="9" fontId="11" fillId="5" borderId="0" xfId="1" applyFont="1" applyFill="1" applyProtection="1">
      <protection locked="0"/>
    </xf>
    <xf numFmtId="0" fontId="11" fillId="5" borderId="0" xfId="0" applyFont="1" applyFill="1" applyAlignment="1">
      <alignment wrapText="1"/>
    </xf>
    <xf numFmtId="0" fontId="48" fillId="5" borderId="0" xfId="0" applyFont="1" applyFill="1" applyAlignment="1">
      <alignment horizontal="center" vertical="center" textRotation="90" wrapText="1"/>
    </xf>
    <xf numFmtId="2" fontId="11" fillId="5" borderId="0" xfId="0" applyNumberFormat="1" applyFont="1" applyFill="1" applyAlignment="1">
      <alignment horizontal="left"/>
    </xf>
    <xf numFmtId="6" fontId="11" fillId="5" borderId="0" xfId="4" applyNumberFormat="1" applyFont="1" applyFill="1" applyBorder="1" applyProtection="1"/>
    <xf numFmtId="6" fontId="17" fillId="5" borderId="0" xfId="4" applyNumberFormat="1" applyFont="1" applyFill="1" applyBorder="1" applyProtection="1"/>
    <xf numFmtId="44" fontId="0" fillId="5" borderId="21" xfId="0" applyNumberFormat="1" applyFill="1" applyBorder="1"/>
    <xf numFmtId="165" fontId="17" fillId="2" borderId="0" xfId="0" applyNumberFormat="1" applyFont="1" applyFill="1"/>
    <xf numFmtId="9" fontId="0" fillId="2" borderId="21" xfId="0" applyNumberFormat="1" applyFill="1" applyBorder="1"/>
    <xf numFmtId="3" fontId="11" fillId="2" borderId="0" xfId="0" applyNumberFormat="1" applyFont="1" applyFill="1" applyProtection="1">
      <protection locked="0"/>
    </xf>
    <xf numFmtId="3" fontId="11" fillId="5" borderId="0" xfId="0" applyNumberFormat="1" applyFont="1" applyFill="1" applyProtection="1">
      <protection locked="0"/>
    </xf>
    <xf numFmtId="3" fontId="11" fillId="0" borderId="0" xfId="0" applyNumberFormat="1" applyFont="1" applyProtection="1">
      <protection locked="0"/>
    </xf>
    <xf numFmtId="3" fontId="46" fillId="2" borderId="0" xfId="0" applyNumberFormat="1" applyFont="1" applyFill="1"/>
    <xf numFmtId="3" fontId="11" fillId="2" borderId="0" xfId="0" applyNumberFormat="1" applyFont="1" applyFill="1"/>
    <xf numFmtId="3" fontId="17" fillId="2" borderId="0" xfId="0" applyNumberFormat="1" applyFont="1" applyFill="1"/>
    <xf numFmtId="3" fontId="15" fillId="0" borderId="1" xfId="0" applyNumberFormat="1" applyFont="1" applyBorder="1" applyAlignment="1">
      <alignment horizontal="center" wrapText="1"/>
    </xf>
    <xf numFmtId="3" fontId="17" fillId="0" borderId="0" xfId="0" applyNumberFormat="1" applyFont="1" applyAlignment="1">
      <alignment horizontal="center" wrapText="1"/>
    </xf>
    <xf numFmtId="3" fontId="17" fillId="0" borderId="0" xfId="0" applyNumberFormat="1" applyFont="1" applyAlignment="1">
      <alignment horizontal="right" wrapText="1"/>
    </xf>
    <xf numFmtId="169" fontId="11" fillId="0" borderId="0" xfId="0" applyNumberFormat="1" applyFont="1"/>
    <xf numFmtId="169" fontId="11" fillId="0" borderId="2" xfId="0" applyNumberFormat="1" applyFont="1" applyBorder="1"/>
    <xf numFmtId="169" fontId="15" fillId="0" borderId="1" xfId="0" applyNumberFormat="1" applyFont="1" applyBorder="1" applyAlignment="1">
      <alignment horizontal="center" wrapText="1"/>
    </xf>
    <xf numFmtId="169" fontId="17" fillId="0" borderId="0" xfId="4" applyNumberFormat="1" applyFont="1" applyAlignment="1">
      <alignment horizontal="right" wrapText="1"/>
    </xf>
    <xf numFmtId="169" fontId="11" fillId="0" borderId="3" xfId="0" applyNumberFormat="1" applyFont="1" applyBorder="1"/>
    <xf numFmtId="1" fontId="11" fillId="2" borderId="0" xfId="0" applyNumberFormat="1" applyFont="1" applyFill="1" applyProtection="1">
      <protection locked="0"/>
    </xf>
    <xf numFmtId="1" fontId="11" fillId="0" borderId="0" xfId="0" applyNumberFormat="1" applyFont="1"/>
    <xf numFmtId="1" fontId="15" fillId="0" borderId="1" xfId="0" applyNumberFormat="1" applyFont="1" applyBorder="1" applyAlignment="1">
      <alignment horizontal="center" wrapText="1"/>
    </xf>
    <xf numFmtId="1" fontId="17" fillId="0" borderId="0" xfId="0" applyNumberFormat="1" applyFont="1" applyAlignment="1">
      <alignment horizontal="right" wrapText="1"/>
    </xf>
    <xf numFmtId="169" fontId="17" fillId="0" borderId="0" xfId="4" applyNumberFormat="1" applyFont="1" applyFill="1" applyAlignment="1">
      <alignment horizontal="right" wrapText="1"/>
    </xf>
    <xf numFmtId="169" fontId="17" fillId="0" borderId="0" xfId="0" applyNumberFormat="1" applyFont="1" applyAlignment="1">
      <alignment horizontal="right" wrapText="1"/>
    </xf>
    <xf numFmtId="0" fontId="15" fillId="0" borderId="0" xfId="0" applyFont="1" applyAlignment="1">
      <alignment wrapText="1"/>
    </xf>
    <xf numFmtId="0" fontId="46" fillId="0" borderId="0" xfId="0" applyFont="1"/>
    <xf numFmtId="0" fontId="32" fillId="0" borderId="0" xfId="0" applyFont="1" applyAlignment="1">
      <alignment horizontal="left"/>
    </xf>
    <xf numFmtId="169" fontId="11" fillId="0" borderId="1" xfId="0" applyNumberFormat="1" applyFont="1" applyBorder="1"/>
    <xf numFmtId="0" fontId="27" fillId="7" borderId="0" xfId="0" applyFont="1" applyFill="1" applyAlignment="1">
      <alignment horizontal="right"/>
    </xf>
    <xf numFmtId="3" fontId="32" fillId="0" borderId="0" xfId="0" applyNumberFormat="1" applyFont="1"/>
    <xf numFmtId="169" fontId="11" fillId="0" borderId="11" xfId="0" applyNumberFormat="1" applyFont="1" applyBorder="1"/>
    <xf numFmtId="169" fontId="11" fillId="2" borderId="0" xfId="0" applyNumberFormat="1" applyFont="1" applyFill="1" applyProtection="1">
      <protection locked="0"/>
    </xf>
    <xf numFmtId="0" fontId="32" fillId="2" borderId="2" xfId="0" applyFont="1" applyFill="1" applyBorder="1" applyProtection="1">
      <protection locked="0"/>
    </xf>
    <xf numFmtId="169" fontId="17" fillId="0" borderId="0" xfId="0" applyNumberFormat="1" applyFont="1" applyAlignment="1">
      <alignment horizontal="right"/>
    </xf>
    <xf numFmtId="164" fontId="11" fillId="5" borderId="0" xfId="4" applyNumberFormat="1" applyFont="1" applyFill="1" applyProtection="1">
      <protection locked="0"/>
    </xf>
    <xf numFmtId="169" fontId="11" fillId="5" borderId="0" xfId="0" applyNumberFormat="1" applyFont="1" applyFill="1"/>
    <xf numFmtId="165" fontId="11" fillId="5" borderId="0" xfId="0" applyNumberFormat="1" applyFont="1" applyFill="1" applyProtection="1">
      <protection locked="0"/>
    </xf>
    <xf numFmtId="0" fontId="15" fillId="0" borderId="1" xfId="0" applyFont="1" applyBorder="1" applyAlignment="1">
      <alignment wrapText="1"/>
    </xf>
    <xf numFmtId="164" fontId="32" fillId="2" borderId="0" xfId="4" applyNumberFormat="1" applyFont="1" applyFill="1" applyAlignment="1" applyProtection="1">
      <alignment horizontal="center" wrapText="1"/>
    </xf>
    <xf numFmtId="164" fontId="27" fillId="2" borderId="2" xfId="4" applyNumberFormat="1" applyFont="1" applyFill="1" applyBorder="1" applyAlignment="1" applyProtection="1">
      <alignment horizontal="right"/>
      <protection locked="0"/>
    </xf>
    <xf numFmtId="166" fontId="32" fillId="2" borderId="0" xfId="0" applyNumberFormat="1" applyFont="1" applyFill="1" applyAlignment="1">
      <alignment wrapText="1"/>
    </xf>
    <xf numFmtId="164" fontId="27" fillId="0" borderId="0" xfId="4" applyNumberFormat="1" applyFont="1" applyAlignment="1">
      <alignment horizontal="right"/>
    </xf>
    <xf numFmtId="164" fontId="32" fillId="0" borderId="0" xfId="4" applyNumberFormat="1" applyFont="1" applyAlignment="1">
      <alignment horizontal="right" wrapText="1"/>
    </xf>
    <xf numFmtId="164" fontId="27" fillId="0" borderId="2" xfId="4" applyNumberFormat="1" applyFont="1" applyBorder="1" applyAlignment="1">
      <alignment horizontal="right"/>
    </xf>
    <xf numFmtId="168" fontId="40" fillId="0" borderId="0" xfId="0" applyNumberFormat="1" applyFont="1"/>
    <xf numFmtId="2" fontId="27" fillId="0" borderId="0" xfId="0" applyNumberFormat="1" applyFont="1" applyAlignment="1">
      <alignment horizontal="right"/>
    </xf>
    <xf numFmtId="2" fontId="27" fillId="0" borderId="2" xfId="0" applyNumberFormat="1" applyFont="1" applyBorder="1" applyAlignment="1">
      <alignment horizontal="right"/>
    </xf>
    <xf numFmtId="0" fontId="32" fillId="0" borderId="0" xfId="0" applyFont="1"/>
    <xf numFmtId="2" fontId="32" fillId="0" borderId="0" xfId="0" applyNumberFormat="1" applyFont="1"/>
    <xf numFmtId="169" fontId="17" fillId="5" borderId="0" xfId="0" applyNumberFormat="1" applyFont="1" applyFill="1"/>
    <xf numFmtId="0" fontId="10" fillId="3" borderId="5" xfId="0" applyFont="1" applyFill="1" applyBorder="1"/>
    <xf numFmtId="0" fontId="10" fillId="3" borderId="6" xfId="0" applyFont="1" applyFill="1" applyBorder="1"/>
    <xf numFmtId="0" fontId="20" fillId="3" borderId="5" xfId="3" applyFont="1" applyFill="1" applyBorder="1" applyAlignment="1">
      <alignment horizontal="center"/>
    </xf>
    <xf numFmtId="0" fontId="20" fillId="3" borderId="6" xfId="3" applyFont="1" applyFill="1" applyBorder="1" applyAlignment="1">
      <alignment horizontal="center"/>
    </xf>
    <xf numFmtId="0" fontId="20" fillId="3" borderId="7" xfId="3" applyFont="1" applyFill="1" applyBorder="1" applyAlignment="1">
      <alignment horizontal="center"/>
    </xf>
    <xf numFmtId="0" fontId="11" fillId="5" borderId="0" xfId="0" applyFont="1" applyFill="1" applyAlignment="1">
      <alignment horizontal="right"/>
    </xf>
    <xf numFmtId="0" fontId="0" fillId="5" borderId="0" xfId="0" applyFill="1"/>
    <xf numFmtId="0" fontId="13" fillId="4" borderId="8" xfId="2" applyFont="1" applyBorder="1" applyAlignment="1">
      <alignment horizontal="center" wrapText="1"/>
    </xf>
    <xf numFmtId="0" fontId="13" fillId="4" borderId="9" xfId="2" applyFont="1" applyBorder="1" applyAlignment="1">
      <alignment horizontal="center" wrapText="1"/>
    </xf>
    <xf numFmtId="0" fontId="13" fillId="4" borderId="10" xfId="2" applyFont="1" applyBorder="1" applyAlignment="1">
      <alignment horizontal="center" wrapText="1"/>
    </xf>
    <xf numFmtId="0" fontId="11" fillId="5" borderId="0" xfId="0" applyFont="1" applyFill="1" applyAlignment="1">
      <alignment horizontal="left" vertical="top" wrapText="1"/>
    </xf>
    <xf numFmtId="0" fontId="9" fillId="5" borderId="0" xfId="0" applyFont="1" applyFill="1" applyAlignment="1">
      <alignment horizontal="center"/>
    </xf>
    <xf numFmtId="0" fontId="17" fillId="0" borderId="2" xfId="0" applyFont="1" applyBorder="1" applyAlignment="1">
      <alignment horizontal="center" wrapText="1"/>
    </xf>
    <xf numFmtId="0" fontId="19" fillId="3" borderId="19" xfId="0" applyFont="1" applyFill="1" applyBorder="1" applyAlignment="1">
      <alignment horizontal="center" wrapText="1"/>
    </xf>
    <xf numFmtId="0" fontId="19" fillId="3" borderId="1" xfId="0" applyFont="1" applyFill="1" applyBorder="1" applyAlignment="1">
      <alignment horizontal="center" wrapText="1"/>
    </xf>
    <xf numFmtId="0" fontId="47" fillId="3" borderId="2" xfId="0" applyFont="1" applyFill="1" applyBorder="1" applyAlignment="1">
      <alignment horizontal="center"/>
    </xf>
    <xf numFmtId="0" fontId="48" fillId="3" borderId="15" xfId="0" applyFont="1" applyFill="1" applyBorder="1" applyAlignment="1">
      <alignment horizontal="center" vertical="center" textRotation="90" wrapText="1"/>
    </xf>
    <xf numFmtId="0" fontId="48" fillId="3" borderId="24" xfId="0" applyFont="1" applyFill="1" applyBorder="1" applyAlignment="1">
      <alignment horizontal="center" vertical="center" textRotation="90" wrapText="1"/>
    </xf>
    <xf numFmtId="0" fontId="48" fillId="3" borderId="25" xfId="0" applyFont="1" applyFill="1" applyBorder="1" applyAlignment="1">
      <alignment horizontal="center" vertical="center" textRotation="90" wrapText="1"/>
    </xf>
    <xf numFmtId="0" fontId="48" fillId="3" borderId="27" xfId="0" applyFont="1" applyFill="1" applyBorder="1" applyAlignment="1">
      <alignment horizontal="center" vertical="center" textRotation="90" wrapText="1"/>
    </xf>
    <xf numFmtId="0" fontId="48" fillId="3" borderId="22" xfId="0" applyFont="1" applyFill="1" applyBorder="1" applyAlignment="1">
      <alignment horizontal="left"/>
    </xf>
    <xf numFmtId="0" fontId="48" fillId="3" borderId="23" xfId="0" applyFont="1" applyFill="1" applyBorder="1" applyAlignment="1">
      <alignment horizontal="left"/>
    </xf>
    <xf numFmtId="0" fontId="48" fillId="3" borderId="40" xfId="0" applyFont="1" applyFill="1" applyBorder="1" applyAlignment="1">
      <alignment horizontal="left"/>
    </xf>
    <xf numFmtId="0" fontId="4" fillId="5" borderId="0" xfId="0" applyFont="1" applyFill="1" applyAlignment="1">
      <alignment horizontal="center"/>
    </xf>
    <xf numFmtId="0" fontId="11" fillId="5" borderId="0" xfId="0" applyFont="1" applyFill="1" applyAlignment="1">
      <alignment horizontal="left"/>
    </xf>
    <xf numFmtId="0" fontId="11" fillId="5" borderId="0" xfId="0" applyFont="1" applyFill="1" applyAlignment="1">
      <alignment horizontal="left" wrapText="1"/>
    </xf>
    <xf numFmtId="0" fontId="48" fillId="3" borderId="36" xfId="0" applyFont="1" applyFill="1" applyBorder="1" applyAlignment="1">
      <alignment horizontal="center" vertical="center" textRotation="90"/>
    </xf>
    <xf numFmtId="0" fontId="48" fillId="3" borderId="37" xfId="0" applyFont="1" applyFill="1" applyBorder="1" applyAlignment="1">
      <alignment horizontal="center" vertical="center" textRotation="90"/>
    </xf>
    <xf numFmtId="0" fontId="48" fillId="3" borderId="28" xfId="0" applyFont="1" applyFill="1" applyBorder="1" applyAlignment="1">
      <alignment horizontal="center"/>
    </xf>
    <xf numFmtId="0" fontId="48" fillId="3" borderId="29" xfId="0" applyFont="1" applyFill="1" applyBorder="1" applyAlignment="1">
      <alignment horizontal="center"/>
    </xf>
    <xf numFmtId="0" fontId="48" fillId="3" borderId="30" xfId="0" applyFont="1" applyFill="1" applyBorder="1" applyAlignment="1">
      <alignment horizontal="center"/>
    </xf>
    <xf numFmtId="0" fontId="0" fillId="5" borderId="0" xfId="0" applyFill="1" applyAlignment="1">
      <alignment vertical="top"/>
    </xf>
    <xf numFmtId="1" fontId="11" fillId="2" borderId="0" xfId="0" applyNumberFormat="1" applyFont="1" applyFill="1"/>
    <xf numFmtId="164" fontId="11" fillId="2" borderId="0" xfId="1" applyNumberFormat="1" applyFont="1" applyFill="1" applyProtection="1">
      <protection locked="0"/>
    </xf>
    <xf numFmtId="44" fontId="17" fillId="5" borderId="0" xfId="0" applyNumberFormat="1" applyFont="1" applyFill="1" applyAlignment="1">
      <alignment horizontal="center" wrapText="1"/>
    </xf>
    <xf numFmtId="44" fontId="15" fillId="5" borderId="0" xfId="0" applyNumberFormat="1" applyFont="1" applyFill="1" applyAlignment="1">
      <alignment horizontal="center" wrapText="1"/>
    </xf>
    <xf numFmtId="0" fontId="17" fillId="5" borderId="0" xfId="0" applyFont="1" applyFill="1" applyAlignment="1">
      <alignment horizontal="left" vertical="top" wrapText="1"/>
    </xf>
    <xf numFmtId="0" fontId="0" fillId="2" borderId="0" xfId="0" applyFill="1"/>
    <xf numFmtId="2" fontId="0" fillId="2" borderId="0" xfId="0" applyNumberFormat="1" applyFill="1"/>
    <xf numFmtId="0" fontId="0" fillId="2" borderId="26" xfId="0" applyFill="1" applyBorder="1"/>
    <xf numFmtId="1" fontId="17" fillId="2" borderId="0" xfId="0" applyNumberFormat="1" applyFont="1" applyFill="1"/>
    <xf numFmtId="0" fontId="4" fillId="0" borderId="0" xfId="0" applyFont="1" applyAlignment="1"/>
    <xf numFmtId="0" fontId="4" fillId="0" borderId="3" xfId="0" applyFont="1" applyBorder="1" applyAlignment="1"/>
    <xf numFmtId="0" fontId="11" fillId="5" borderId="19" xfId="0" applyFont="1" applyFill="1" applyBorder="1" applyAlignment="1"/>
    <xf numFmtId="0" fontId="11" fillId="5" borderId="1" xfId="0" applyFont="1" applyFill="1" applyBorder="1" applyAlignment="1"/>
    <xf numFmtId="0" fontId="11" fillId="5" borderId="39" xfId="0" applyFont="1" applyFill="1" applyBorder="1" applyAlignment="1"/>
    <xf numFmtId="164" fontId="40" fillId="0" borderId="0" xfId="0" applyNumberFormat="1" applyFont="1" applyAlignment="1"/>
  </cellXfs>
  <cellStyles count="6">
    <cellStyle name="Currency" xfId="4" builtinId="4"/>
    <cellStyle name="Hyperlink" xfId="5" builtinId="8"/>
    <cellStyle name="Normal" xfId="0" builtinId="0"/>
    <cellStyle name="Normal 2 2" xfId="3" xr:uid="{B82EEC54-C959-4263-882E-61D78481713D}"/>
    <cellStyle name="Output" xfId="2" builtinId="21"/>
    <cellStyle name="Percent" xfId="1" builtinId="5"/>
  </cellStyles>
  <dxfs count="2">
    <dxf>
      <font>
        <color rgb="FFFF0000"/>
      </font>
    </dxf>
    <dxf>
      <font>
        <color rgb="FFFF000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2590800</xdr:colOff>
      <xdr:row>3</xdr:row>
      <xdr:rowOff>133350</xdr:rowOff>
    </xdr:from>
    <xdr:to>
      <xdr:col>4</xdr:col>
      <xdr:colOff>85725</xdr:colOff>
      <xdr:row>8</xdr:row>
      <xdr:rowOff>152081</xdr:rowOff>
    </xdr:to>
    <xdr:pic>
      <xdr:nvPicPr>
        <xdr:cNvPr id="2" name="Picture 2" descr="University of Missouri - Extension and Food &amp; Agricultural Policy Research Institute">
          <a:extLst>
            <a:ext uri="{FF2B5EF4-FFF2-40B4-BE49-F238E27FC236}">
              <a16:creationId xmlns:a16="http://schemas.microsoft.com/office/drawing/2014/main" id="{5ABC196E-6112-4F0B-81C3-0BDA8D0BE83C}"/>
            </a:ext>
          </a:extLst>
        </xdr:cNvPr>
        <xdr:cNvPicPr>
          <a:picLocks noChangeAspect="1"/>
        </xdr:cNvPicPr>
      </xdr:nvPicPr>
      <xdr:blipFill>
        <a:blip xmlns:r="http://schemas.openxmlformats.org/officeDocument/2006/relationships" r:embed="rId1"/>
        <a:stretch>
          <a:fillRect/>
        </a:stretch>
      </xdr:blipFill>
      <xdr:spPr>
        <a:xfrm>
          <a:off x="5133975" y="809625"/>
          <a:ext cx="2924175" cy="9553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ersonal/milhollinr_umsystem_edu/Documents/Crops/Crop%20Budgets/2025/Forage/ForageBudgets%202025.xlsx" TargetMode="External"/><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lc4kg\Downloads\apple-budget.xlsx" TargetMode="External"/><Relationship Id="rId1" Type="http://schemas.openxmlformats.org/officeDocument/2006/relationships/externalLinkPath" Target="file:///C:\Users\mlc4kg\Downloads\apple-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Budget"/>
      <sheetName val="Investments"/>
      <sheetName val="Machinery"/>
      <sheetName val="Chemicals"/>
      <sheetName val="Sensitivity"/>
    </sheetNames>
    <sheetDataSet>
      <sheetData sheetId="0"/>
      <sheetData sheetId="1">
        <row r="28">
          <cell r="D28">
            <v>18.5</v>
          </cell>
        </row>
        <row r="48">
          <cell r="D48">
            <v>3.25</v>
          </cell>
        </row>
        <row r="61">
          <cell r="D61">
            <v>7.4999999999999997E-2</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mallory-rahe"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pageSetUpPr fitToPage="1"/>
  </sheetPr>
  <dimension ref="A1:M29"/>
  <sheetViews>
    <sheetView tabSelected="1" workbookViewId="0">
      <selection activeCell="B12" sqref="B12:D12"/>
    </sheetView>
  </sheetViews>
  <sheetFormatPr defaultColWidth="0" defaultRowHeight="16.5" customHeight="1" zeroHeight="1" x14ac:dyDescent="0.45"/>
  <cols>
    <col min="1" max="1" width="2.83203125" style="3" customWidth="1"/>
    <col min="2" max="2" width="32.75" style="3" customWidth="1"/>
    <col min="3" max="3" width="34.58203125" style="3" customWidth="1"/>
    <col min="4" max="4" width="36.58203125" style="3" customWidth="1"/>
    <col min="5" max="5" width="3" style="3" customWidth="1"/>
    <col min="6" max="8" width="9" style="3" hidden="1" customWidth="1"/>
    <col min="9" max="13" width="0" style="3" hidden="1" customWidth="1"/>
    <col min="14" max="16384" width="9" style="3" hidden="1"/>
  </cols>
  <sheetData>
    <row r="1" spans="1:13" ht="17" thickBot="1" x14ac:dyDescent="0.5">
      <c r="A1" s="2"/>
      <c r="B1" s="4"/>
      <c r="C1" s="4"/>
      <c r="D1" s="4"/>
      <c r="E1" s="2"/>
      <c r="F1" s="2"/>
      <c r="G1" s="2"/>
      <c r="H1" s="2"/>
      <c r="I1" s="2"/>
      <c r="J1" s="2"/>
      <c r="K1" s="2"/>
      <c r="L1" s="2"/>
      <c r="M1" s="2"/>
    </row>
    <row r="2" spans="1:13" ht="19.5" customHeight="1" thickBot="1" x14ac:dyDescent="0.55000000000000004">
      <c r="A2" s="2"/>
      <c r="B2" s="299" t="s">
        <v>203</v>
      </c>
      <c r="C2" s="300"/>
      <c r="D2" s="301"/>
      <c r="E2" s="2"/>
      <c r="F2" s="2"/>
      <c r="G2" s="2"/>
      <c r="H2" s="2"/>
    </row>
    <row r="3" spans="1:13" ht="16.5" customHeight="1" x14ac:dyDescent="0.45">
      <c r="A3" s="2"/>
      <c r="B3" s="302" t="s">
        <v>0</v>
      </c>
      <c r="C3" s="302"/>
      <c r="D3" s="302"/>
      <c r="E3" s="2"/>
      <c r="F3" s="2"/>
      <c r="G3" s="2"/>
      <c r="H3" s="2"/>
    </row>
    <row r="4" spans="1:13" x14ac:dyDescent="0.45">
      <c r="A4" s="2"/>
      <c r="B4" s="303"/>
      <c r="C4" s="303"/>
      <c r="D4" s="303"/>
      <c r="E4" s="2"/>
      <c r="F4" s="2"/>
      <c r="G4" s="2"/>
      <c r="H4" s="2"/>
    </row>
    <row r="5" spans="1:13" x14ac:dyDescent="0.45">
      <c r="A5" s="2"/>
      <c r="B5" s="8" t="s">
        <v>210</v>
      </c>
      <c r="C5" s="7"/>
      <c r="D5" s="308"/>
      <c r="E5" s="2"/>
      <c r="F5" s="2"/>
      <c r="G5" s="2"/>
      <c r="H5" s="2"/>
    </row>
    <row r="6" spans="1:13" ht="16.5" customHeight="1" x14ac:dyDescent="0.45">
      <c r="A6" s="2"/>
      <c r="B6" s="31"/>
      <c r="C6" s="30"/>
      <c r="D6" s="308"/>
      <c r="E6" s="2"/>
      <c r="F6" s="2"/>
      <c r="G6" s="2"/>
      <c r="H6" s="2"/>
    </row>
    <row r="7" spans="1:13" ht="16.5" customHeight="1" x14ac:dyDescent="0.45">
      <c r="A7" s="2"/>
      <c r="B7" s="70" t="s">
        <v>211</v>
      </c>
      <c r="C7" s="69" t="s">
        <v>165</v>
      </c>
      <c r="D7" s="46"/>
      <c r="E7" s="2"/>
      <c r="F7" s="2"/>
      <c r="G7" s="2"/>
      <c r="H7" s="2"/>
    </row>
    <row r="8" spans="1:13" ht="8.15" customHeight="1" x14ac:dyDescent="0.45">
      <c r="A8" s="2"/>
      <c r="B8" s="68"/>
      <c r="C8" s="70"/>
      <c r="D8" s="46"/>
      <c r="E8" s="2"/>
      <c r="F8" s="2"/>
      <c r="G8" s="2"/>
      <c r="H8" s="2"/>
    </row>
    <row r="9" spans="1:13" ht="16.5" customHeight="1" x14ac:dyDescent="0.45">
      <c r="A9" s="2"/>
      <c r="B9" s="70" t="s">
        <v>64</v>
      </c>
      <c r="C9" s="69" t="s">
        <v>65</v>
      </c>
      <c r="D9" s="46"/>
      <c r="E9" s="2"/>
      <c r="F9" s="2"/>
      <c r="G9" s="2"/>
      <c r="H9" s="2"/>
    </row>
    <row r="10" spans="1:13" x14ac:dyDescent="0.45">
      <c r="A10" s="2"/>
      <c r="B10" s="5"/>
      <c r="C10"/>
      <c r="D10" s="4"/>
      <c r="E10" s="2"/>
      <c r="F10" s="2"/>
      <c r="G10" s="2"/>
      <c r="H10" s="2"/>
    </row>
    <row r="11" spans="1:13" ht="48.65" customHeight="1" x14ac:dyDescent="0.45">
      <c r="A11" s="2"/>
      <c r="B11" s="307" t="s">
        <v>37</v>
      </c>
      <c r="C11" s="307"/>
      <c r="D11" s="307"/>
      <c r="E11" s="2"/>
      <c r="F11" s="2"/>
      <c r="G11" s="2"/>
      <c r="H11" s="2"/>
    </row>
    <row r="12" spans="1:13" ht="64" customHeight="1" x14ac:dyDescent="0.45">
      <c r="A12" s="2"/>
      <c r="B12" s="333" t="s">
        <v>249</v>
      </c>
      <c r="C12" s="333"/>
      <c r="D12" s="333"/>
      <c r="F12" s="2"/>
      <c r="G12" s="2"/>
      <c r="H12" s="2"/>
    </row>
    <row r="13" spans="1:13" ht="65.5" customHeight="1" x14ac:dyDescent="0.45">
      <c r="A13" s="2"/>
      <c r="B13" s="333" t="s">
        <v>248</v>
      </c>
      <c r="C13" s="333"/>
      <c r="D13" s="333"/>
      <c r="F13" s="2"/>
      <c r="G13" s="2"/>
      <c r="H13" s="2"/>
    </row>
    <row r="14" spans="1:13" ht="16.5" customHeight="1" x14ac:dyDescent="0.45">
      <c r="A14" s="2"/>
      <c r="B14" s="6"/>
      <c r="C14" s="6"/>
      <c r="D14" s="6"/>
      <c r="E14" s="2"/>
      <c r="F14" s="2"/>
      <c r="G14" s="2"/>
      <c r="H14" s="2"/>
    </row>
    <row r="15" spans="1:13" ht="16.5" customHeight="1" x14ac:dyDescent="0.45">
      <c r="A15" s="2"/>
      <c r="B15" s="304" t="s">
        <v>1</v>
      </c>
      <c r="C15" s="305"/>
      <c r="D15" s="306"/>
      <c r="E15" s="2"/>
      <c r="F15" s="2"/>
      <c r="G15" s="2"/>
      <c r="H15" s="2"/>
    </row>
    <row r="16" spans="1:13" ht="17" thickBot="1" x14ac:dyDescent="0.5">
      <c r="A16" s="2"/>
      <c r="B16" s="4"/>
      <c r="C16" s="4"/>
      <c r="D16" s="4"/>
      <c r="E16" s="2"/>
      <c r="F16" s="2"/>
      <c r="G16" s="2"/>
      <c r="H16" s="2"/>
    </row>
    <row r="17" spans="1:8" ht="19" thickBot="1" x14ac:dyDescent="0.5">
      <c r="A17" s="2"/>
      <c r="B17" s="297"/>
      <c r="C17" s="298"/>
      <c r="D17" s="298"/>
      <c r="E17" s="2"/>
      <c r="F17" s="2"/>
      <c r="G17" s="2"/>
      <c r="H17" s="2"/>
    </row>
    <row r="18" spans="1:8" x14ac:dyDescent="0.45">
      <c r="A18" s="2"/>
      <c r="B18" s="2"/>
      <c r="C18" s="2"/>
      <c r="D18" s="2"/>
      <c r="E18" s="2"/>
      <c r="F18" s="2"/>
      <c r="G18" s="2"/>
      <c r="H18" s="2"/>
    </row>
    <row r="19" spans="1:8" hidden="1" x14ac:dyDescent="0.45">
      <c r="A19" s="2"/>
      <c r="B19" s="2"/>
      <c r="C19" s="2"/>
      <c r="D19" s="2"/>
      <c r="E19" s="2"/>
      <c r="F19" s="2"/>
      <c r="G19" s="2"/>
      <c r="H19" s="2"/>
    </row>
    <row r="20" spans="1:8" hidden="1" x14ac:dyDescent="0.45">
      <c r="A20" s="2"/>
      <c r="B20" s="2"/>
      <c r="C20" s="2"/>
      <c r="D20" s="2"/>
      <c r="E20" s="2"/>
      <c r="F20" s="2"/>
      <c r="G20" s="2"/>
      <c r="H20" s="2"/>
    </row>
    <row r="21" spans="1:8" hidden="1" x14ac:dyDescent="0.45">
      <c r="A21" s="2"/>
      <c r="B21" s="2"/>
      <c r="C21" s="2"/>
      <c r="D21" s="2"/>
      <c r="E21" s="2"/>
      <c r="F21" s="2"/>
      <c r="G21" s="2"/>
      <c r="H21" s="2"/>
    </row>
    <row r="22" spans="1:8" hidden="1" x14ac:dyDescent="0.45">
      <c r="A22" s="2"/>
      <c r="B22" s="2"/>
      <c r="C22" s="2"/>
      <c r="D22" s="2"/>
      <c r="E22" s="2"/>
      <c r="F22" s="2"/>
      <c r="G22" s="2"/>
      <c r="H22" s="2"/>
    </row>
    <row r="23" spans="1:8" hidden="1" x14ac:dyDescent="0.45">
      <c r="A23" s="2"/>
      <c r="B23" s="2"/>
      <c r="C23" s="2"/>
      <c r="D23" s="2"/>
      <c r="E23" s="2"/>
      <c r="F23" s="2"/>
      <c r="G23" s="2"/>
      <c r="H23" s="2"/>
    </row>
    <row r="24" spans="1:8" hidden="1" x14ac:dyDescent="0.45">
      <c r="A24" s="2"/>
      <c r="B24" s="2"/>
      <c r="C24" s="2"/>
      <c r="D24" s="2"/>
      <c r="E24" s="2"/>
      <c r="F24" s="2"/>
      <c r="G24" s="2"/>
      <c r="H24" s="2"/>
    </row>
    <row r="25" spans="1:8" hidden="1" x14ac:dyDescent="0.45">
      <c r="A25" s="2"/>
      <c r="B25" s="2"/>
      <c r="C25" s="2"/>
      <c r="D25" s="2"/>
      <c r="E25" s="2"/>
      <c r="F25" s="2"/>
      <c r="G25" s="2"/>
      <c r="H25" s="2"/>
    </row>
    <row r="26" spans="1:8" hidden="1" x14ac:dyDescent="0.45">
      <c r="A26" s="2"/>
      <c r="B26" s="2"/>
      <c r="C26" s="2"/>
      <c r="D26" s="2"/>
      <c r="E26" s="2"/>
      <c r="F26" s="2"/>
      <c r="G26" s="2"/>
      <c r="H26" s="2"/>
    </row>
    <row r="27" spans="1:8" hidden="1" x14ac:dyDescent="0.45">
      <c r="A27" s="2"/>
    </row>
    <row r="28" spans="1:8" hidden="1" x14ac:dyDescent="0.45">
      <c r="A28" s="2"/>
    </row>
    <row r="29" spans="1:8" hidden="1" x14ac:dyDescent="0.45">
      <c r="A29" s="2"/>
    </row>
  </sheetData>
  <sheetProtection sheet="1" objects="1" scenarios="1"/>
  <mergeCells count="9">
    <mergeCell ref="B17:D17"/>
    <mergeCell ref="B2:D2"/>
    <mergeCell ref="B3:D3"/>
    <mergeCell ref="B4:D4"/>
    <mergeCell ref="B12:D12"/>
    <mergeCell ref="B15:D15"/>
    <mergeCell ref="B11:D11"/>
    <mergeCell ref="D5:D6"/>
    <mergeCell ref="B13:D13"/>
  </mergeCells>
  <hyperlinks>
    <hyperlink ref="C9" r:id="rId1" xr:uid="{BB3FA1A9-9037-432E-9854-8F52FD82CD63}"/>
    <hyperlink ref="C7" r:id="rId2" xr:uid="{D4EC7127-5736-4977-A6BD-29456AE73FD3}"/>
  </hyperlinks>
  <pageMargins left="0.7" right="0.7" top="0.75" bottom="0.75" header="0.3" footer="0.3"/>
  <pageSetup scale="80"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pageSetUpPr fitToPage="1"/>
  </sheetPr>
  <dimension ref="A1:AA71"/>
  <sheetViews>
    <sheetView showGridLines="0" zoomScaleNormal="100" workbookViewId="0">
      <selection activeCell="B59" sqref="B59"/>
    </sheetView>
  </sheetViews>
  <sheetFormatPr defaultColWidth="0" defaultRowHeight="16" customHeight="1" zeroHeight="1" x14ac:dyDescent="0.4"/>
  <cols>
    <col min="1" max="1" width="3.08203125" style="1" customWidth="1"/>
    <col min="2" max="2" width="1.58203125" style="1" customWidth="1"/>
    <col min="3" max="3" width="33.83203125" style="1" customWidth="1"/>
    <col min="4" max="4" width="8.08203125" style="1" customWidth="1"/>
    <col min="5" max="5" width="11" style="1" customWidth="1"/>
    <col min="6" max="6" width="1" style="1" customWidth="1"/>
    <col min="7" max="7" width="8.83203125" style="1" customWidth="1"/>
    <col min="8" max="8" width="11.58203125" style="1" customWidth="1"/>
    <col min="9" max="9" width="1.58203125" style="1" customWidth="1"/>
    <col min="10" max="10" width="8.83203125" style="1" customWidth="1"/>
    <col min="11" max="11" width="12.08203125" style="1" customWidth="1"/>
    <col min="12" max="12" width="1.58203125" style="1" customWidth="1"/>
    <col min="13" max="14" width="10" style="1" customWidth="1"/>
    <col min="15" max="15" width="2.08203125" style="1" customWidth="1"/>
    <col min="16" max="16" width="8.83203125" style="1" customWidth="1"/>
    <col min="17" max="17" width="12.08203125" style="1" customWidth="1"/>
    <col min="18" max="18" width="1.58203125" style="1" customWidth="1"/>
    <col min="19" max="19" width="8.83203125" style="1" customWidth="1"/>
    <col min="20" max="20" width="12.08203125" style="1" customWidth="1"/>
    <col min="21" max="21" width="1.58203125" style="1" customWidth="1"/>
    <col min="22" max="22" width="3.08203125" style="1" customWidth="1"/>
    <col min="23" max="26" width="9" style="1" hidden="1" customWidth="1"/>
    <col min="27" max="27" width="0" style="1" hidden="1" customWidth="1"/>
    <col min="28" max="16384" width="9" style="1" hidden="1"/>
  </cols>
  <sheetData>
    <row r="1" spans="1:21" ht="16.5" customHeight="1" x14ac:dyDescent="0.4">
      <c r="B1" s="44"/>
      <c r="C1" s="44"/>
      <c r="D1"/>
      <c r="E1"/>
      <c r="F1"/>
      <c r="G1"/>
      <c r="H1"/>
      <c r="I1"/>
      <c r="J1"/>
      <c r="K1"/>
      <c r="L1"/>
      <c r="M1"/>
      <c r="N1"/>
      <c r="O1"/>
      <c r="P1"/>
      <c r="Q1"/>
      <c r="R1"/>
      <c r="S1"/>
      <c r="T1"/>
    </row>
    <row r="2" spans="1:21" ht="18.75" customHeight="1" x14ac:dyDescent="0.5">
      <c r="B2" s="310" t="s">
        <v>206</v>
      </c>
      <c r="C2" s="311"/>
      <c r="D2" s="311"/>
      <c r="E2" s="311"/>
      <c r="F2" s="311"/>
      <c r="G2" s="311"/>
      <c r="H2" s="311"/>
      <c r="I2" s="311"/>
      <c r="J2" s="311"/>
      <c r="K2" s="311"/>
      <c r="L2" s="311"/>
      <c r="M2" s="311"/>
      <c r="N2" s="311"/>
      <c r="O2" s="311"/>
      <c r="P2" s="311"/>
      <c r="Q2" s="311"/>
      <c r="R2" s="311"/>
      <c r="S2" s="311"/>
      <c r="T2" s="311"/>
      <c r="U2" s="311"/>
    </row>
    <row r="3" spans="1:21" ht="32.5" customHeight="1" x14ac:dyDescent="0.4">
      <c r="B3" s="47"/>
      <c r="C3" s="47"/>
      <c r="D3" s="47"/>
      <c r="E3" s="47"/>
      <c r="F3" s="47"/>
      <c r="G3" s="309" t="s">
        <v>39</v>
      </c>
      <c r="H3" s="309"/>
      <c r="I3" s="48"/>
      <c r="J3" s="309" t="s">
        <v>40</v>
      </c>
      <c r="K3" s="309"/>
      <c r="L3" s="48"/>
      <c r="M3" s="309" t="s">
        <v>227</v>
      </c>
      <c r="N3" s="309"/>
      <c r="O3" s="207"/>
      <c r="P3" s="309" t="s">
        <v>225</v>
      </c>
      <c r="Q3" s="309"/>
      <c r="R3" s="48"/>
      <c r="S3" s="309" t="s">
        <v>226</v>
      </c>
      <c r="T3" s="309"/>
    </row>
    <row r="4" spans="1:21" ht="35.15" customHeight="1" x14ac:dyDescent="0.45">
      <c r="A4" s="9"/>
      <c r="B4" s="49" t="s">
        <v>16</v>
      </c>
      <c r="C4" s="49"/>
      <c r="D4" s="50" t="s">
        <v>3</v>
      </c>
      <c r="E4" s="51" t="s">
        <v>4</v>
      </c>
      <c r="F4" s="52"/>
      <c r="G4" s="51" t="s">
        <v>5</v>
      </c>
      <c r="H4" s="51" t="s">
        <v>6</v>
      </c>
      <c r="I4" s="53"/>
      <c r="J4" s="51" t="s">
        <v>5</v>
      </c>
      <c r="K4" s="51" t="s">
        <v>7</v>
      </c>
      <c r="L4" s="53"/>
      <c r="M4" s="49" t="s">
        <v>70</v>
      </c>
      <c r="N4" s="284" t="s">
        <v>228</v>
      </c>
      <c r="O4" s="271"/>
      <c r="P4" s="51" t="s">
        <v>5</v>
      </c>
      <c r="Q4" s="51" t="s">
        <v>6</v>
      </c>
      <c r="R4" s="54"/>
      <c r="S4" s="51" t="s">
        <v>5</v>
      </c>
      <c r="T4" s="51" t="s">
        <v>6</v>
      </c>
    </row>
    <row r="5" spans="1:21" ht="16" customHeight="1" x14ac:dyDescent="0.45">
      <c r="A5" s="9"/>
      <c r="B5" s="7" t="s">
        <v>47</v>
      </c>
      <c r="C5" s="7"/>
      <c r="D5" s="32" t="s">
        <v>10</v>
      </c>
      <c r="E5" s="211">
        <v>5.5</v>
      </c>
      <c r="F5" s="7"/>
      <c r="G5" s="212">
        <v>0</v>
      </c>
      <c r="H5" s="277">
        <f>E5*G5</f>
        <v>0</v>
      </c>
      <c r="I5" s="7"/>
      <c r="J5" s="212">
        <v>0</v>
      </c>
      <c r="K5" s="260">
        <f>J5*E5</f>
        <v>0</v>
      </c>
      <c r="L5" s="7"/>
      <c r="M5" s="212">
        <v>0</v>
      </c>
      <c r="N5" s="260">
        <f>E5*M5</f>
        <v>0</v>
      </c>
      <c r="O5" s="57"/>
      <c r="P5" s="337">
        <f>3.69*J9</f>
        <v>3346.83</v>
      </c>
      <c r="Q5" s="260">
        <f>IF(P5*E5=0,"",P5*E5)</f>
        <v>18407.564999999999</v>
      </c>
      <c r="R5" s="7"/>
      <c r="S5" s="337">
        <f>J9*7.6</f>
        <v>6893.2</v>
      </c>
      <c r="T5" s="260">
        <f>S5*E5</f>
        <v>37912.6</v>
      </c>
    </row>
    <row r="6" spans="1:21" ht="16" customHeight="1" x14ac:dyDescent="0.45">
      <c r="A6" s="9"/>
      <c r="B6" s="7" t="s">
        <v>167</v>
      </c>
      <c r="C6" s="7"/>
      <c r="D6" s="32" t="s">
        <v>168</v>
      </c>
      <c r="E6" s="211"/>
      <c r="F6" s="7"/>
      <c r="G6" s="212"/>
      <c r="H6" s="260">
        <f>E6*G6</f>
        <v>0</v>
      </c>
      <c r="I6" s="7"/>
      <c r="J6" s="212"/>
      <c r="K6" s="260">
        <f>J6*E6</f>
        <v>0</v>
      </c>
      <c r="L6" s="7"/>
      <c r="M6" s="212"/>
      <c r="N6" s="260">
        <f>E6*M6</f>
        <v>0</v>
      </c>
      <c r="O6" s="57"/>
      <c r="P6" s="213"/>
      <c r="Q6" s="260">
        <f>P6*E6</f>
        <v>0</v>
      </c>
      <c r="R6" s="7"/>
      <c r="S6" s="213"/>
      <c r="T6" s="260" t="str">
        <f>IF(S6*E6=0,"",S6*E6)</f>
        <v/>
      </c>
    </row>
    <row r="7" spans="1:21" ht="16" customHeight="1" x14ac:dyDescent="0.45">
      <c r="A7" s="9"/>
      <c r="C7" s="56" t="s">
        <v>17</v>
      </c>
      <c r="D7"/>
      <c r="E7" s="7"/>
      <c r="F7" s="7"/>
      <c r="G7" s="7"/>
      <c r="H7" s="260">
        <f>H5+H6</f>
        <v>0</v>
      </c>
      <c r="I7" s="7"/>
      <c r="J7" s="7"/>
      <c r="K7" s="260">
        <f>K5+K6</f>
        <v>0</v>
      </c>
      <c r="L7" s="7"/>
      <c r="M7" s="7"/>
      <c r="N7" s="260">
        <f>N5+N6</f>
        <v>0</v>
      </c>
      <c r="O7" s="57"/>
      <c r="P7" s="7"/>
      <c r="Q7" s="260">
        <f>Q5+Q6</f>
        <v>18407.564999999999</v>
      </c>
      <c r="R7" s="7"/>
      <c r="S7" s="7"/>
      <c r="T7" s="260">
        <f>T5</f>
        <v>37912.6</v>
      </c>
    </row>
    <row r="8" spans="1:21" ht="35.15" customHeight="1" x14ac:dyDescent="0.45">
      <c r="A8" s="9"/>
      <c r="B8" s="49" t="s">
        <v>18</v>
      </c>
      <c r="C8" s="49"/>
      <c r="D8" s="50" t="s">
        <v>3</v>
      </c>
      <c r="E8" s="51" t="s">
        <v>4</v>
      </c>
      <c r="F8" s="52"/>
      <c r="G8" s="51" t="s">
        <v>5</v>
      </c>
      <c r="H8" s="262" t="s">
        <v>6</v>
      </c>
      <c r="I8" s="53"/>
      <c r="J8" s="51" t="s">
        <v>5</v>
      </c>
      <c r="K8" s="262" t="s">
        <v>6</v>
      </c>
      <c r="L8" s="53"/>
      <c r="M8" s="51" t="s">
        <v>5</v>
      </c>
      <c r="N8" s="262" t="s">
        <v>6</v>
      </c>
      <c r="O8" s="53"/>
      <c r="P8" s="51" t="s">
        <v>5</v>
      </c>
      <c r="Q8" s="51" t="s">
        <v>6</v>
      </c>
      <c r="R8" s="54"/>
      <c r="S8" s="51" t="s">
        <v>5</v>
      </c>
      <c r="T8" s="51" t="s">
        <v>6</v>
      </c>
    </row>
    <row r="9" spans="1:21" ht="16" customHeight="1" x14ac:dyDescent="0.45">
      <c r="A9" s="9"/>
      <c r="B9" s="7" t="s">
        <v>48</v>
      </c>
      <c r="C9" s="7"/>
      <c r="D9" s="32" t="s">
        <v>8</v>
      </c>
      <c r="E9" s="10">
        <v>5.5</v>
      </c>
      <c r="F9" s="7"/>
      <c r="G9" s="11"/>
      <c r="H9" s="260" t="str">
        <f t="shared" ref="H9:H40" si="0">IF(G9*E9=0, "",G9*E9)</f>
        <v/>
      </c>
      <c r="I9" s="7"/>
      <c r="J9" s="252">
        <f>'Financial Sensitivity'!R3</f>
        <v>907</v>
      </c>
      <c r="K9" s="260">
        <f t="shared" ref="K9:K39" si="1">IF(J9*E9=0,"",J9*E9)</f>
        <v>4988.5</v>
      </c>
      <c r="L9" s="7"/>
      <c r="M9" s="265">
        <f>ROUNDUP(J9*0.03,0)</f>
        <v>28</v>
      </c>
      <c r="N9" s="260">
        <f t="shared" ref="N9:N39" si="2">IF(M9*E9=0,"",M9*E9)</f>
        <v>154</v>
      </c>
      <c r="O9" s="7"/>
      <c r="P9" s="13">
        <f>ROUNDUP(J9*0.03,0)</f>
        <v>28</v>
      </c>
      <c r="Q9" s="260">
        <f t="shared" ref="Q9:Q40" si="3">IF(P9*E9=0,"",P9*E9)</f>
        <v>154</v>
      </c>
      <c r="R9" s="7"/>
      <c r="S9" s="251">
        <f>ROUNDUP(J9*0.03,0)</f>
        <v>28</v>
      </c>
      <c r="T9" s="260">
        <f t="shared" ref="T9:T40" si="4">IF(S9*E9=0,"",S9*E9)</f>
        <v>154</v>
      </c>
    </row>
    <row r="10" spans="1:21" ht="16" customHeight="1" x14ac:dyDescent="0.45">
      <c r="A10" s="9"/>
      <c r="B10" s="48" t="s">
        <v>212</v>
      </c>
      <c r="C10" s="7"/>
      <c r="D10" s="32"/>
      <c r="E10" s="208"/>
      <c r="F10" s="7"/>
      <c r="G10" s="253"/>
      <c r="H10" s="260" t="str">
        <f t="shared" si="0"/>
        <v/>
      </c>
      <c r="I10" s="7"/>
      <c r="J10" s="253"/>
      <c r="K10" s="260" t="str">
        <f t="shared" si="1"/>
        <v/>
      </c>
      <c r="L10" s="7"/>
      <c r="M10" s="7"/>
      <c r="N10" s="260" t="str">
        <f t="shared" si="2"/>
        <v/>
      </c>
      <c r="O10" s="7"/>
      <c r="P10" s="210"/>
      <c r="Q10" s="260" t="str">
        <f t="shared" si="3"/>
        <v/>
      </c>
      <c r="R10" s="7"/>
      <c r="S10" s="253"/>
      <c r="T10" s="260" t="str">
        <f t="shared" si="4"/>
        <v/>
      </c>
    </row>
    <row r="11" spans="1:21" ht="16" customHeight="1" x14ac:dyDescent="0.45">
      <c r="A11" s="9"/>
      <c r="B11" s="272"/>
      <c r="C11" s="86" t="s">
        <v>50</v>
      </c>
      <c r="D11" s="32" t="s">
        <v>10</v>
      </c>
      <c r="E11" s="195">
        <v>8.4700000000000006</v>
      </c>
      <c r="F11" s="7"/>
      <c r="G11" s="251">
        <v>3</v>
      </c>
      <c r="H11" s="260">
        <f t="shared" si="0"/>
        <v>25.410000000000004</v>
      </c>
      <c r="I11" s="7"/>
      <c r="J11" s="251"/>
      <c r="K11" s="260" t="str">
        <f t="shared" si="1"/>
        <v/>
      </c>
      <c r="L11" s="7"/>
      <c r="M11" s="265"/>
      <c r="N11" s="260" t="str">
        <f t="shared" si="2"/>
        <v/>
      </c>
      <c r="O11" s="7"/>
      <c r="P11" s="13"/>
      <c r="Q11" s="260" t="str">
        <f t="shared" si="3"/>
        <v/>
      </c>
      <c r="R11" s="7"/>
      <c r="S11" s="251"/>
      <c r="T11" s="260" t="str">
        <f t="shared" si="4"/>
        <v/>
      </c>
    </row>
    <row r="12" spans="1:21" ht="16" customHeight="1" x14ac:dyDescent="0.45">
      <c r="A12" s="9"/>
      <c r="B12" s="272"/>
      <c r="C12" s="86" t="s">
        <v>51</v>
      </c>
      <c r="D12" s="32" t="s">
        <v>10</v>
      </c>
      <c r="E12" s="195">
        <v>1.34</v>
      </c>
      <c r="F12" s="7"/>
      <c r="G12" s="251">
        <v>30</v>
      </c>
      <c r="H12" s="260">
        <f t="shared" si="0"/>
        <v>40.200000000000003</v>
      </c>
      <c r="I12" s="7"/>
      <c r="J12" s="251"/>
      <c r="K12" s="260" t="str">
        <f t="shared" si="1"/>
        <v/>
      </c>
      <c r="L12" s="7"/>
      <c r="M12" s="265"/>
      <c r="N12" s="260" t="str">
        <f t="shared" si="2"/>
        <v/>
      </c>
      <c r="O12" s="7"/>
      <c r="P12" s="13"/>
      <c r="Q12" s="260" t="str">
        <f t="shared" si="3"/>
        <v/>
      </c>
      <c r="R12" s="7"/>
      <c r="S12" s="251"/>
      <c r="T12" s="260" t="str">
        <f t="shared" si="4"/>
        <v/>
      </c>
    </row>
    <row r="13" spans="1:21" ht="16" customHeight="1" x14ac:dyDescent="0.45">
      <c r="A13" s="9"/>
      <c r="B13" s="272"/>
      <c r="C13" s="273" t="s">
        <v>234</v>
      </c>
      <c r="D13" s="32" t="s">
        <v>10</v>
      </c>
      <c r="E13" s="10">
        <v>3</v>
      </c>
      <c r="F13" s="7"/>
      <c r="G13" s="251"/>
      <c r="H13" s="260" t="str">
        <f t="shared" si="0"/>
        <v/>
      </c>
      <c r="I13" s="7"/>
      <c r="J13" s="251">
        <v>10</v>
      </c>
      <c r="K13" s="260">
        <f t="shared" si="1"/>
        <v>30</v>
      </c>
      <c r="L13" s="7"/>
      <c r="M13" s="265"/>
      <c r="N13" s="260" t="str">
        <f t="shared" si="2"/>
        <v/>
      </c>
      <c r="O13" s="7"/>
      <c r="P13" s="13"/>
      <c r="Q13" s="260" t="str">
        <f t="shared" si="3"/>
        <v/>
      </c>
      <c r="R13" s="7"/>
      <c r="S13" s="251"/>
      <c r="T13" s="260" t="str">
        <f t="shared" si="4"/>
        <v/>
      </c>
    </row>
    <row r="14" spans="1:21" ht="16" customHeight="1" x14ac:dyDescent="0.45">
      <c r="A14" s="9"/>
      <c r="C14" s="7" t="s">
        <v>56</v>
      </c>
      <c r="D14" s="32" t="s">
        <v>41</v>
      </c>
      <c r="E14" s="10">
        <v>0.74</v>
      </c>
      <c r="F14" s="7"/>
      <c r="G14" s="251"/>
      <c r="H14" s="260" t="str">
        <f>IF(G14*E14=0, "",G14*E14)</f>
        <v/>
      </c>
      <c r="I14" s="7"/>
      <c r="J14" s="251">
        <f>J9*2</f>
        <v>1814</v>
      </c>
      <c r="K14" s="260">
        <f>IF(J14*E14=0,"",J14*E14)</f>
        <v>1342.36</v>
      </c>
      <c r="L14" s="7"/>
      <c r="M14" s="265"/>
      <c r="N14" s="260" t="str">
        <f>IF(M14*E14=0,"",M14*E14)</f>
        <v/>
      </c>
      <c r="O14" s="7"/>
      <c r="P14" s="265"/>
      <c r="Q14" s="260" t="str">
        <f>IF(P14*E14=0,"",P14*E14)</f>
        <v/>
      </c>
      <c r="R14" s="7"/>
      <c r="S14" s="251"/>
      <c r="T14" s="260" t="str">
        <f>IF(S14*E14=0,"",S14*E14)</f>
        <v/>
      </c>
    </row>
    <row r="15" spans="1:21" ht="16" customHeight="1" x14ac:dyDescent="0.45">
      <c r="A15" s="9"/>
      <c r="B15" s="272"/>
      <c r="C15" s="273" t="s">
        <v>229</v>
      </c>
      <c r="D15" s="32" t="s">
        <v>38</v>
      </c>
      <c r="E15" s="10">
        <v>32</v>
      </c>
      <c r="F15" s="7"/>
      <c r="G15" s="251"/>
      <c r="H15" s="260" t="str">
        <f t="shared" si="0"/>
        <v/>
      </c>
      <c r="I15" s="7"/>
      <c r="J15" s="251">
        <v>12</v>
      </c>
      <c r="K15" s="260">
        <f t="shared" si="1"/>
        <v>384</v>
      </c>
      <c r="L15" s="7"/>
      <c r="M15" s="265"/>
      <c r="N15" s="260" t="str">
        <f t="shared" si="2"/>
        <v/>
      </c>
      <c r="O15" s="7"/>
      <c r="P15" s="13"/>
      <c r="Q15" s="260" t="str">
        <f t="shared" si="3"/>
        <v/>
      </c>
      <c r="R15" s="7"/>
      <c r="S15" s="251"/>
      <c r="T15" s="260" t="str">
        <f t="shared" si="4"/>
        <v/>
      </c>
    </row>
    <row r="16" spans="1:21" ht="16" customHeight="1" x14ac:dyDescent="0.45">
      <c r="A16" s="9"/>
      <c r="B16" s="272"/>
      <c r="C16" s="7" t="s">
        <v>230</v>
      </c>
      <c r="D16" s="32" t="s">
        <v>8</v>
      </c>
      <c r="E16" s="195">
        <v>76.959999999999994</v>
      </c>
      <c r="F16" s="7"/>
      <c r="G16" s="251"/>
      <c r="H16" s="260" t="str">
        <f t="shared" si="0"/>
        <v/>
      </c>
      <c r="I16" s="7"/>
      <c r="J16" s="251">
        <v>15</v>
      </c>
      <c r="K16" s="260">
        <f t="shared" si="1"/>
        <v>1154.3999999999999</v>
      </c>
      <c r="L16" s="7"/>
      <c r="M16" s="265"/>
      <c r="N16" s="260" t="str">
        <f t="shared" si="2"/>
        <v/>
      </c>
      <c r="O16" s="7"/>
      <c r="P16" s="13"/>
      <c r="Q16" s="260" t="str">
        <f t="shared" si="3"/>
        <v/>
      </c>
      <c r="R16" s="7"/>
      <c r="S16" s="251"/>
      <c r="T16" s="260" t="str">
        <f t="shared" si="4"/>
        <v/>
      </c>
    </row>
    <row r="17" spans="1:20" ht="16" customHeight="1" x14ac:dyDescent="0.45">
      <c r="A17" s="9"/>
      <c r="B17" s="7" t="s">
        <v>135</v>
      </c>
      <c r="C17" s="7"/>
      <c r="D17" s="32"/>
      <c r="E17" s="208"/>
      <c r="F17" s="7"/>
      <c r="G17" s="253"/>
      <c r="H17" s="260" t="str">
        <f t="shared" si="0"/>
        <v/>
      </c>
      <c r="I17" s="7"/>
      <c r="J17" s="253"/>
      <c r="K17" s="260" t="str">
        <f t="shared" si="1"/>
        <v/>
      </c>
      <c r="L17" s="7"/>
      <c r="M17" s="7"/>
      <c r="N17" s="260" t="str">
        <f t="shared" si="2"/>
        <v/>
      </c>
      <c r="O17" s="7"/>
      <c r="P17" s="210"/>
      <c r="Q17" s="260" t="str">
        <f t="shared" si="3"/>
        <v/>
      </c>
      <c r="R17" s="7"/>
      <c r="S17" s="253"/>
      <c r="T17" s="260" t="str">
        <f t="shared" si="4"/>
        <v/>
      </c>
    </row>
    <row r="18" spans="1:20" ht="16" customHeight="1" x14ac:dyDescent="0.45">
      <c r="A18" s="9"/>
      <c r="C18" s="7" t="s">
        <v>49</v>
      </c>
      <c r="D18" s="32" t="s">
        <v>8</v>
      </c>
      <c r="E18" s="10">
        <v>15</v>
      </c>
      <c r="F18" s="7"/>
      <c r="G18" s="251">
        <v>2</v>
      </c>
      <c r="H18" s="260">
        <f t="shared" si="0"/>
        <v>30</v>
      </c>
      <c r="I18" s="7"/>
      <c r="J18" s="251">
        <v>1</v>
      </c>
      <c r="K18" s="260">
        <f t="shared" si="1"/>
        <v>15</v>
      </c>
      <c r="L18" s="7"/>
      <c r="M18" s="265">
        <v>1</v>
      </c>
      <c r="N18" s="260">
        <f t="shared" si="2"/>
        <v>15</v>
      </c>
      <c r="O18" s="7"/>
      <c r="P18" s="265">
        <v>1</v>
      </c>
      <c r="Q18" s="260">
        <f t="shared" si="3"/>
        <v>15</v>
      </c>
      <c r="R18" s="7"/>
      <c r="S18" s="251">
        <v>1</v>
      </c>
      <c r="T18" s="260">
        <f t="shared" si="4"/>
        <v>15</v>
      </c>
    </row>
    <row r="19" spans="1:20" ht="16" customHeight="1" x14ac:dyDescent="0.45">
      <c r="A19" s="9"/>
      <c r="C19" s="7" t="s">
        <v>142</v>
      </c>
      <c r="D19" s="32" t="s">
        <v>8</v>
      </c>
      <c r="E19" s="10">
        <v>40</v>
      </c>
      <c r="F19" s="7"/>
      <c r="G19" s="251"/>
      <c r="H19" s="260" t="str">
        <f t="shared" si="0"/>
        <v/>
      </c>
      <c r="I19" s="7"/>
      <c r="J19" s="251"/>
      <c r="K19" s="260" t="str">
        <f t="shared" si="1"/>
        <v/>
      </c>
      <c r="L19" s="7"/>
      <c r="M19" s="265">
        <v>1</v>
      </c>
      <c r="N19" s="260">
        <f t="shared" si="2"/>
        <v>40</v>
      </c>
      <c r="O19" s="7"/>
      <c r="P19" s="265">
        <v>1</v>
      </c>
      <c r="Q19" s="260">
        <f t="shared" si="3"/>
        <v>40</v>
      </c>
      <c r="R19" s="7"/>
      <c r="S19" s="251">
        <v>1</v>
      </c>
      <c r="T19" s="260">
        <f t="shared" si="4"/>
        <v>40</v>
      </c>
    </row>
    <row r="20" spans="1:20" ht="16" customHeight="1" x14ac:dyDescent="0.45">
      <c r="A20" s="9"/>
      <c r="C20" s="7" t="s">
        <v>57</v>
      </c>
      <c r="D20" s="32" t="s">
        <v>58</v>
      </c>
      <c r="E20" s="10">
        <f>Chemicals!H4</f>
        <v>49</v>
      </c>
      <c r="F20" s="7"/>
      <c r="G20" s="251"/>
      <c r="H20" s="260" t="str">
        <f t="shared" si="0"/>
        <v/>
      </c>
      <c r="I20" s="7"/>
      <c r="J20" s="251">
        <v>100</v>
      </c>
      <c r="K20" s="260">
        <f t="shared" si="1"/>
        <v>4900</v>
      </c>
      <c r="L20" s="7"/>
      <c r="M20" s="265"/>
      <c r="N20" s="260" t="str">
        <f t="shared" si="2"/>
        <v/>
      </c>
      <c r="O20" s="7"/>
      <c r="P20" s="265">
        <v>10</v>
      </c>
      <c r="Q20" s="260">
        <f t="shared" si="3"/>
        <v>490</v>
      </c>
      <c r="R20" s="7"/>
      <c r="S20" s="251">
        <v>10</v>
      </c>
      <c r="T20" s="260">
        <f t="shared" si="4"/>
        <v>490</v>
      </c>
    </row>
    <row r="21" spans="1:20" ht="16" customHeight="1" x14ac:dyDescent="0.45">
      <c r="A21" s="9"/>
      <c r="C21" s="7" t="s">
        <v>59</v>
      </c>
      <c r="D21" s="32" t="s">
        <v>10</v>
      </c>
      <c r="E21" s="10">
        <v>0.45</v>
      </c>
      <c r="F21" s="7"/>
      <c r="G21" s="251"/>
      <c r="H21" s="260" t="str">
        <f t="shared" si="0"/>
        <v/>
      </c>
      <c r="I21" s="7"/>
      <c r="J21" s="251">
        <v>10</v>
      </c>
      <c r="K21" s="260">
        <f t="shared" si="1"/>
        <v>4.5</v>
      </c>
      <c r="L21" s="7"/>
      <c r="M21" s="265">
        <v>105</v>
      </c>
      <c r="N21" s="260">
        <f t="shared" si="2"/>
        <v>47.25</v>
      </c>
      <c r="O21" s="7"/>
      <c r="P21" s="265">
        <v>105</v>
      </c>
      <c r="Q21" s="260">
        <f t="shared" si="3"/>
        <v>47.25</v>
      </c>
      <c r="R21" s="7"/>
      <c r="S21" s="251">
        <v>105</v>
      </c>
      <c r="T21" s="260">
        <f t="shared" si="4"/>
        <v>47.25</v>
      </c>
    </row>
    <row r="22" spans="1:20" ht="16" customHeight="1" x14ac:dyDescent="0.45">
      <c r="A22" s="9"/>
      <c r="C22" s="7" t="s">
        <v>44</v>
      </c>
      <c r="D22" s="32" t="s">
        <v>10</v>
      </c>
      <c r="E22" s="10">
        <v>0.55000000000000004</v>
      </c>
      <c r="F22" s="7"/>
      <c r="G22" s="251">
        <v>14</v>
      </c>
      <c r="H22" s="260">
        <f t="shared" si="0"/>
        <v>7.7000000000000011</v>
      </c>
      <c r="I22" s="7"/>
      <c r="J22" s="251"/>
      <c r="K22" s="260" t="str">
        <f t="shared" si="1"/>
        <v/>
      </c>
      <c r="L22" s="7"/>
      <c r="M22" s="265"/>
      <c r="N22" s="260" t="str">
        <f t="shared" si="2"/>
        <v/>
      </c>
      <c r="O22" s="7"/>
      <c r="P22" s="265"/>
      <c r="Q22" s="260" t="str">
        <f t="shared" si="3"/>
        <v/>
      </c>
      <c r="R22" s="7"/>
      <c r="S22" s="251"/>
      <c r="T22" s="260" t="str">
        <f t="shared" si="4"/>
        <v/>
      </c>
    </row>
    <row r="23" spans="1:20" ht="16" customHeight="1" x14ac:dyDescent="0.45">
      <c r="A23" s="9"/>
      <c r="C23" s="7" t="s">
        <v>45</v>
      </c>
      <c r="D23" s="32" t="s">
        <v>10</v>
      </c>
      <c r="E23" s="10">
        <v>0.38</v>
      </c>
      <c r="F23" s="7"/>
      <c r="G23" s="251"/>
      <c r="H23" s="260" t="str">
        <f t="shared" si="0"/>
        <v/>
      </c>
      <c r="I23" s="7"/>
      <c r="J23" s="251"/>
      <c r="K23" s="260" t="str">
        <f t="shared" si="1"/>
        <v/>
      </c>
      <c r="L23" s="7"/>
      <c r="M23" s="265"/>
      <c r="N23" s="260" t="str">
        <f t="shared" si="2"/>
        <v/>
      </c>
      <c r="O23" s="7"/>
      <c r="P23" s="265"/>
      <c r="Q23" s="260" t="str">
        <f t="shared" si="3"/>
        <v/>
      </c>
      <c r="R23" s="7"/>
      <c r="S23" s="251"/>
      <c r="T23" s="260" t="str">
        <f t="shared" si="4"/>
        <v/>
      </c>
    </row>
    <row r="24" spans="1:20" ht="16" customHeight="1" x14ac:dyDescent="0.45">
      <c r="A24" s="9"/>
      <c r="C24" s="7" t="s">
        <v>60</v>
      </c>
      <c r="D24" s="32" t="s">
        <v>10</v>
      </c>
      <c r="E24" s="10">
        <f>Chemicals!H3</f>
        <v>0.55000000000000004</v>
      </c>
      <c r="F24" s="7"/>
      <c r="G24" s="251">
        <v>1000</v>
      </c>
      <c r="H24" s="260">
        <f t="shared" si="0"/>
        <v>550</v>
      </c>
      <c r="I24" s="7"/>
      <c r="J24" s="251">
        <v>1000</v>
      </c>
      <c r="K24" s="260">
        <f t="shared" si="1"/>
        <v>550</v>
      </c>
      <c r="L24" s="7"/>
      <c r="M24" s="265">
        <v>90</v>
      </c>
      <c r="N24" s="260">
        <f t="shared" si="2"/>
        <v>49.500000000000007</v>
      </c>
      <c r="O24" s="7"/>
      <c r="P24" s="265">
        <v>90</v>
      </c>
      <c r="Q24" s="260">
        <f t="shared" si="3"/>
        <v>49.500000000000007</v>
      </c>
      <c r="R24" s="7"/>
      <c r="S24" s="251">
        <v>100</v>
      </c>
      <c r="T24" s="260">
        <f t="shared" si="4"/>
        <v>55.000000000000007</v>
      </c>
    </row>
    <row r="25" spans="1:20" ht="16" customHeight="1" x14ac:dyDescent="0.45">
      <c r="A25" s="9"/>
      <c r="B25" s="7" t="s">
        <v>88</v>
      </c>
      <c r="C25" s="7"/>
      <c r="D25" s="32"/>
      <c r="E25" s="28"/>
      <c r="F25" s="7"/>
      <c r="G25" s="62"/>
      <c r="H25" s="260" t="str">
        <f t="shared" si="0"/>
        <v/>
      </c>
      <c r="I25" s="7"/>
      <c r="J25" s="62"/>
      <c r="K25" s="260" t="str">
        <f t="shared" si="1"/>
        <v/>
      </c>
      <c r="L25" s="7"/>
      <c r="M25" s="7"/>
      <c r="N25" s="260" t="str">
        <f t="shared" si="2"/>
        <v/>
      </c>
      <c r="O25" s="7"/>
      <c r="P25" s="59"/>
      <c r="Q25" s="260" t="str">
        <f t="shared" si="3"/>
        <v/>
      </c>
      <c r="R25" s="7"/>
      <c r="S25" s="62"/>
      <c r="T25" s="260" t="str">
        <f t="shared" si="4"/>
        <v/>
      </c>
    </row>
    <row r="26" spans="1:20" ht="16" customHeight="1" x14ac:dyDescent="0.45">
      <c r="A26" s="9"/>
      <c r="C26" s="7" t="s">
        <v>76</v>
      </c>
      <c r="D26" s="32" t="s">
        <v>10</v>
      </c>
      <c r="E26" s="10">
        <f>Chemicals!B17</f>
        <v>14.550000000000002</v>
      </c>
      <c r="F26" s="7"/>
      <c r="G26" s="251"/>
      <c r="H26" s="260" t="str">
        <f t="shared" si="0"/>
        <v/>
      </c>
      <c r="I26" s="7"/>
      <c r="J26" s="251"/>
      <c r="K26" s="260" t="str">
        <f t="shared" si="1"/>
        <v/>
      </c>
      <c r="L26" s="7"/>
      <c r="M26" s="13">
        <f>Chemicals!C17</f>
        <v>14.5</v>
      </c>
      <c r="N26" s="260">
        <f t="shared" si="2"/>
        <v>210.97500000000002</v>
      </c>
      <c r="O26" s="7"/>
      <c r="P26" s="13">
        <f>Chemicals!C17</f>
        <v>14.5</v>
      </c>
      <c r="Q26" s="260">
        <f t="shared" si="3"/>
        <v>210.97500000000002</v>
      </c>
      <c r="R26" s="7"/>
      <c r="S26" s="11">
        <f>Chemicals!C17</f>
        <v>14.5</v>
      </c>
      <c r="T26" s="260">
        <f t="shared" si="4"/>
        <v>210.97500000000002</v>
      </c>
    </row>
    <row r="27" spans="1:20" ht="16" customHeight="1" x14ac:dyDescent="0.45">
      <c r="A27" s="9"/>
      <c r="C27" s="7" t="s">
        <v>78</v>
      </c>
      <c r="D27" s="32" t="s">
        <v>42</v>
      </c>
      <c r="E27" s="10">
        <f>Chemicals!B18</f>
        <v>10.305</v>
      </c>
      <c r="F27" s="7"/>
      <c r="G27" s="251"/>
      <c r="H27" s="260" t="str">
        <f t="shared" si="0"/>
        <v/>
      </c>
      <c r="I27" s="7"/>
      <c r="J27" s="251"/>
      <c r="K27" s="260" t="str">
        <f t="shared" si="1"/>
        <v/>
      </c>
      <c r="L27" s="7"/>
      <c r="M27" s="13">
        <f>Chemicals!C18</f>
        <v>3.6750000000000003</v>
      </c>
      <c r="N27" s="260">
        <f t="shared" si="2"/>
        <v>37.870875000000005</v>
      </c>
      <c r="O27" s="7"/>
      <c r="P27" s="13">
        <f>Chemicals!C18</f>
        <v>3.6750000000000003</v>
      </c>
      <c r="Q27" s="260">
        <f t="shared" si="3"/>
        <v>37.870875000000005</v>
      </c>
      <c r="R27" s="7"/>
      <c r="S27" s="11">
        <f>Chemicals!C18</f>
        <v>3.6750000000000003</v>
      </c>
      <c r="T27" s="260">
        <f t="shared" si="4"/>
        <v>37.870875000000005</v>
      </c>
    </row>
    <row r="28" spans="1:20" ht="16" customHeight="1" x14ac:dyDescent="0.45">
      <c r="A28" s="9"/>
      <c r="C28" s="7" t="s">
        <v>79</v>
      </c>
      <c r="D28" s="32" t="s">
        <v>41</v>
      </c>
      <c r="E28" s="10">
        <f>Chemicals!B19</f>
        <v>0.47</v>
      </c>
      <c r="F28" s="7"/>
      <c r="G28" s="251"/>
      <c r="H28" s="260" t="str">
        <f t="shared" si="0"/>
        <v/>
      </c>
      <c r="I28" s="7"/>
      <c r="J28" s="251"/>
      <c r="K28" s="260" t="str">
        <f t="shared" si="1"/>
        <v/>
      </c>
      <c r="L28" s="7"/>
      <c r="M28" s="13">
        <f>Chemicals!C19</f>
        <v>11</v>
      </c>
      <c r="N28" s="260">
        <f t="shared" si="2"/>
        <v>5.17</v>
      </c>
      <c r="O28" s="7"/>
      <c r="P28" s="13">
        <f>Chemicals!C19</f>
        <v>11</v>
      </c>
      <c r="Q28" s="260">
        <f t="shared" si="3"/>
        <v>5.17</v>
      </c>
      <c r="R28" s="7"/>
      <c r="S28" s="11">
        <f>Chemicals!C19</f>
        <v>11</v>
      </c>
      <c r="T28" s="260">
        <f t="shared" si="4"/>
        <v>5.17</v>
      </c>
    </row>
    <row r="29" spans="1:20" ht="16" customHeight="1" x14ac:dyDescent="0.45">
      <c r="A29" s="9"/>
      <c r="B29" s="7" t="s">
        <v>43</v>
      </c>
      <c r="C29" s="7"/>
      <c r="D29" s="32"/>
      <c r="E29" s="45"/>
      <c r="F29" s="7"/>
      <c r="G29" s="62"/>
      <c r="H29" s="260" t="str">
        <f t="shared" si="0"/>
        <v/>
      </c>
      <c r="I29" s="7"/>
      <c r="J29" s="62"/>
      <c r="K29" s="260" t="str">
        <f t="shared" si="1"/>
        <v/>
      </c>
      <c r="L29" s="7"/>
      <c r="M29" s="59"/>
      <c r="N29" s="260" t="str">
        <f t="shared" si="2"/>
        <v/>
      </c>
      <c r="O29" s="7"/>
      <c r="P29" s="59"/>
      <c r="Q29" s="260" t="str">
        <f t="shared" si="3"/>
        <v/>
      </c>
      <c r="R29" s="7"/>
      <c r="S29" s="58"/>
      <c r="T29" s="260" t="str">
        <f t="shared" si="4"/>
        <v/>
      </c>
    </row>
    <row r="30" spans="1:20" ht="16" customHeight="1" x14ac:dyDescent="0.45">
      <c r="A30" s="9"/>
      <c r="B30" s="7"/>
      <c r="C30" s="48" t="s">
        <v>232</v>
      </c>
      <c r="D30" s="32" t="s">
        <v>38</v>
      </c>
      <c r="E30" s="211">
        <f>Machinery!$M$16</f>
        <v>18.5</v>
      </c>
      <c r="F30" s="7"/>
      <c r="G30" s="254"/>
      <c r="H30" s="260" t="str">
        <f t="shared" si="0"/>
        <v/>
      </c>
      <c r="I30" s="7"/>
      <c r="J30" s="256">
        <v>98</v>
      </c>
      <c r="K30" s="260">
        <f t="shared" si="1"/>
        <v>1813</v>
      </c>
      <c r="L30" s="7"/>
      <c r="M30" s="225"/>
      <c r="N30" s="260" t="str">
        <f t="shared" si="2"/>
        <v/>
      </c>
      <c r="O30" s="7"/>
      <c r="P30" s="213"/>
      <c r="Q30" s="260" t="str">
        <f t="shared" si="3"/>
        <v/>
      </c>
      <c r="R30" s="7"/>
      <c r="S30" s="222"/>
      <c r="T30" s="260" t="str">
        <f t="shared" si="4"/>
        <v/>
      </c>
    </row>
    <row r="31" spans="1:20" ht="16" customHeight="1" x14ac:dyDescent="0.45">
      <c r="A31" s="9"/>
      <c r="B31" s="7"/>
      <c r="C31" s="48" t="s">
        <v>244</v>
      </c>
      <c r="D31" s="32" t="s">
        <v>38</v>
      </c>
      <c r="E31" s="211">
        <f>Machinery!$M$16</f>
        <v>18.5</v>
      </c>
      <c r="F31" s="7"/>
      <c r="G31" s="256">
        <f>Machinery!E10</f>
        <v>1.591</v>
      </c>
      <c r="H31" s="260">
        <f t="shared" si="0"/>
        <v>29.433499999999999</v>
      </c>
      <c r="I31" s="7"/>
      <c r="J31" s="255">
        <f>Machinery!E21-J35</f>
        <v>8.9789999999999992</v>
      </c>
      <c r="K31" s="260">
        <f t="shared" si="1"/>
        <v>166.11149999999998</v>
      </c>
      <c r="L31" s="7"/>
      <c r="M31" s="213">
        <f>Machinery!E32-M35</f>
        <v>7.3360000000000003</v>
      </c>
      <c r="N31" s="260">
        <f t="shared" si="2"/>
        <v>135.71600000000001</v>
      </c>
      <c r="O31" s="7"/>
      <c r="P31" s="213">
        <f>Machinery!E43-P35</f>
        <v>12.136000000000003</v>
      </c>
      <c r="Q31" s="260">
        <f t="shared" si="3"/>
        <v>224.51600000000005</v>
      </c>
      <c r="R31" s="7"/>
      <c r="S31" s="222">
        <f>Machinery!E43-S35</f>
        <v>8.7610000000000028</v>
      </c>
      <c r="T31" s="260">
        <f t="shared" si="4"/>
        <v>162.07850000000005</v>
      </c>
    </row>
    <row r="32" spans="1:20" ht="16" customHeight="1" x14ac:dyDescent="0.45">
      <c r="A32" s="9"/>
      <c r="B32" s="7"/>
      <c r="C32" s="48" t="s">
        <v>52</v>
      </c>
      <c r="D32" s="32" t="s">
        <v>38</v>
      </c>
      <c r="E32" s="211">
        <f>Machinery!$M$16</f>
        <v>18.5</v>
      </c>
      <c r="F32" s="7"/>
      <c r="G32" s="255"/>
      <c r="H32" s="260" t="str">
        <f t="shared" si="0"/>
        <v/>
      </c>
      <c r="I32" s="7"/>
      <c r="J32" s="255">
        <v>45</v>
      </c>
      <c r="K32" s="260">
        <f t="shared" si="1"/>
        <v>832.5</v>
      </c>
      <c r="L32" s="7"/>
      <c r="M32" s="213">
        <v>20</v>
      </c>
      <c r="N32" s="260">
        <f t="shared" si="2"/>
        <v>370</v>
      </c>
      <c r="O32" s="7"/>
      <c r="P32" s="249">
        <f>4*5</f>
        <v>20</v>
      </c>
      <c r="Q32" s="260">
        <f t="shared" si="3"/>
        <v>370</v>
      </c>
      <c r="R32" s="48"/>
      <c r="S32" s="223">
        <f>4*5</f>
        <v>20</v>
      </c>
      <c r="T32" s="260">
        <f t="shared" si="4"/>
        <v>370</v>
      </c>
    </row>
    <row r="33" spans="1:23" ht="16" customHeight="1" x14ac:dyDescent="0.45">
      <c r="A33" s="9"/>
      <c r="B33" s="7"/>
      <c r="C33" s="7" t="s">
        <v>134</v>
      </c>
      <c r="D33" s="32" t="s">
        <v>38</v>
      </c>
      <c r="E33" s="211">
        <f>Machinery!$M$16</f>
        <v>18.5</v>
      </c>
      <c r="F33" s="7"/>
      <c r="G33" s="255"/>
      <c r="H33" s="260" t="str">
        <f t="shared" si="0"/>
        <v/>
      </c>
      <c r="I33" s="7"/>
      <c r="J33" s="255"/>
      <c r="K33" s="260" t="str">
        <f t="shared" si="1"/>
        <v/>
      </c>
      <c r="L33" s="7"/>
      <c r="M33" s="213">
        <f>($J$9*1.5)/60</f>
        <v>22.675000000000001</v>
      </c>
      <c r="N33" s="260">
        <f t="shared" si="2"/>
        <v>419.48750000000001</v>
      </c>
      <c r="O33" s="7"/>
      <c r="P33" s="213">
        <f>($J$9*2)/60</f>
        <v>30.233333333333334</v>
      </c>
      <c r="Q33" s="260">
        <f t="shared" si="3"/>
        <v>559.31666666666672</v>
      </c>
      <c r="R33" s="7"/>
      <c r="S33" s="222">
        <f>(J9*2.5)/60</f>
        <v>37.791666666666664</v>
      </c>
      <c r="T33" s="260">
        <f t="shared" si="4"/>
        <v>699.14583333333326</v>
      </c>
      <c r="W33" s="29"/>
    </row>
    <row r="34" spans="1:23" ht="16" customHeight="1" x14ac:dyDescent="0.45">
      <c r="A34" s="9"/>
      <c r="B34" s="7"/>
      <c r="C34" s="7" t="s">
        <v>196</v>
      </c>
      <c r="D34" s="32" t="s">
        <v>38</v>
      </c>
      <c r="E34" s="211">
        <f>Machinery!$M$16</f>
        <v>18.5</v>
      </c>
      <c r="F34" s="7"/>
      <c r="G34" s="255"/>
      <c r="H34" s="260" t="str">
        <f t="shared" si="0"/>
        <v/>
      </c>
      <c r="I34" s="7"/>
      <c r="J34" s="255"/>
      <c r="K34" s="260" t="str">
        <f t="shared" si="1"/>
        <v/>
      </c>
      <c r="L34" s="7"/>
      <c r="M34" s="213"/>
      <c r="N34" s="260" t="str">
        <f t="shared" si="2"/>
        <v/>
      </c>
      <c r="O34" s="7"/>
      <c r="P34" s="213">
        <v>204</v>
      </c>
      <c r="Q34" s="260">
        <f t="shared" si="3"/>
        <v>3774</v>
      </c>
      <c r="R34" s="7"/>
      <c r="S34" s="222">
        <f>60*7</f>
        <v>420</v>
      </c>
      <c r="T34" s="260">
        <f t="shared" si="4"/>
        <v>7770</v>
      </c>
      <c r="W34" s="29"/>
    </row>
    <row r="35" spans="1:23" ht="16" customHeight="1" x14ac:dyDescent="0.45">
      <c r="A35" s="9"/>
      <c r="B35" s="7"/>
      <c r="C35" s="48" t="s">
        <v>136</v>
      </c>
      <c r="D35" s="32" t="s">
        <v>38</v>
      </c>
      <c r="E35" s="211">
        <f>Machinery!$M$16</f>
        <v>18.5</v>
      </c>
      <c r="F35" s="7"/>
      <c r="G35" s="255"/>
      <c r="H35" s="260" t="str">
        <f t="shared" si="0"/>
        <v/>
      </c>
      <c r="I35" s="7"/>
      <c r="J35" s="255">
        <f>3*0.75</f>
        <v>2.25</v>
      </c>
      <c r="K35" s="260">
        <f t="shared" si="1"/>
        <v>41.625</v>
      </c>
      <c r="L35" s="7"/>
      <c r="M35" s="213">
        <f>8*0.75</f>
        <v>6</v>
      </c>
      <c r="N35" s="260">
        <f t="shared" si="2"/>
        <v>111</v>
      </c>
      <c r="O35" s="7"/>
      <c r="P35" s="213">
        <f>11*0.75</f>
        <v>8.25</v>
      </c>
      <c r="Q35" s="260">
        <f t="shared" si="3"/>
        <v>152.625</v>
      </c>
      <c r="R35" s="7"/>
      <c r="S35" s="222">
        <f>(1.5*7+5)*0.75</f>
        <v>11.625</v>
      </c>
      <c r="T35" s="260">
        <f t="shared" si="4"/>
        <v>215.0625</v>
      </c>
      <c r="W35" s="29"/>
    </row>
    <row r="36" spans="1:23" ht="16" customHeight="1" x14ac:dyDescent="0.45">
      <c r="A36" s="9"/>
      <c r="B36" s="7"/>
      <c r="C36" s="7" t="s">
        <v>174</v>
      </c>
      <c r="D36" s="32" t="s">
        <v>38</v>
      </c>
      <c r="E36" s="211">
        <v>32</v>
      </c>
      <c r="F36" s="7"/>
      <c r="G36" s="255"/>
      <c r="H36" s="260" t="str">
        <f t="shared" si="0"/>
        <v/>
      </c>
      <c r="I36" s="7"/>
      <c r="J36" s="255">
        <v>12.5</v>
      </c>
      <c r="K36" s="260">
        <f t="shared" si="1"/>
        <v>400</v>
      </c>
      <c r="L36" s="7"/>
      <c r="M36" s="213"/>
      <c r="N36" s="260" t="str">
        <f t="shared" si="2"/>
        <v/>
      </c>
      <c r="O36" s="7"/>
      <c r="P36" s="213"/>
      <c r="Q36" s="260" t="str">
        <f t="shared" si="3"/>
        <v/>
      </c>
      <c r="R36" s="7"/>
      <c r="S36" s="222"/>
      <c r="T36" s="260" t="str">
        <f t="shared" si="4"/>
        <v/>
      </c>
      <c r="W36" s="29"/>
    </row>
    <row r="37" spans="1:23" ht="16" customHeight="1" x14ac:dyDescent="0.45">
      <c r="A37" s="9"/>
      <c r="B37" s="7" t="s">
        <v>139</v>
      </c>
      <c r="C37" s="7"/>
      <c r="D37" s="32"/>
      <c r="E37" s="208"/>
      <c r="F37" s="7"/>
      <c r="G37" s="253"/>
      <c r="H37" s="260" t="str">
        <f t="shared" si="0"/>
        <v/>
      </c>
      <c r="I37" s="7"/>
      <c r="J37" s="253"/>
      <c r="K37" s="260" t="str">
        <f t="shared" si="1"/>
        <v/>
      </c>
      <c r="L37" s="7"/>
      <c r="M37" s="59"/>
      <c r="N37" s="260" t="str">
        <f t="shared" si="2"/>
        <v/>
      </c>
      <c r="O37" s="7"/>
      <c r="P37" s="210"/>
      <c r="Q37" s="260" t="str">
        <f t="shared" si="3"/>
        <v/>
      </c>
      <c r="R37" s="7"/>
      <c r="S37" s="209"/>
      <c r="T37" s="260" t="str">
        <f t="shared" si="4"/>
        <v/>
      </c>
      <c r="W37" s="29"/>
    </row>
    <row r="38" spans="1:23" ht="16" customHeight="1" x14ac:dyDescent="0.45">
      <c r="A38" s="9"/>
      <c r="B38" s="7"/>
      <c r="C38" s="86" t="s">
        <v>179</v>
      </c>
      <c r="D38" s="32" t="s">
        <v>8</v>
      </c>
      <c r="E38" s="224">
        <v>148.61000000000001</v>
      </c>
      <c r="F38" s="7"/>
      <c r="G38" s="255"/>
      <c r="H38" s="260" t="str">
        <f t="shared" si="0"/>
        <v/>
      </c>
      <c r="I38" s="7"/>
      <c r="J38" s="255"/>
      <c r="K38" s="260" t="str">
        <f t="shared" si="1"/>
        <v/>
      </c>
      <c r="L38" s="7"/>
      <c r="M38" s="213"/>
      <c r="N38" s="260" t="str">
        <f t="shared" si="2"/>
        <v/>
      </c>
      <c r="O38" s="7"/>
      <c r="P38" s="213">
        <v>4</v>
      </c>
      <c r="Q38" s="260">
        <f t="shared" si="3"/>
        <v>594.44000000000005</v>
      </c>
      <c r="R38" s="7"/>
      <c r="S38" s="222"/>
      <c r="T38" s="260" t="str">
        <f t="shared" si="4"/>
        <v/>
      </c>
      <c r="W38" s="29"/>
    </row>
    <row r="39" spans="1:23" ht="16" customHeight="1" x14ac:dyDescent="0.45">
      <c r="A39" s="9"/>
      <c r="B39" s="7"/>
      <c r="C39" s="7" t="s">
        <v>140</v>
      </c>
      <c r="D39" s="32" t="s">
        <v>141</v>
      </c>
      <c r="E39" s="211">
        <v>100</v>
      </c>
      <c r="F39" s="7"/>
      <c r="G39" s="255"/>
      <c r="H39" s="260" t="str">
        <f t="shared" si="0"/>
        <v/>
      </c>
      <c r="I39" s="7"/>
      <c r="J39" s="255"/>
      <c r="K39" s="260" t="str">
        <f t="shared" si="1"/>
        <v/>
      </c>
      <c r="L39" s="7"/>
      <c r="M39" s="213"/>
      <c r="N39" s="260" t="str">
        <f t="shared" si="2"/>
        <v/>
      </c>
      <c r="O39" s="7"/>
      <c r="P39" s="213">
        <v>0.75</v>
      </c>
      <c r="Q39" s="260">
        <f t="shared" si="3"/>
        <v>75</v>
      </c>
      <c r="R39" s="7"/>
      <c r="S39" s="222">
        <v>1</v>
      </c>
      <c r="T39" s="260">
        <f t="shared" si="4"/>
        <v>100</v>
      </c>
      <c r="W39" s="29"/>
    </row>
    <row r="40" spans="1:23" ht="16" customHeight="1" x14ac:dyDescent="0.45">
      <c r="A40" s="9"/>
      <c r="B40" s="7"/>
      <c r="C40" s="7" t="s">
        <v>89</v>
      </c>
      <c r="D40" s="32" t="s">
        <v>8</v>
      </c>
      <c r="E40" s="10">
        <v>0.1</v>
      </c>
      <c r="F40" s="7"/>
      <c r="G40" s="251"/>
      <c r="H40" s="260" t="str">
        <f t="shared" si="0"/>
        <v/>
      </c>
      <c r="I40" s="7"/>
      <c r="J40" s="251"/>
      <c r="K40" s="260" t="str">
        <f t="shared" ref="K40:K42" si="5">IF(J40*E40=0,"",J40*E40)</f>
        <v/>
      </c>
      <c r="L40" s="7"/>
      <c r="M40" s="13"/>
      <c r="N40" s="260" t="str">
        <f t="shared" ref="N40:N42" si="6">IF(M40*E40=0,"",M40*E40)</f>
        <v/>
      </c>
      <c r="O40" s="7"/>
      <c r="P40" s="13">
        <f>ROUNDDOWN(P5,0)</f>
        <v>3346</v>
      </c>
      <c r="Q40" s="260">
        <f t="shared" si="3"/>
        <v>334.6</v>
      </c>
      <c r="R40" s="7"/>
      <c r="S40" s="11">
        <f>ROUNDDOWN(S5,0)</f>
        <v>6893</v>
      </c>
      <c r="T40" s="260">
        <f t="shared" si="4"/>
        <v>689.30000000000007</v>
      </c>
    </row>
    <row r="41" spans="1:23" ht="16" customHeight="1" x14ac:dyDescent="0.45">
      <c r="A41" s="9"/>
      <c r="B41" s="7" t="s">
        <v>235</v>
      </c>
      <c r="C41" s="7"/>
      <c r="D41" s="32" t="s">
        <v>41</v>
      </c>
      <c r="E41" s="10">
        <v>3.25</v>
      </c>
      <c r="F41" s="7"/>
      <c r="G41" s="252">
        <f>Machinery!$F$10</f>
        <v>3.1501799999999998</v>
      </c>
      <c r="H41" s="282">
        <f t="shared" ref="H41:H44" si="7">IF(G41*E41=0, "",G41*E41)</f>
        <v>10.238085</v>
      </c>
      <c r="I41" s="6"/>
      <c r="J41" s="252">
        <f>Machinery!F21</f>
        <v>22.233419999999999</v>
      </c>
      <c r="K41" s="282">
        <f t="shared" si="5"/>
        <v>72.258614999999992</v>
      </c>
      <c r="L41" s="6"/>
      <c r="M41" s="283">
        <f>Machinery!F32</f>
        <v>26.405279999999998</v>
      </c>
      <c r="N41" s="282">
        <f t="shared" si="6"/>
        <v>85.817159999999987</v>
      </c>
      <c r="O41" s="6"/>
      <c r="P41" s="283">
        <f>Machinery!F43</f>
        <v>39.824280000000002</v>
      </c>
      <c r="Q41" s="282">
        <f t="shared" ref="Q41:Q42" si="8">IF(P41*E41=0,"",P41*E41)</f>
        <v>129.42891</v>
      </c>
      <c r="R41" s="6"/>
      <c r="S41" s="227">
        <f>Machinery!F43</f>
        <v>39.824280000000002</v>
      </c>
      <c r="T41" s="260">
        <f t="shared" ref="T41:T42" si="9">IF(S41*E41=0,"",S41*E41)</f>
        <v>129.42891</v>
      </c>
    </row>
    <row r="42" spans="1:23" ht="16" customHeight="1" x14ac:dyDescent="0.45">
      <c r="A42" s="9"/>
      <c r="B42" s="7" t="s">
        <v>236</v>
      </c>
      <c r="C42" s="7"/>
      <c r="D42" s="32"/>
      <c r="E42" s="281"/>
      <c r="F42" s="7"/>
      <c r="G42" s="252"/>
      <c r="H42" s="260" t="str">
        <f t="shared" si="7"/>
        <v/>
      </c>
      <c r="I42" s="7"/>
      <c r="J42" s="252"/>
      <c r="K42" s="282" t="str">
        <f t="shared" si="5"/>
        <v/>
      </c>
      <c r="L42" s="6"/>
      <c r="M42" s="252"/>
      <c r="N42" s="282" t="str">
        <f t="shared" si="6"/>
        <v/>
      </c>
      <c r="O42" s="6"/>
      <c r="P42" s="283"/>
      <c r="Q42" s="282" t="str">
        <f t="shared" si="8"/>
        <v/>
      </c>
      <c r="R42" s="6"/>
      <c r="S42" s="252"/>
      <c r="T42" s="260" t="str">
        <f t="shared" si="9"/>
        <v/>
      </c>
    </row>
    <row r="43" spans="1:23" ht="16" customHeight="1" x14ac:dyDescent="0.45">
      <c r="A43" s="9"/>
      <c r="B43" s="7"/>
      <c r="C43" s="7" t="s">
        <v>237</v>
      </c>
      <c r="D43" s="32"/>
      <c r="E43" s="281"/>
      <c r="F43" s="7"/>
      <c r="G43" s="252"/>
      <c r="H43" s="260">
        <f>Machinery!J10</f>
        <v>6.2660999999999998</v>
      </c>
      <c r="I43" s="7"/>
      <c r="J43" s="252"/>
      <c r="K43" s="282">
        <f>Machinery!J21</f>
        <v>45.32538000000001</v>
      </c>
      <c r="L43" s="6"/>
      <c r="M43" s="252"/>
      <c r="N43" s="282">
        <f>Machinery!J32</f>
        <v>59.413140000000006</v>
      </c>
      <c r="O43" s="6"/>
      <c r="P43" s="283"/>
      <c r="Q43" s="296">
        <f>Machinery!J43</f>
        <v>91.007640000000009</v>
      </c>
      <c r="R43" s="6"/>
      <c r="S43" s="252"/>
      <c r="T43" s="260">
        <f>Machinery!J43</f>
        <v>91.007640000000009</v>
      </c>
    </row>
    <row r="44" spans="1:23" ht="16" customHeight="1" x14ac:dyDescent="0.45">
      <c r="A44" s="9"/>
      <c r="B44" s="7"/>
      <c r="C44" s="7" t="s">
        <v>238</v>
      </c>
      <c r="D44" s="32"/>
      <c r="E44" s="281"/>
      <c r="F44" s="7"/>
      <c r="G44" s="252"/>
      <c r="H44" s="260" t="str">
        <f t="shared" si="7"/>
        <v/>
      </c>
      <c r="I44" s="7"/>
      <c r="J44" s="252"/>
      <c r="K44" s="282">
        <f>Infrastructure!K7</f>
        <v>158.44200000000001</v>
      </c>
      <c r="L44" s="6"/>
      <c r="M44" s="252"/>
      <c r="N44" s="282">
        <f>Infrastructure!K7</f>
        <v>158.44200000000001</v>
      </c>
      <c r="O44" s="6"/>
      <c r="P44" s="283"/>
      <c r="Q44" s="282">
        <f>Infrastructure!K7+Infrastructure!K17</f>
        <v>207.86223000000001</v>
      </c>
      <c r="R44" s="6"/>
      <c r="S44" s="252"/>
      <c r="T44" s="260">
        <f>Infrastructure!K7+Infrastructure!K17</f>
        <v>207.86223000000001</v>
      </c>
    </row>
    <row r="45" spans="1:23" ht="16" customHeight="1" x14ac:dyDescent="0.45">
      <c r="A45" s="9"/>
      <c r="B45" s="7" t="s">
        <v>46</v>
      </c>
      <c r="C45" s="7"/>
      <c r="D45" s="60" t="s">
        <v>8</v>
      </c>
      <c r="E45" s="330">
        <v>1000</v>
      </c>
      <c r="F45" s="61"/>
      <c r="G45" s="58"/>
      <c r="H45" s="260" t="str">
        <f>IF(G45*E45=0, "",G45*E45)</f>
        <v/>
      </c>
      <c r="I45" s="7"/>
      <c r="J45" s="255">
        <v>1</v>
      </c>
      <c r="K45" s="260">
        <f>IF(J45*E45=0,"",J45*E45)</f>
        <v>1000</v>
      </c>
      <c r="L45" s="7"/>
      <c r="M45" s="255">
        <v>3</v>
      </c>
      <c r="N45" s="260">
        <f>M45*E45</f>
        <v>3000</v>
      </c>
      <c r="O45" s="7"/>
      <c r="P45" s="329">
        <v>4</v>
      </c>
      <c r="Q45" s="260">
        <f>E45*P45</f>
        <v>4000</v>
      </c>
      <c r="R45" s="7"/>
      <c r="S45" s="255">
        <v>2.5</v>
      </c>
      <c r="T45" s="260">
        <f>IF(S45*E45=0,"",S45*E45)</f>
        <v>2500</v>
      </c>
    </row>
    <row r="46" spans="1:23" ht="16" customHeight="1" x14ac:dyDescent="0.45">
      <c r="A46" s="9"/>
      <c r="B46" s="7" t="s">
        <v>53</v>
      </c>
      <c r="C46" s="7"/>
      <c r="D46" s="32" t="s">
        <v>12</v>
      </c>
      <c r="E46" s="12">
        <v>7.7499999999999999E-2</v>
      </c>
      <c r="F46" s="7"/>
      <c r="G46" s="58"/>
      <c r="H46" s="261">
        <f>SUM(H9:H45)*$E$46*6/12</f>
        <v>27.09584779375</v>
      </c>
      <c r="I46" s="7"/>
      <c r="J46" s="62"/>
      <c r="K46" s="261">
        <f>SUM(K9:L45)*$E$46*6/12</f>
        <v>693.54837168124971</v>
      </c>
      <c r="L46" s="7"/>
      <c r="M46" s="7"/>
      <c r="N46" s="260">
        <f>SUM(N9:N40)*$E$46*6/12</f>
        <v>61.843813281249993</v>
      </c>
      <c r="O46" s="7"/>
      <c r="P46" s="266"/>
      <c r="Q46" s="261">
        <f>SUM(Q9:R45)*$E$46*6/12</f>
        <v>448.04928996458329</v>
      </c>
      <c r="R46" s="7"/>
      <c r="S46" s="62"/>
      <c r="T46" s="261">
        <f>SUM(T9:U45)*$E$46*6/12</f>
        <v>542.07962017291663</v>
      </c>
    </row>
    <row r="47" spans="1:23" ht="16" customHeight="1" x14ac:dyDescent="0.4">
      <c r="C47" s="56" t="s">
        <v>19</v>
      </c>
      <c r="D47" s="32"/>
      <c r="E47" s="7"/>
      <c r="F47" s="7"/>
      <c r="G47" s="62"/>
      <c r="H47" s="260">
        <f>SUM(H9:H46)</f>
        <v>726.34353279375</v>
      </c>
      <c r="I47" s="57"/>
      <c r="J47" s="62"/>
      <c r="K47" s="260">
        <f>SUM(K9:K46)</f>
        <v>18591.570866681242</v>
      </c>
      <c r="L47" s="57"/>
      <c r="M47" s="57"/>
      <c r="N47" s="274">
        <f>SUM(N9:N46)</f>
        <v>4961.4854882812497</v>
      </c>
      <c r="O47" s="57"/>
      <c r="P47" s="266"/>
      <c r="Q47" s="260">
        <f>SUM(Q9:Q46)</f>
        <v>12010.61161163125</v>
      </c>
      <c r="R47" s="57"/>
      <c r="S47" s="62"/>
      <c r="T47" s="260">
        <f>SUM(T9:T46)</f>
        <v>14531.23110850625</v>
      </c>
    </row>
    <row r="48" spans="1:23" ht="16" customHeight="1" x14ac:dyDescent="0.4">
      <c r="B48" s="49" t="s">
        <v>20</v>
      </c>
      <c r="C48" s="49"/>
      <c r="D48" s="50" t="s">
        <v>3</v>
      </c>
      <c r="E48" s="51" t="s">
        <v>4</v>
      </c>
      <c r="F48" s="52"/>
      <c r="G48" s="51" t="s">
        <v>5</v>
      </c>
      <c r="H48" s="262" t="s">
        <v>6</v>
      </c>
      <c r="I48" s="53"/>
      <c r="J48" s="257" t="s">
        <v>5</v>
      </c>
      <c r="K48" s="262" t="s">
        <v>7</v>
      </c>
      <c r="L48" s="53"/>
      <c r="M48" s="49"/>
      <c r="N48" s="49" t="s">
        <v>75</v>
      </c>
      <c r="O48" s="53"/>
      <c r="P48" s="267" t="s">
        <v>5</v>
      </c>
      <c r="Q48" s="262" t="s">
        <v>6</v>
      </c>
      <c r="R48" s="54"/>
      <c r="S48" s="257" t="s">
        <v>5</v>
      </c>
      <c r="T48" s="262" t="s">
        <v>6</v>
      </c>
    </row>
    <row r="49" spans="2:22" ht="16" customHeight="1" x14ac:dyDescent="0.4">
      <c r="B49" s="48" t="s">
        <v>144</v>
      </c>
      <c r="C49" s="53"/>
      <c r="D49" s="103"/>
      <c r="E49" s="331"/>
      <c r="F49" s="52"/>
      <c r="G49" s="152"/>
      <c r="H49" s="263">
        <f>Infrastructure!H7</f>
        <v>217.22720000000001</v>
      </c>
      <c r="I49" s="194"/>
      <c r="J49" s="259"/>
      <c r="K49" s="263">
        <f>Infrastructure!H7</f>
        <v>217.22720000000001</v>
      </c>
      <c r="L49" s="194"/>
      <c r="M49" s="194"/>
      <c r="N49" s="280">
        <f>Infrastructure!H7</f>
        <v>217.22720000000001</v>
      </c>
      <c r="O49" s="194"/>
      <c r="P49" s="268"/>
      <c r="Q49" s="263">
        <f>SUM(Infrastructure!H7+Infrastructure!H17)</f>
        <v>349.02812</v>
      </c>
      <c r="R49" s="153"/>
      <c r="S49" s="258"/>
      <c r="T49" s="270">
        <f>SUM(Infrastructure!H7+Infrastructure!H17)</f>
        <v>349.02812</v>
      </c>
    </row>
    <row r="50" spans="2:22" ht="16" customHeight="1" x14ac:dyDescent="0.4">
      <c r="B50" s="48" t="s">
        <v>145</v>
      </c>
      <c r="C50" s="53"/>
      <c r="D50" s="103"/>
      <c r="E50" s="331"/>
      <c r="F50" s="52"/>
      <c r="G50" s="152"/>
      <c r="H50" s="263">
        <f>Infrastructure!I7</f>
        <v>140.14634999999998</v>
      </c>
      <c r="I50" s="194"/>
      <c r="J50" s="259"/>
      <c r="K50" s="263">
        <f>Infrastructure!I7</f>
        <v>140.14634999999998</v>
      </c>
      <c r="L50" s="194"/>
      <c r="M50" s="194"/>
      <c r="N50" s="280">
        <f>Infrastructure!I7</f>
        <v>140.14634999999998</v>
      </c>
      <c r="O50" s="194"/>
      <c r="P50" s="268"/>
      <c r="Q50" s="263">
        <f>SUM(Infrastructure!I7+Infrastructure!I17)</f>
        <v>204.09948749999998</v>
      </c>
      <c r="R50" s="153"/>
      <c r="S50" s="258"/>
      <c r="T50" s="270">
        <f>SUM(Infrastructure!I7+Infrastructure!I17)</f>
        <v>204.09948749999998</v>
      </c>
    </row>
    <row r="51" spans="2:22" ht="16" customHeight="1" x14ac:dyDescent="0.4">
      <c r="B51" s="48" t="s">
        <v>146</v>
      </c>
      <c r="C51" s="53"/>
      <c r="D51" s="103"/>
      <c r="E51" s="332"/>
      <c r="F51" s="52"/>
      <c r="G51" s="152"/>
      <c r="H51" s="263">
        <f>Machinery!H10</f>
        <v>19.096159999999998</v>
      </c>
      <c r="I51" s="194"/>
      <c r="J51" s="259"/>
      <c r="K51" s="263">
        <f>Machinery!H21</f>
        <v>108.96672</v>
      </c>
      <c r="L51" s="194"/>
      <c r="M51" s="194"/>
      <c r="N51" s="280">
        <f>Machinery!H32</f>
        <v>139.05501999999996</v>
      </c>
      <c r="O51" s="194"/>
      <c r="P51" s="268"/>
      <c r="Q51" s="269">
        <f>Machinery!H43</f>
        <v>197.17701999999997</v>
      </c>
      <c r="R51" s="153"/>
      <c r="S51" s="258"/>
      <c r="T51" s="270">
        <f>Machinery!H43</f>
        <v>197.17701999999997</v>
      </c>
    </row>
    <row r="52" spans="2:22" ht="16" customHeight="1" x14ac:dyDescent="0.4">
      <c r="B52" s="7" t="s">
        <v>143</v>
      </c>
      <c r="C52" s="7"/>
      <c r="D52" s="32" t="s">
        <v>9</v>
      </c>
      <c r="E52" s="278">
        <v>50</v>
      </c>
      <c r="F52" s="7"/>
      <c r="G52" s="251">
        <v>1</v>
      </c>
      <c r="H52" s="260">
        <f>$E$52*G52</f>
        <v>50</v>
      </c>
      <c r="I52" s="7"/>
      <c r="J52" s="251">
        <v>1</v>
      </c>
      <c r="K52" s="260">
        <f>$E$52*J52</f>
        <v>50</v>
      </c>
      <c r="L52" s="7"/>
      <c r="M52" s="212">
        <v>1</v>
      </c>
      <c r="N52" s="260">
        <f>E52*M52</f>
        <v>50</v>
      </c>
      <c r="O52" s="7"/>
      <c r="P52" s="265">
        <v>1</v>
      </c>
      <c r="Q52" s="260">
        <f>$E$52*P52</f>
        <v>50</v>
      </c>
      <c r="R52" s="7"/>
      <c r="S52" s="251">
        <v>1</v>
      </c>
      <c r="T52" s="260">
        <f>$E$52*S52</f>
        <v>50</v>
      </c>
    </row>
    <row r="53" spans="2:22" ht="16" customHeight="1" x14ac:dyDescent="0.4">
      <c r="B53" s="7" t="s">
        <v>147</v>
      </c>
      <c r="C53" s="7"/>
      <c r="D53" s="32" t="s">
        <v>9</v>
      </c>
      <c r="E53" s="278">
        <v>500</v>
      </c>
      <c r="F53" s="7"/>
      <c r="G53" s="251">
        <v>1</v>
      </c>
      <c r="H53" s="261">
        <f>$E$53*G53</f>
        <v>500</v>
      </c>
      <c r="I53" s="7"/>
      <c r="J53" s="251">
        <v>1</v>
      </c>
      <c r="K53" s="261">
        <f>$E$53*J53</f>
        <v>500</v>
      </c>
      <c r="L53" s="7"/>
      <c r="M53" s="212">
        <v>1</v>
      </c>
      <c r="N53" s="260">
        <f>M53*E53</f>
        <v>500</v>
      </c>
      <c r="O53" s="7"/>
      <c r="P53" s="265">
        <v>3</v>
      </c>
      <c r="Q53" s="261">
        <f>$E$53*P53</f>
        <v>1500</v>
      </c>
      <c r="R53" s="7"/>
      <c r="S53" s="251">
        <v>3</v>
      </c>
      <c r="T53" s="261">
        <f>$E$53*S53</f>
        <v>1500</v>
      </c>
    </row>
    <row r="54" spans="2:22" ht="16" customHeight="1" x14ac:dyDescent="0.4">
      <c r="C54" s="74" t="s">
        <v>21</v>
      </c>
      <c r="D54"/>
      <c r="E54" s="7"/>
      <c r="F54" s="7"/>
      <c r="G54" s="7"/>
      <c r="H54" s="260">
        <f>SUM(H49:H53)</f>
        <v>926.46971000000008</v>
      </c>
      <c r="I54" s="7"/>
      <c r="J54" s="7"/>
      <c r="K54" s="260">
        <f>SUM(K49:K53)</f>
        <v>1016.34027</v>
      </c>
      <c r="L54" s="7"/>
      <c r="M54" s="7"/>
      <c r="N54" s="277">
        <f>SUM(N49:N53)</f>
        <v>1046.42857</v>
      </c>
      <c r="O54" s="7"/>
      <c r="P54" s="7"/>
      <c r="Q54" s="260">
        <f>SUM(Q49:Q53)</f>
        <v>2300.3046274999997</v>
      </c>
      <c r="R54" s="7"/>
      <c r="S54" s="7"/>
      <c r="T54" s="260">
        <f>SUM(T49:T53)</f>
        <v>2300.3046274999997</v>
      </c>
    </row>
    <row r="55" spans="2:22" ht="16" customHeight="1" x14ac:dyDescent="0.4">
      <c r="B55" s="64"/>
      <c r="C55" s="75" t="s">
        <v>13</v>
      </c>
      <c r="D55" s="14"/>
      <c r="E55" s="63"/>
      <c r="F55" s="63"/>
      <c r="G55" s="63"/>
      <c r="H55" s="261">
        <f>H47+H54</f>
        <v>1652.8132427937501</v>
      </c>
      <c r="I55" s="55"/>
      <c r="J55" s="55"/>
      <c r="K55" s="261">
        <f>K47+K54</f>
        <v>19607.911136681243</v>
      </c>
      <c r="L55" s="55"/>
      <c r="M55" s="55"/>
      <c r="N55" s="261">
        <f>N47+N54</f>
        <v>6007.9140582812497</v>
      </c>
      <c r="O55" s="55"/>
      <c r="P55" s="55"/>
      <c r="Q55" s="261">
        <f>Q47+Q54</f>
        <v>14310.916239131249</v>
      </c>
      <c r="R55" s="55"/>
      <c r="S55" s="55"/>
      <c r="T55" s="261">
        <f>T47+T54</f>
        <v>16831.535736006248</v>
      </c>
      <c r="U55" s="64"/>
    </row>
    <row r="56" spans="2:22" ht="16" customHeight="1" x14ac:dyDescent="0.4">
      <c r="B56" s="338" t="s">
        <v>22</v>
      </c>
      <c r="C56" s="338"/>
      <c r="D56" s="338"/>
      <c r="E56" s="7"/>
      <c r="F56" s="7"/>
      <c r="G56" s="7"/>
      <c r="H56" s="260">
        <f>H7-H47</f>
        <v>-726.34353279375</v>
      </c>
      <c r="I56" s="57"/>
      <c r="J56" s="57"/>
      <c r="K56" s="260">
        <f>K7-K47</f>
        <v>-18591.570866681242</v>
      </c>
      <c r="L56" s="57"/>
      <c r="M56" s="57"/>
      <c r="N56" s="260">
        <f>N7-N47</f>
        <v>-4961.4854882812497</v>
      </c>
      <c r="O56" s="57"/>
      <c r="P56" s="57"/>
      <c r="Q56" s="260">
        <f>Q7-Q47</f>
        <v>6396.9533883687491</v>
      </c>
      <c r="R56" s="57"/>
      <c r="S56" s="57"/>
      <c r="T56" s="260">
        <f>T7-T47</f>
        <v>23381.368891493748</v>
      </c>
    </row>
    <row r="57" spans="2:22" ht="16" customHeight="1" thickBot="1" x14ac:dyDescent="0.45">
      <c r="B57" s="339" t="s">
        <v>14</v>
      </c>
      <c r="C57" s="339"/>
      <c r="D57" s="339"/>
      <c r="E57" s="66"/>
      <c r="F57" s="66"/>
      <c r="G57" s="66"/>
      <c r="H57" s="264">
        <f>H7-H55</f>
        <v>-1652.8132427937501</v>
      </c>
      <c r="I57" s="67"/>
      <c r="J57" s="67"/>
      <c r="K57" s="264">
        <f>K7-K55</f>
        <v>-19607.911136681243</v>
      </c>
      <c r="L57" s="67"/>
      <c r="M57" s="67"/>
      <c r="N57" s="264">
        <f>N7-N55</f>
        <v>-6007.9140582812497</v>
      </c>
      <c r="O57" s="67"/>
      <c r="P57" s="67"/>
      <c r="Q57" s="264">
        <f>Q7-Q55</f>
        <v>4096.6487608687494</v>
      </c>
      <c r="R57" s="67"/>
      <c r="S57" s="67"/>
      <c r="T57" s="264">
        <f>T7-T55</f>
        <v>21081.064263993751</v>
      </c>
      <c r="U57" s="65"/>
    </row>
    <row r="58" spans="2:22" s="127" customFormat="1" ht="16" customHeight="1" thickTop="1" x14ac:dyDescent="0.4">
      <c r="B58" s="126"/>
      <c r="C58" s="126"/>
      <c r="D58" s="126"/>
      <c r="E58" s="126"/>
      <c r="F58" s="126"/>
      <c r="G58" s="126"/>
      <c r="H58" s="126"/>
      <c r="I58" s="126"/>
      <c r="J58" s="126"/>
      <c r="K58" s="126"/>
      <c r="L58" s="126"/>
      <c r="M58" s="126"/>
      <c r="N58" s="126"/>
      <c r="O58" s="126"/>
      <c r="P58" s="126"/>
      <c r="Q58" s="126"/>
      <c r="R58" s="126"/>
      <c r="S58" s="126"/>
      <c r="T58" s="126"/>
      <c r="U58" s="126"/>
      <c r="V58" s="126"/>
    </row>
    <row r="59" spans="2:22" s="127" customFormat="1" ht="16" customHeight="1" x14ac:dyDescent="0.4">
      <c r="B59" s="128"/>
      <c r="C59" s="128"/>
      <c r="D59" s="128"/>
      <c r="E59" s="128"/>
      <c r="F59" s="128"/>
      <c r="G59" s="128"/>
      <c r="H59" s="128"/>
      <c r="I59" s="128"/>
      <c r="J59" s="128"/>
      <c r="K59" s="128"/>
      <c r="L59" s="128"/>
      <c r="M59" s="128"/>
      <c r="N59" s="128"/>
      <c r="O59" s="128"/>
      <c r="P59" s="128"/>
      <c r="Q59" s="128"/>
      <c r="R59" s="128"/>
      <c r="S59" s="128"/>
      <c r="T59" s="128"/>
    </row>
    <row r="60" spans="2:22" s="127" customFormat="1" ht="16" hidden="1" customHeight="1" x14ac:dyDescent="0.4">
      <c r="B60" s="129"/>
      <c r="C60" s="129"/>
      <c r="D60" s="128"/>
      <c r="E60" s="128"/>
      <c r="F60" s="128"/>
      <c r="G60" s="128"/>
      <c r="H60" s="128"/>
      <c r="I60" s="128"/>
      <c r="J60" s="128"/>
      <c r="K60" s="128"/>
      <c r="L60" s="128"/>
      <c r="M60" s="128"/>
      <c r="N60" s="128"/>
      <c r="O60" s="128"/>
      <c r="P60" s="128"/>
      <c r="Q60" s="128"/>
      <c r="R60" s="128"/>
      <c r="S60" s="128"/>
      <c r="T60" s="128"/>
    </row>
    <row r="61" spans="2:22" s="127" customFormat="1" ht="16" hidden="1" customHeight="1" x14ac:dyDescent="0.4">
      <c r="B61" s="128"/>
      <c r="C61" s="128"/>
      <c r="D61" s="128"/>
      <c r="E61" s="128"/>
      <c r="F61" s="343"/>
      <c r="G61" s="343"/>
      <c r="H61" s="128"/>
      <c r="I61" s="128"/>
      <c r="J61" s="128"/>
      <c r="K61" s="128"/>
      <c r="L61" s="128"/>
      <c r="M61" s="128"/>
      <c r="N61" s="128"/>
      <c r="O61" s="128"/>
      <c r="P61" s="128"/>
      <c r="Q61" s="128"/>
      <c r="R61" s="128"/>
      <c r="S61" s="128"/>
      <c r="T61" s="128"/>
      <c r="U61" s="128"/>
    </row>
    <row r="62" spans="2:22" s="127" customFormat="1" ht="16" hidden="1" customHeight="1" x14ac:dyDescent="0.4">
      <c r="B62" s="128"/>
      <c r="C62" s="128"/>
      <c r="D62" s="128"/>
      <c r="E62" s="128"/>
      <c r="F62" s="343"/>
      <c r="G62" s="343"/>
      <c r="H62" s="128"/>
      <c r="I62" s="128"/>
      <c r="J62" s="130"/>
      <c r="K62" s="131"/>
      <c r="L62" s="131"/>
      <c r="M62" s="131"/>
      <c r="N62" s="131"/>
      <c r="O62" s="131"/>
      <c r="P62" s="131"/>
      <c r="Q62" s="131"/>
      <c r="R62" s="131"/>
      <c r="S62" s="128"/>
      <c r="T62" s="128"/>
    </row>
    <row r="63" spans="2:22" s="127" customFormat="1" ht="16" hidden="1" customHeight="1" x14ac:dyDescent="0.4">
      <c r="B63" s="128"/>
      <c r="C63" s="128"/>
      <c r="D63" s="128"/>
      <c r="E63" s="343"/>
      <c r="F63" s="343"/>
      <c r="G63" s="343"/>
      <c r="H63" s="128"/>
      <c r="I63" s="128"/>
      <c r="J63" s="130"/>
      <c r="K63" s="131"/>
      <c r="L63" s="131"/>
      <c r="M63" s="131"/>
      <c r="N63" s="131"/>
      <c r="O63" s="131"/>
      <c r="P63" s="131"/>
      <c r="Q63" s="131"/>
      <c r="R63" s="131"/>
      <c r="S63" s="128"/>
      <c r="T63" s="128"/>
    </row>
    <row r="64" spans="2:22" s="127" customFormat="1" ht="16" hidden="1" customHeight="1" x14ac:dyDescent="0.4">
      <c r="B64" s="128"/>
      <c r="C64" s="128"/>
      <c r="E64" s="132"/>
      <c r="F64" s="132"/>
      <c r="G64" s="132"/>
      <c r="H64" s="128"/>
      <c r="I64" s="128"/>
      <c r="J64" s="130"/>
      <c r="K64" s="131"/>
      <c r="L64" s="131"/>
      <c r="M64" s="131"/>
      <c r="N64" s="131"/>
      <c r="O64" s="131"/>
      <c r="P64" s="131"/>
      <c r="Q64" s="131"/>
      <c r="R64" s="131"/>
      <c r="S64" s="128"/>
      <c r="T64" s="128"/>
    </row>
    <row r="65" spans="2:20" s="127" customFormat="1" ht="16" hidden="1" customHeight="1" x14ac:dyDescent="0.4">
      <c r="B65" s="128"/>
      <c r="C65" s="128"/>
      <c r="D65" s="132"/>
      <c r="E65" s="132"/>
      <c r="F65" s="132"/>
      <c r="G65" s="128"/>
      <c r="H65" s="128"/>
      <c r="I65" s="128"/>
      <c r="J65" s="131"/>
      <c r="K65" s="131"/>
      <c r="L65" s="131"/>
      <c r="M65" s="131"/>
      <c r="N65" s="131"/>
      <c r="O65" s="131"/>
      <c r="P65" s="131"/>
      <c r="Q65" s="131"/>
      <c r="R65" s="131"/>
      <c r="S65" s="128"/>
      <c r="T65" s="128"/>
    </row>
    <row r="66" spans="2:20" s="127" customFormat="1" ht="16" hidden="1" customHeight="1" x14ac:dyDescent="0.4">
      <c r="B66" s="129"/>
      <c r="C66" s="129"/>
      <c r="D66" s="132"/>
      <c r="E66" s="132"/>
      <c r="F66" s="132"/>
      <c r="G66" s="133"/>
      <c r="H66" s="128"/>
      <c r="I66" s="128"/>
      <c r="J66" s="131"/>
      <c r="K66" s="131"/>
      <c r="L66" s="131"/>
      <c r="M66" s="131"/>
      <c r="N66" s="131"/>
      <c r="O66" s="131"/>
      <c r="P66" s="131"/>
      <c r="Q66" s="131"/>
      <c r="R66" s="131"/>
      <c r="S66" s="128"/>
      <c r="T66" s="128"/>
    </row>
    <row r="67" spans="2:20" s="127" customFormat="1" ht="16" hidden="1" customHeight="1" x14ac:dyDescent="0.4">
      <c r="B67" s="128"/>
      <c r="C67" s="128"/>
      <c r="D67" s="132"/>
      <c r="E67" s="132"/>
      <c r="F67" s="132"/>
      <c r="G67" s="134"/>
      <c r="H67" s="128"/>
      <c r="I67" s="128"/>
      <c r="K67" s="128"/>
      <c r="L67" s="128"/>
      <c r="M67" s="128"/>
      <c r="N67" s="128"/>
      <c r="O67" s="128"/>
      <c r="P67" s="128"/>
      <c r="Q67" s="128"/>
      <c r="R67" s="128"/>
      <c r="S67" s="128"/>
      <c r="T67" s="128"/>
    </row>
    <row r="68" spans="2:20" s="127" customFormat="1" ht="16" hidden="1" customHeight="1" x14ac:dyDescent="0.4">
      <c r="B68" s="128"/>
      <c r="C68" s="128"/>
      <c r="D68" s="128"/>
      <c r="E68" s="128"/>
      <c r="F68" s="128"/>
      <c r="G68" s="134"/>
      <c r="H68" s="128"/>
      <c r="I68" s="128"/>
      <c r="J68" s="128"/>
      <c r="K68" s="128"/>
      <c r="L68" s="128"/>
      <c r="M68" s="128"/>
      <c r="N68" s="128"/>
      <c r="O68" s="128"/>
      <c r="P68" s="128"/>
      <c r="Q68" s="128"/>
      <c r="R68" s="128"/>
      <c r="S68" s="128"/>
      <c r="T68" s="128"/>
    </row>
    <row r="69" spans="2:20" s="127" customFormat="1" ht="16" hidden="1" customHeight="1" x14ac:dyDescent="0.4">
      <c r="B69" s="128"/>
      <c r="C69" s="128"/>
      <c r="D69" s="128"/>
      <c r="E69" s="128"/>
      <c r="F69" s="128"/>
      <c r="G69" s="134"/>
      <c r="H69" s="128"/>
      <c r="I69" s="128"/>
      <c r="J69" s="128"/>
      <c r="K69" s="128"/>
      <c r="L69" s="128"/>
      <c r="M69" s="128"/>
      <c r="N69" s="128"/>
      <c r="O69" s="128"/>
      <c r="P69" s="128"/>
      <c r="Q69" s="128"/>
      <c r="R69" s="128"/>
      <c r="S69" s="128"/>
      <c r="T69" s="128"/>
    </row>
    <row r="70" spans="2:20" s="127" customFormat="1" ht="16" hidden="1" customHeight="1" x14ac:dyDescent="0.4"/>
    <row r="71" spans="2:20" ht="16" customHeight="1" x14ac:dyDescent="0.4"/>
  </sheetData>
  <sheetProtection sheet="1" objects="1" scenarios="1"/>
  <protectedRanges>
    <protectedRange sqref="S5 P5" name="Sales"/>
    <protectedRange sqref="E9 E11:E16 E18:E24 E26:E28 E30:E36 E38:E41 E45:E46 E52:E53" name="Prices"/>
    <protectedRange sqref="G9 G11:G16 G18:G24 G26:G28 G30:G36 G38:G40 G52:G53" name="Yr1Quantity"/>
    <protectedRange sqref="J5:J6 J11:J16 J18:J24 J26:J28 J30:J36 J38:J40 J45 J52:J53 G5:G6" name="Year2 Quantity"/>
    <protectedRange sqref="M5:M6 M9 M11:M16 M18:M24 M26:M28 M30:M36 M38:M40 M45 M52:M53" name="Year3 Quantity"/>
    <protectedRange sqref="P6 P9 P11:P16 P18:P24 P26:P28 P30:P36 P38:P40 P45 P52:P53" name="Year 4 Quantity"/>
    <protectedRange sqref="S6 S9 S11:S16 S18:S24 S26:S28 S30:S36 S38:S40 S45 S52:S53" name="Year5 Quantity"/>
  </protectedRanges>
  <mergeCells count="6">
    <mergeCell ref="S3:T3"/>
    <mergeCell ref="B2:U2"/>
    <mergeCell ref="G3:H3"/>
    <mergeCell ref="J3:K3"/>
    <mergeCell ref="P3:Q3"/>
    <mergeCell ref="M3:N3"/>
  </mergeCells>
  <pageMargins left="0.5" right="0.5" top="0.25" bottom="0.25" header="0.5" footer="0.5"/>
  <pageSetup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4E70C-05B5-4320-BA50-A84B4F511BB9}">
  <dimension ref="A1:M36"/>
  <sheetViews>
    <sheetView zoomScaleNormal="100" workbookViewId="0">
      <selection activeCell="K32" sqref="K32"/>
    </sheetView>
  </sheetViews>
  <sheetFormatPr defaultColWidth="0" defaultRowHeight="14.5" zeroHeight="1" x14ac:dyDescent="0.35"/>
  <cols>
    <col min="1" max="1" width="52.75" customWidth="1"/>
    <col min="2" max="3" width="9" customWidth="1"/>
    <col min="4" max="4" width="12.58203125" bestFit="1" customWidth="1"/>
    <col min="5" max="5" width="11.5" bestFit="1" customWidth="1"/>
    <col min="6" max="6" width="9.58203125" bestFit="1" customWidth="1"/>
    <col min="7" max="7" width="9" customWidth="1"/>
    <col min="8" max="8" width="12.33203125" customWidth="1"/>
    <col min="9" max="9" width="11.5" bestFit="1" customWidth="1"/>
    <col min="10" max="13" width="9" customWidth="1"/>
    <col min="14" max="16384" width="9" hidden="1"/>
  </cols>
  <sheetData>
    <row r="1" spans="1:11" x14ac:dyDescent="0.35"/>
    <row r="2" spans="1:11" ht="16" x14ac:dyDescent="0.4">
      <c r="A2" s="78" t="s">
        <v>239</v>
      </c>
      <c r="B2" s="78"/>
      <c r="C2" s="78"/>
      <c r="D2" s="78"/>
      <c r="E2" s="78"/>
      <c r="F2" s="78"/>
      <c r="G2" s="78"/>
      <c r="H2" s="78"/>
      <c r="I2" s="78"/>
      <c r="J2" s="78"/>
      <c r="K2" s="79"/>
    </row>
    <row r="3" spans="1:11" ht="32" x14ac:dyDescent="0.4">
      <c r="A3" s="80" t="s">
        <v>90</v>
      </c>
      <c r="B3" s="80" t="s">
        <v>3</v>
      </c>
      <c r="C3" s="81" t="s">
        <v>70</v>
      </c>
      <c r="D3" s="82" t="s">
        <v>91</v>
      </c>
      <c r="E3" s="83" t="s">
        <v>72</v>
      </c>
      <c r="F3" s="83" t="s">
        <v>92</v>
      </c>
      <c r="G3" s="83" t="s">
        <v>93</v>
      </c>
      <c r="H3" s="83" t="s">
        <v>94</v>
      </c>
      <c r="I3" s="83" t="s">
        <v>95</v>
      </c>
      <c r="J3" s="83" t="s">
        <v>96</v>
      </c>
      <c r="K3" s="83" t="s">
        <v>96</v>
      </c>
    </row>
    <row r="4" spans="1:11" ht="16" x14ac:dyDescent="0.35">
      <c r="A4" s="84"/>
      <c r="B4" s="84"/>
      <c r="C4" s="85" t="s">
        <v>97</v>
      </c>
      <c r="D4" s="85" t="s">
        <v>75</v>
      </c>
      <c r="E4" s="85" t="s">
        <v>75</v>
      </c>
      <c r="F4" s="85" t="s">
        <v>98</v>
      </c>
      <c r="G4" s="85" t="s">
        <v>99</v>
      </c>
      <c r="H4" s="85" t="s">
        <v>75</v>
      </c>
      <c r="I4" s="85" t="s">
        <v>75</v>
      </c>
      <c r="J4" s="85" t="s">
        <v>99</v>
      </c>
      <c r="K4" s="85" t="s">
        <v>75</v>
      </c>
    </row>
    <row r="5" spans="1:11" ht="16" x14ac:dyDescent="0.4">
      <c r="A5" s="86" t="s">
        <v>100</v>
      </c>
      <c r="B5" s="214" t="s">
        <v>9</v>
      </c>
      <c r="C5" s="146">
        <v>1</v>
      </c>
      <c r="D5" s="195">
        <f>Budget!J9*3</f>
        <v>2721</v>
      </c>
      <c r="E5" s="196">
        <f t="shared" ref="E5:E6" si="0">C5*D5</f>
        <v>2721</v>
      </c>
      <c r="F5" s="87">
        <v>15</v>
      </c>
      <c r="G5" s="88">
        <v>0</v>
      </c>
      <c r="H5" s="200">
        <f>IF(E5&gt;0,(E5-(E5*G5))/F5,"")</f>
        <v>181.4</v>
      </c>
      <c r="I5" s="200">
        <f>IF(E5&gt;0,((E5+E5*G5)/2)*Budget!$E$46,"")</f>
        <v>105.43875</v>
      </c>
      <c r="J5" s="90">
        <v>0.1</v>
      </c>
      <c r="K5" s="200">
        <f>IF(E5&gt;0,((E5+E5*G5)/2)*J5,"")</f>
        <v>136.05000000000001</v>
      </c>
    </row>
    <row r="6" spans="1:11" ht="16" x14ac:dyDescent="0.4">
      <c r="A6" s="86" t="s">
        <v>101</v>
      </c>
      <c r="B6" s="214" t="s">
        <v>11</v>
      </c>
      <c r="C6" s="146">
        <v>288</v>
      </c>
      <c r="D6" s="195">
        <v>3.11</v>
      </c>
      <c r="E6" s="196">
        <f t="shared" si="0"/>
        <v>895.68</v>
      </c>
      <c r="F6" s="87">
        <v>25</v>
      </c>
      <c r="G6" s="88">
        <v>0</v>
      </c>
      <c r="H6" s="200">
        <f>IF(E6&gt;0,(E6-(E6*G6))/F6,"")</f>
        <v>35.827199999999998</v>
      </c>
      <c r="I6" s="200">
        <f>IF(E6&gt;0,((E6+E6*G6)/2)*Budget!$E$46,"")</f>
        <v>34.707599999999999</v>
      </c>
      <c r="J6" s="90">
        <v>0.05</v>
      </c>
      <c r="K6" s="200">
        <f>IF(E6&gt;0,((E6+E6*G6)/2)*J6,"")</f>
        <v>22.391999999999999</v>
      </c>
    </row>
    <row r="7" spans="1:11" ht="16" x14ac:dyDescent="0.4">
      <c r="A7" s="15"/>
      <c r="B7" s="15"/>
      <c r="C7" s="149"/>
      <c r="D7" s="149"/>
      <c r="E7" s="197">
        <f>SUM(E5:E6)</f>
        <v>3616.68</v>
      </c>
      <c r="F7" s="150"/>
      <c r="G7" s="150"/>
      <c r="H7" s="201">
        <f>SUM(H5:H6)</f>
        <v>217.22720000000001</v>
      </c>
      <c r="I7" s="201">
        <f>SUM(I5:I6)</f>
        <v>140.14634999999998</v>
      </c>
      <c r="J7" s="151"/>
      <c r="K7" s="201">
        <f>SUM(K5:K6)</f>
        <v>158.44200000000001</v>
      </c>
    </row>
    <row r="8" spans="1:11" ht="16" x14ac:dyDescent="0.4">
      <c r="A8" s="94"/>
      <c r="B8" s="94"/>
      <c r="C8" s="94"/>
      <c r="D8" s="94"/>
      <c r="E8" s="141"/>
      <c r="F8" s="79"/>
      <c r="G8" s="79"/>
      <c r="H8" s="89"/>
      <c r="I8" s="89"/>
      <c r="J8" s="89"/>
      <c r="K8" s="91"/>
    </row>
    <row r="9" spans="1:11" ht="16" x14ac:dyDescent="0.4">
      <c r="A9" s="78" t="s">
        <v>240</v>
      </c>
      <c r="B9" s="78"/>
      <c r="C9" s="78"/>
      <c r="D9" s="78"/>
      <c r="E9" s="142"/>
      <c r="F9" s="78"/>
      <c r="G9" s="78"/>
      <c r="H9" s="78"/>
      <c r="I9" s="78"/>
      <c r="J9" s="78"/>
      <c r="K9" s="79"/>
    </row>
    <row r="10" spans="1:11" ht="32" x14ac:dyDescent="0.4">
      <c r="A10" s="80" t="s">
        <v>90</v>
      </c>
      <c r="B10" s="80" t="s">
        <v>3</v>
      </c>
      <c r="C10" s="81" t="s">
        <v>70</v>
      </c>
      <c r="D10" s="82" t="s">
        <v>91</v>
      </c>
      <c r="E10" s="143" t="s">
        <v>72</v>
      </c>
      <c r="F10" s="83" t="s">
        <v>92</v>
      </c>
      <c r="G10" s="83" t="s">
        <v>93</v>
      </c>
      <c r="H10" s="83" t="s">
        <v>94</v>
      </c>
      <c r="I10" s="83" t="s">
        <v>95</v>
      </c>
      <c r="J10" s="83" t="s">
        <v>96</v>
      </c>
      <c r="K10" s="83" t="s">
        <v>96</v>
      </c>
    </row>
    <row r="11" spans="1:11" ht="16" x14ac:dyDescent="0.35">
      <c r="A11" s="84"/>
      <c r="B11" s="84"/>
      <c r="C11" s="84"/>
      <c r="D11" s="85" t="s">
        <v>75</v>
      </c>
      <c r="E11" s="140" t="s">
        <v>75</v>
      </c>
      <c r="F11" s="85" t="s">
        <v>98</v>
      </c>
      <c r="G11" s="85" t="s">
        <v>99</v>
      </c>
      <c r="H11" s="85" t="s">
        <v>75</v>
      </c>
      <c r="I11" s="85" t="s">
        <v>75</v>
      </c>
      <c r="J11" s="85" t="s">
        <v>99</v>
      </c>
      <c r="K11" s="85" t="s">
        <v>75</v>
      </c>
    </row>
    <row r="12" spans="1:11" ht="16" x14ac:dyDescent="0.4">
      <c r="A12" s="190" t="s">
        <v>138</v>
      </c>
      <c r="B12" s="214" t="s">
        <v>8</v>
      </c>
      <c r="C12" s="193">
        <v>50</v>
      </c>
      <c r="D12" s="195">
        <v>4.9800000000000004</v>
      </c>
      <c r="E12" s="288">
        <f>C12*D12</f>
        <v>249.00000000000003</v>
      </c>
      <c r="F12" s="87">
        <v>10</v>
      </c>
      <c r="G12" s="88">
        <v>0</v>
      </c>
      <c r="H12" s="196">
        <f>IF(E12&gt;0,(E12-(E12*G12))/F12,"")</f>
        <v>24.900000000000002</v>
      </c>
      <c r="I12" s="196">
        <f>IF(E12&gt;0,((E12+E12*G12)/2)*[2]Budget!$D$61,"")</f>
        <v>9.3375000000000004</v>
      </c>
      <c r="J12" s="90">
        <v>0.16</v>
      </c>
      <c r="K12" s="196">
        <f>IF(E12&gt;0,((E12+E12*G12)/2)*J12,"")</f>
        <v>19.920000000000002</v>
      </c>
    </row>
    <row r="13" spans="1:11" ht="16" x14ac:dyDescent="0.4">
      <c r="A13" s="190" t="s">
        <v>178</v>
      </c>
      <c r="B13" s="214" t="s">
        <v>102</v>
      </c>
      <c r="C13" s="193">
        <v>18.3</v>
      </c>
      <c r="D13" s="195">
        <v>40.92</v>
      </c>
      <c r="E13" s="288">
        <f t="shared" ref="E13:E16" si="1">C13*D13</f>
        <v>748.83600000000001</v>
      </c>
      <c r="F13" s="87">
        <v>25</v>
      </c>
      <c r="G13" s="88">
        <v>0</v>
      </c>
      <c r="H13" s="196">
        <f>IF(E13&gt;0,(E13-(E13*G13))/F13,"")</f>
        <v>29.953440000000001</v>
      </c>
      <c r="I13" s="196">
        <f>IF(E13&gt;0,((E13+E13*G13)/2)*[2]Budget!$D$61,"")</f>
        <v>28.08135</v>
      </c>
      <c r="J13" s="90">
        <v>0.02</v>
      </c>
      <c r="K13" s="196">
        <f>IF(E13&gt;0,((E13+E13*G13)/2)*J13,"")</f>
        <v>7.4883600000000001</v>
      </c>
    </row>
    <row r="14" spans="1:11" ht="16" x14ac:dyDescent="0.4">
      <c r="A14" s="190" t="s">
        <v>177</v>
      </c>
      <c r="B14" s="214" t="s">
        <v>102</v>
      </c>
      <c r="C14" s="193">
        <v>6.9</v>
      </c>
      <c r="D14" s="195">
        <v>38.979999999999997</v>
      </c>
      <c r="E14" s="288">
        <f t="shared" si="1"/>
        <v>268.96199999999999</v>
      </c>
      <c r="F14" s="87">
        <v>25</v>
      </c>
      <c r="G14" s="88">
        <v>0</v>
      </c>
      <c r="H14" s="196">
        <f>IF(E14&gt;0,(E14-(E14*G14))/F14,"")</f>
        <v>10.758479999999999</v>
      </c>
      <c r="I14" s="196">
        <f>IF(E14&gt;0,((E14+E14*G14)/2)*[2]Budget!$D$61,"")</f>
        <v>10.086074999999999</v>
      </c>
      <c r="J14" s="90">
        <v>0.02</v>
      </c>
      <c r="K14" s="196">
        <f>IF(E14&gt;0,((E14+E14*G14)/2)*J14,"")</f>
        <v>2.6896200000000001</v>
      </c>
    </row>
    <row r="15" spans="1:11" ht="16" x14ac:dyDescent="0.4">
      <c r="A15" s="191" t="s">
        <v>137</v>
      </c>
      <c r="B15" s="215" t="s">
        <v>9</v>
      </c>
      <c r="C15" s="287">
        <v>1</v>
      </c>
      <c r="D15" s="285">
        <v>230.97</v>
      </c>
      <c r="E15" s="289">
        <f>C15*D15</f>
        <v>230.97</v>
      </c>
      <c r="F15" s="87">
        <v>5</v>
      </c>
      <c r="G15" s="88">
        <v>0</v>
      </c>
      <c r="H15" s="200">
        <f>IF(E15&gt;0,(E15-(E15*G15))/F15,"")</f>
        <v>46.194000000000003</v>
      </c>
      <c r="I15" s="200">
        <f>IF(E15&gt;0,((E15+E15*G15)/2)*Budget!$E$46,"")</f>
        <v>8.9500875000000004</v>
      </c>
      <c r="J15" s="90">
        <v>0.15</v>
      </c>
      <c r="K15" s="200">
        <f>IF(E15&gt;0,((E15+E15*G15)/2)*J15,"")</f>
        <v>17.322749999999999</v>
      </c>
    </row>
    <row r="16" spans="1:11" ht="16" x14ac:dyDescent="0.4">
      <c r="A16" s="192" t="s">
        <v>166</v>
      </c>
      <c r="B16" s="147" t="s">
        <v>8</v>
      </c>
      <c r="C16" s="198">
        <v>1</v>
      </c>
      <c r="D16" s="286">
        <v>199.95</v>
      </c>
      <c r="E16" s="290">
        <f t="shared" si="1"/>
        <v>199.95</v>
      </c>
      <c r="F16" s="99">
        <v>10</v>
      </c>
      <c r="G16" s="148">
        <v>0</v>
      </c>
      <c r="H16" s="199">
        <f>IF(E16&gt;0,(E16-(E16*G16))/F16,"")</f>
        <v>19.994999999999997</v>
      </c>
      <c r="I16" s="199">
        <f>IF(E16&gt;0,((E16+E16*G16)/2)*[2]Budget!$D$61,"")</f>
        <v>7.498124999999999</v>
      </c>
      <c r="J16" s="92">
        <v>0.02</v>
      </c>
      <c r="K16" s="199">
        <f>IF(E16&gt;0,((E16+E16*G16)/2)*J16,"")</f>
        <v>1.9994999999999998</v>
      </c>
    </row>
    <row r="17" spans="1:11" ht="16" x14ac:dyDescent="0.4">
      <c r="A17" s="94"/>
      <c r="B17" s="94"/>
      <c r="C17" s="94"/>
      <c r="D17" s="94"/>
      <c r="E17" s="196">
        <f>SUM(E12:E16)</f>
        <v>1697.7180000000001</v>
      </c>
      <c r="F17" s="79"/>
      <c r="G17" s="79"/>
      <c r="H17" s="196">
        <f>SUM(H12:H16)</f>
        <v>131.80091999999999</v>
      </c>
      <c r="I17" s="196">
        <f>SUM(I12:I16)</f>
        <v>63.953137500000004</v>
      </c>
      <c r="J17" s="89"/>
      <c r="K17" s="196">
        <f>SUM(K12:K16)</f>
        <v>49.420230000000004</v>
      </c>
    </row>
    <row r="18" spans="1:11" x14ac:dyDescent="0.35"/>
    <row r="19" spans="1:11" x14ac:dyDescent="0.35"/>
    <row r="20" spans="1:11" x14ac:dyDescent="0.35"/>
    <row r="21" spans="1:11" x14ac:dyDescent="0.35"/>
    <row r="22" spans="1:11" x14ac:dyDescent="0.35"/>
    <row r="23" spans="1:11" x14ac:dyDescent="0.35"/>
    <row r="24" spans="1:11" x14ac:dyDescent="0.35"/>
    <row r="25" spans="1:11" x14ac:dyDescent="0.35"/>
    <row r="26" spans="1:11" x14ac:dyDescent="0.35"/>
    <row r="27" spans="1:11" x14ac:dyDescent="0.35"/>
    <row r="28" spans="1:11" x14ac:dyDescent="0.35"/>
    <row r="29" spans="1:11" x14ac:dyDescent="0.35"/>
    <row r="30" spans="1:11" x14ac:dyDescent="0.35"/>
    <row r="31" spans="1:11" x14ac:dyDescent="0.35"/>
    <row r="32" spans="1:11" x14ac:dyDescent="0.35"/>
    <row r="33" x14ac:dyDescent="0.35"/>
    <row r="34" x14ac:dyDescent="0.35"/>
    <row r="35" x14ac:dyDescent="0.35"/>
    <row r="36" x14ac:dyDescent="0.35"/>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E494A-0111-4916-AA4C-7AFCE222D6E1}">
  <dimension ref="A1:O56"/>
  <sheetViews>
    <sheetView workbookViewId="0">
      <selection activeCell="J17" sqref="J17"/>
    </sheetView>
  </sheetViews>
  <sheetFormatPr defaultColWidth="0" defaultRowHeight="14.5" zeroHeight="1" x14ac:dyDescent="0.35"/>
  <cols>
    <col min="1" max="1" width="32.25" customWidth="1"/>
    <col min="2" max="2" width="19.08203125" bestFit="1" customWidth="1"/>
    <col min="3" max="3" width="13.33203125" customWidth="1"/>
    <col min="4" max="4" width="14.58203125" bestFit="1" customWidth="1"/>
    <col min="5" max="5" width="10.08203125" bestFit="1" customWidth="1"/>
    <col min="6" max="6" width="9" customWidth="1"/>
    <col min="7" max="7" width="21.5" customWidth="1"/>
    <col min="8" max="8" width="10.58203125" customWidth="1"/>
    <col min="9" max="9" width="9.83203125" bestFit="1" customWidth="1"/>
    <col min="10" max="10" width="9" customWidth="1"/>
    <col min="11" max="11" width="11.83203125" bestFit="1" customWidth="1"/>
    <col min="12" max="12" width="9" customWidth="1"/>
    <col min="13" max="15" width="0" hidden="1" customWidth="1"/>
    <col min="16" max="16384" width="9" hidden="1"/>
  </cols>
  <sheetData>
    <row r="1" spans="1:15" ht="23.5" x14ac:dyDescent="0.55000000000000004">
      <c r="A1" s="104" t="s">
        <v>164</v>
      </c>
      <c r="B1" s="104"/>
      <c r="C1" s="104"/>
      <c r="D1" s="76"/>
      <c r="E1" s="76"/>
      <c r="F1" s="76"/>
      <c r="G1" s="76"/>
      <c r="H1" s="76"/>
      <c r="I1" s="76"/>
      <c r="J1" s="76"/>
      <c r="K1" s="76"/>
      <c r="L1" s="76"/>
      <c r="M1" s="76"/>
      <c r="N1" s="76"/>
      <c r="O1" s="76"/>
    </row>
    <row r="2" spans="1:15" x14ac:dyDescent="0.35">
      <c r="A2" s="118" t="s">
        <v>66</v>
      </c>
      <c r="B2" s="118" t="s">
        <v>67</v>
      </c>
      <c r="C2" s="118" t="s">
        <v>68</v>
      </c>
      <c r="D2" s="118" t="s">
        <v>69</v>
      </c>
      <c r="E2" s="118" t="s">
        <v>3</v>
      </c>
      <c r="F2" s="119" t="s">
        <v>70</v>
      </c>
      <c r="G2" s="139" t="s">
        <v>176</v>
      </c>
      <c r="H2" s="119" t="s">
        <v>71</v>
      </c>
      <c r="I2" s="119" t="s">
        <v>72</v>
      </c>
      <c r="J2" s="120" t="s">
        <v>73</v>
      </c>
      <c r="K2" s="120" t="s">
        <v>74</v>
      </c>
      <c r="L2" s="121"/>
      <c r="M2" s="121"/>
      <c r="N2" s="121"/>
      <c r="O2" s="76"/>
    </row>
    <row r="3" spans="1:15" x14ac:dyDescent="0.35">
      <c r="A3" s="121" t="s">
        <v>208</v>
      </c>
      <c r="B3" s="121" t="s">
        <v>60</v>
      </c>
      <c r="C3" s="121" t="s">
        <v>148</v>
      </c>
      <c r="D3" s="121" t="s">
        <v>149</v>
      </c>
      <c r="E3" s="121" t="s">
        <v>10</v>
      </c>
      <c r="F3" s="216">
        <v>860</v>
      </c>
      <c r="G3" s="216">
        <v>860</v>
      </c>
      <c r="H3" s="217">
        <v>0.55000000000000004</v>
      </c>
      <c r="I3" s="204">
        <f>G3*H3</f>
        <v>473.00000000000006</v>
      </c>
      <c r="J3" s="122" t="s">
        <v>150</v>
      </c>
      <c r="K3" s="121"/>
      <c r="L3" s="121"/>
      <c r="M3" s="121"/>
      <c r="N3" s="121"/>
      <c r="O3" s="76"/>
    </row>
    <row r="4" spans="1:15" x14ac:dyDescent="0.35">
      <c r="A4" s="121" t="s">
        <v>209</v>
      </c>
      <c r="B4" s="121" t="s">
        <v>207</v>
      </c>
      <c r="C4" s="121" t="s">
        <v>151</v>
      </c>
      <c r="D4" s="123"/>
      <c r="E4" s="121" t="s">
        <v>175</v>
      </c>
      <c r="F4" s="216">
        <v>35</v>
      </c>
      <c r="G4" s="216">
        <v>35</v>
      </c>
      <c r="H4" s="217">
        <v>49</v>
      </c>
      <c r="I4" s="204">
        <f t="shared" ref="I4:I13" si="0">G4*H4</f>
        <v>1715</v>
      </c>
      <c r="J4" s="122" t="s">
        <v>150</v>
      </c>
      <c r="K4" s="121"/>
      <c r="L4" s="121"/>
      <c r="M4" s="121"/>
      <c r="N4" s="121"/>
      <c r="O4" s="76"/>
    </row>
    <row r="5" spans="1:15" x14ac:dyDescent="0.35">
      <c r="A5" s="121" t="s">
        <v>82</v>
      </c>
      <c r="B5" s="121" t="s">
        <v>152</v>
      </c>
      <c r="C5" s="121" t="s">
        <v>76</v>
      </c>
      <c r="D5" s="121" t="s">
        <v>153</v>
      </c>
      <c r="E5" s="121" t="s">
        <v>41</v>
      </c>
      <c r="F5" s="216" t="s">
        <v>154</v>
      </c>
      <c r="G5" s="216">
        <v>1.5</v>
      </c>
      <c r="H5" s="217">
        <v>35</v>
      </c>
      <c r="I5" s="204">
        <f t="shared" si="0"/>
        <v>52.5</v>
      </c>
      <c r="J5" s="121">
        <v>1</v>
      </c>
      <c r="K5" s="122" t="s">
        <v>77</v>
      </c>
      <c r="L5" s="121"/>
      <c r="M5" s="121"/>
      <c r="N5" s="121"/>
      <c r="O5" s="76"/>
    </row>
    <row r="6" spans="1:15" x14ac:dyDescent="0.35">
      <c r="A6" s="121" t="s">
        <v>155</v>
      </c>
      <c r="B6" s="121" t="s">
        <v>156</v>
      </c>
      <c r="C6" s="121" t="s">
        <v>76</v>
      </c>
      <c r="D6" s="121" t="s">
        <v>153</v>
      </c>
      <c r="E6" s="121" t="s">
        <v>157</v>
      </c>
      <c r="F6" s="216" t="s">
        <v>158</v>
      </c>
      <c r="G6" s="216">
        <v>21</v>
      </c>
      <c r="H6" s="218">
        <v>4.45</v>
      </c>
      <c r="I6" s="204">
        <f t="shared" si="0"/>
        <v>93.45</v>
      </c>
      <c r="J6" s="121">
        <v>2</v>
      </c>
      <c r="K6" s="122" t="s">
        <v>77</v>
      </c>
      <c r="L6" s="121"/>
      <c r="M6" s="121"/>
      <c r="N6" s="121"/>
      <c r="O6" s="76"/>
    </row>
    <row r="7" spans="1:15" x14ac:dyDescent="0.35">
      <c r="A7" s="121" t="s">
        <v>159</v>
      </c>
      <c r="B7" s="121" t="s">
        <v>80</v>
      </c>
      <c r="C7" s="121" t="s">
        <v>78</v>
      </c>
      <c r="D7" s="121" t="s">
        <v>153</v>
      </c>
      <c r="E7" s="121" t="s">
        <v>42</v>
      </c>
      <c r="F7" s="216" t="s">
        <v>160</v>
      </c>
      <c r="G7" s="216">
        <v>4.9000000000000004</v>
      </c>
      <c r="H7" s="218">
        <v>2.73</v>
      </c>
      <c r="I7" s="204">
        <f t="shared" si="0"/>
        <v>13.377000000000001</v>
      </c>
      <c r="J7" s="121">
        <v>3</v>
      </c>
      <c r="K7" s="122" t="s">
        <v>77</v>
      </c>
      <c r="L7" s="121"/>
      <c r="M7" s="137"/>
      <c r="N7" s="121"/>
      <c r="O7" s="76"/>
    </row>
    <row r="8" spans="1:15" x14ac:dyDescent="0.35">
      <c r="A8" s="121" t="s">
        <v>159</v>
      </c>
      <c r="B8" s="121" t="s">
        <v>161</v>
      </c>
      <c r="C8" s="121" t="s">
        <v>78</v>
      </c>
      <c r="D8" s="121" t="s">
        <v>153</v>
      </c>
      <c r="E8" s="121" t="s">
        <v>42</v>
      </c>
      <c r="F8" s="216">
        <v>4</v>
      </c>
      <c r="G8" s="216">
        <v>4</v>
      </c>
      <c r="H8" s="218">
        <v>8</v>
      </c>
      <c r="I8" s="204">
        <f t="shared" si="0"/>
        <v>32</v>
      </c>
      <c r="J8" s="121">
        <v>3</v>
      </c>
      <c r="K8" s="122" t="s">
        <v>77</v>
      </c>
      <c r="L8" s="121"/>
      <c r="M8" s="137"/>
      <c r="N8" s="121"/>
      <c r="O8" s="76"/>
    </row>
    <row r="9" spans="1:15" x14ac:dyDescent="0.35">
      <c r="A9" s="121" t="s">
        <v>159</v>
      </c>
      <c r="B9" s="121" t="s">
        <v>162</v>
      </c>
      <c r="C9" s="121" t="s">
        <v>78</v>
      </c>
      <c r="D9" s="121" t="s">
        <v>153</v>
      </c>
      <c r="E9" s="121" t="s">
        <v>42</v>
      </c>
      <c r="F9" s="216" t="s">
        <v>163</v>
      </c>
      <c r="G9" s="216">
        <v>4.5</v>
      </c>
      <c r="H9" s="218">
        <v>10.5</v>
      </c>
      <c r="I9" s="204">
        <f t="shared" si="0"/>
        <v>47.25</v>
      </c>
      <c r="J9" s="121">
        <v>3</v>
      </c>
      <c r="K9" s="122" t="s">
        <v>77</v>
      </c>
      <c r="L9" s="121"/>
      <c r="M9" s="138"/>
      <c r="N9" s="121"/>
      <c r="O9" s="76"/>
    </row>
    <row r="10" spans="1:15" x14ac:dyDescent="0.35">
      <c r="A10" s="121" t="s">
        <v>159</v>
      </c>
      <c r="B10" s="121" t="s">
        <v>81</v>
      </c>
      <c r="C10" s="121" t="s">
        <v>78</v>
      </c>
      <c r="D10" s="121" t="s">
        <v>153</v>
      </c>
      <c r="E10" s="121" t="s">
        <v>10</v>
      </c>
      <c r="F10" s="216">
        <v>1.3</v>
      </c>
      <c r="G10" s="216">
        <v>1.3</v>
      </c>
      <c r="H10" s="218">
        <v>19.989999999999998</v>
      </c>
      <c r="I10" s="204">
        <f t="shared" si="0"/>
        <v>25.986999999999998</v>
      </c>
      <c r="J10" s="121">
        <v>3</v>
      </c>
      <c r="K10" s="122" t="s">
        <v>77</v>
      </c>
      <c r="L10" s="121"/>
      <c r="M10" s="137"/>
      <c r="N10" s="121"/>
      <c r="O10" s="76"/>
    </row>
    <row r="11" spans="1:15" x14ac:dyDescent="0.35">
      <c r="A11" s="121" t="s">
        <v>155</v>
      </c>
      <c r="B11" s="121" t="s">
        <v>156</v>
      </c>
      <c r="C11" s="121" t="s">
        <v>76</v>
      </c>
      <c r="D11" s="121" t="s">
        <v>153</v>
      </c>
      <c r="E11" s="121" t="s">
        <v>157</v>
      </c>
      <c r="F11" s="216" t="s">
        <v>158</v>
      </c>
      <c r="G11" s="216">
        <v>21</v>
      </c>
      <c r="H11" s="218">
        <v>4.2</v>
      </c>
      <c r="I11" s="204">
        <f t="shared" si="0"/>
        <v>88.2</v>
      </c>
      <c r="J11" s="121">
        <v>2</v>
      </c>
      <c r="K11" s="122" t="s">
        <v>77</v>
      </c>
      <c r="L11" s="121"/>
      <c r="M11" s="137"/>
      <c r="N11" s="121"/>
      <c r="O11" s="76"/>
    </row>
    <row r="12" spans="1:15" x14ac:dyDescent="0.35">
      <c r="A12" s="121" t="s">
        <v>84</v>
      </c>
      <c r="B12" s="121" t="s">
        <v>86</v>
      </c>
      <c r="C12" s="121" t="s">
        <v>79</v>
      </c>
      <c r="D12" s="121" t="s">
        <v>87</v>
      </c>
      <c r="E12" s="121" t="s">
        <v>42</v>
      </c>
      <c r="F12" s="216">
        <v>11</v>
      </c>
      <c r="G12" s="216">
        <v>11</v>
      </c>
      <c r="H12" s="217">
        <v>0.47</v>
      </c>
      <c r="I12" s="204">
        <f t="shared" si="0"/>
        <v>5.17</v>
      </c>
      <c r="J12" s="121">
        <v>4</v>
      </c>
      <c r="K12" s="122" t="s">
        <v>83</v>
      </c>
      <c r="L12" s="121"/>
      <c r="M12" s="137"/>
      <c r="N12" s="124"/>
      <c r="O12" s="76"/>
    </row>
    <row r="13" spans="1:15" x14ac:dyDescent="0.35">
      <c r="A13" s="125" t="s">
        <v>85</v>
      </c>
      <c r="B13" s="125" t="s">
        <v>86</v>
      </c>
      <c r="C13" s="125" t="s">
        <v>79</v>
      </c>
      <c r="D13" s="125" t="s">
        <v>87</v>
      </c>
      <c r="E13" s="125" t="s">
        <v>42</v>
      </c>
      <c r="F13" s="219">
        <v>11</v>
      </c>
      <c r="G13" s="219">
        <v>11</v>
      </c>
      <c r="H13" s="220">
        <v>0.47</v>
      </c>
      <c r="I13" s="205">
        <f t="shared" si="0"/>
        <v>5.17</v>
      </c>
      <c r="J13" s="125">
        <v>4</v>
      </c>
      <c r="K13" s="144" t="s">
        <v>83</v>
      </c>
      <c r="L13" s="121"/>
      <c r="M13" s="136"/>
      <c r="N13" s="121"/>
      <c r="O13" s="76"/>
    </row>
    <row r="14" spans="1:15" x14ac:dyDescent="0.35">
      <c r="A14" s="76"/>
      <c r="B14" s="76"/>
      <c r="C14" s="76"/>
      <c r="D14" s="76"/>
      <c r="E14" s="76"/>
      <c r="F14" s="76"/>
      <c r="G14" s="76"/>
      <c r="H14" s="206" t="s">
        <v>72</v>
      </c>
      <c r="I14" s="203">
        <f>SUM(I3:I13)</f>
        <v>2551.1039999999998</v>
      </c>
      <c r="J14" s="76"/>
      <c r="K14" s="77"/>
      <c r="L14" s="76"/>
      <c r="M14" s="135"/>
      <c r="N14" s="76"/>
      <c r="O14" s="76"/>
    </row>
    <row r="15" spans="1:15" x14ac:dyDescent="0.35">
      <c r="A15" s="76"/>
      <c r="B15" s="76"/>
      <c r="C15" s="76"/>
      <c r="D15" s="76"/>
      <c r="E15" s="76"/>
      <c r="F15" s="76"/>
      <c r="G15" s="76"/>
      <c r="H15" s="109"/>
      <c r="I15" s="110"/>
      <c r="J15" s="76"/>
      <c r="K15" s="77"/>
      <c r="L15" s="76"/>
      <c r="M15" s="76"/>
      <c r="N15" s="76"/>
      <c r="O15" s="76"/>
    </row>
    <row r="16" spans="1:15" x14ac:dyDescent="0.35">
      <c r="A16" s="125" t="s">
        <v>172</v>
      </c>
      <c r="B16" s="125" t="s">
        <v>71</v>
      </c>
      <c r="C16" s="125" t="s">
        <v>70</v>
      </c>
      <c r="D16" s="125" t="s">
        <v>173</v>
      </c>
      <c r="E16" s="76"/>
      <c r="F16" s="76"/>
      <c r="G16" s="76"/>
      <c r="J16" s="76"/>
      <c r="K16" s="77"/>
      <c r="L16" s="76"/>
      <c r="M16" s="76"/>
      <c r="N16" s="76"/>
      <c r="O16" s="76"/>
    </row>
    <row r="17" spans="1:15" x14ac:dyDescent="0.35">
      <c r="A17" s="109" t="s">
        <v>169</v>
      </c>
      <c r="B17" s="202">
        <f>AVERAGE(H5:H6,H11)</f>
        <v>14.550000000000002</v>
      </c>
      <c r="C17" s="145">
        <f>AVERAGE(G5:G6,G11)</f>
        <v>14.5</v>
      </c>
      <c r="D17" s="203">
        <f>SUM(I5+I6+I11)</f>
        <v>234.14999999999998</v>
      </c>
      <c r="E17" s="76"/>
      <c r="F17" s="76"/>
      <c r="G17" s="76"/>
      <c r="J17" s="76"/>
      <c r="K17" s="77"/>
      <c r="L17" s="76"/>
      <c r="M17" s="76"/>
      <c r="N17" s="76"/>
      <c r="O17" s="76"/>
    </row>
    <row r="18" spans="1:15" x14ac:dyDescent="0.35">
      <c r="A18" s="109" t="s">
        <v>170</v>
      </c>
      <c r="B18" s="202">
        <f>AVERAGE(H7:H10)</f>
        <v>10.305</v>
      </c>
      <c r="C18" s="145">
        <f>AVERAGE(G7:G10)</f>
        <v>3.6750000000000003</v>
      </c>
      <c r="D18" s="203">
        <f>SUM(I7:I10)</f>
        <v>118.614</v>
      </c>
      <c r="E18" s="76"/>
      <c r="F18" s="76"/>
      <c r="G18" s="76"/>
      <c r="J18" s="76"/>
      <c r="K18" s="77"/>
      <c r="L18" s="76"/>
      <c r="M18" s="76"/>
      <c r="N18" s="76"/>
      <c r="O18" s="76"/>
    </row>
    <row r="19" spans="1:15" x14ac:dyDescent="0.35">
      <c r="A19" s="109" t="s">
        <v>171</v>
      </c>
      <c r="B19" s="202">
        <f>AVERAGE(H12:H13)</f>
        <v>0.47</v>
      </c>
      <c r="C19" s="145">
        <f>AVERAGE(G12:G13)</f>
        <v>11</v>
      </c>
      <c r="D19" s="203">
        <f>SUM(I12,I13)</f>
        <v>10.34</v>
      </c>
      <c r="E19" s="76"/>
      <c r="F19" s="76"/>
      <c r="G19" s="76"/>
      <c r="H19" s="109"/>
      <c r="I19" s="110"/>
      <c r="J19" s="76"/>
      <c r="K19" s="77"/>
      <c r="L19" s="76"/>
      <c r="M19" s="76"/>
      <c r="N19" s="76"/>
      <c r="O19" s="76"/>
    </row>
    <row r="20" spans="1:15" x14ac:dyDescent="0.35">
      <c r="A20" s="76"/>
      <c r="B20" s="76"/>
      <c r="C20" s="76"/>
      <c r="D20" s="76"/>
      <c r="E20" s="76"/>
      <c r="F20" s="76"/>
      <c r="G20" s="76"/>
      <c r="H20" s="109"/>
      <c r="I20" s="110"/>
      <c r="J20" s="76"/>
      <c r="K20" s="77"/>
      <c r="L20" s="76"/>
      <c r="M20" s="76"/>
      <c r="N20" s="76"/>
      <c r="O20" s="76"/>
    </row>
    <row r="21" spans="1:15" hidden="1" x14ac:dyDescent="0.35">
      <c r="A21" s="76"/>
      <c r="B21" s="76"/>
      <c r="C21" s="76"/>
      <c r="D21" s="76"/>
      <c r="E21" s="76"/>
      <c r="F21" s="76"/>
      <c r="G21" s="76"/>
      <c r="H21" s="109"/>
      <c r="I21" s="110"/>
      <c r="J21" s="76"/>
      <c r="K21" s="77"/>
      <c r="L21" s="76"/>
      <c r="M21" s="76"/>
      <c r="N21" s="76"/>
      <c r="O21" s="76"/>
    </row>
    <row r="22" spans="1:15" hidden="1" x14ac:dyDescent="0.35">
      <c r="A22" s="76"/>
      <c r="B22" s="76"/>
      <c r="C22" s="76"/>
      <c r="D22" s="76"/>
      <c r="E22" s="76"/>
      <c r="F22" s="76"/>
      <c r="G22" s="76"/>
      <c r="H22" s="109"/>
      <c r="I22" s="110"/>
      <c r="J22" s="76"/>
      <c r="K22" s="77"/>
      <c r="L22" s="76"/>
      <c r="M22" s="76"/>
      <c r="N22" s="76"/>
      <c r="O22" s="76"/>
    </row>
    <row r="23" spans="1:15" hidden="1" x14ac:dyDescent="0.35">
      <c r="A23" s="76"/>
      <c r="B23" s="76"/>
      <c r="C23" s="76"/>
      <c r="D23" s="76"/>
      <c r="E23" s="76"/>
      <c r="F23" s="76"/>
      <c r="G23" s="76"/>
      <c r="H23" s="109"/>
      <c r="I23" s="110"/>
      <c r="J23" s="76"/>
      <c r="K23" s="77"/>
      <c r="L23" s="76"/>
      <c r="M23" s="76"/>
      <c r="N23" s="76"/>
      <c r="O23" s="76"/>
    </row>
    <row r="24" spans="1:15" hidden="1" x14ac:dyDescent="0.35">
      <c r="A24" s="76"/>
      <c r="B24" s="76"/>
      <c r="C24" s="76"/>
      <c r="D24" s="76"/>
      <c r="E24" s="76"/>
      <c r="F24" s="76"/>
      <c r="G24" s="76"/>
      <c r="H24" s="109"/>
      <c r="I24" s="110"/>
      <c r="J24" s="76"/>
      <c r="K24" s="77"/>
      <c r="L24" s="76"/>
      <c r="M24" s="76"/>
      <c r="N24" s="76"/>
      <c r="O24" s="76"/>
    </row>
    <row r="25" spans="1:15" hidden="1" x14ac:dyDescent="0.35">
      <c r="A25" s="76"/>
      <c r="B25" s="76"/>
      <c r="C25" s="76"/>
      <c r="D25" s="76"/>
      <c r="E25" s="76"/>
      <c r="F25" s="76"/>
      <c r="G25" s="76"/>
      <c r="H25" s="109"/>
      <c r="I25" s="110"/>
      <c r="J25" s="111"/>
      <c r="K25" s="77"/>
      <c r="L25" s="76"/>
      <c r="M25" s="76"/>
      <c r="N25" s="76"/>
      <c r="O25" s="76"/>
    </row>
    <row r="26" spans="1:15" hidden="1" x14ac:dyDescent="0.35">
      <c r="A26" s="76"/>
      <c r="B26" s="76"/>
      <c r="C26" s="76"/>
      <c r="D26" s="76"/>
      <c r="E26" s="76"/>
      <c r="F26" s="76"/>
      <c r="G26" s="76"/>
      <c r="H26" s="109"/>
      <c r="I26" s="110"/>
      <c r="J26" s="111"/>
      <c r="K26" s="77"/>
      <c r="L26" s="76"/>
      <c r="M26" s="76"/>
      <c r="N26" s="76"/>
      <c r="O26" s="76"/>
    </row>
    <row r="27" spans="1:15" hidden="1" x14ac:dyDescent="0.35">
      <c r="A27" s="76"/>
      <c r="B27" s="76"/>
      <c r="C27" s="76"/>
      <c r="D27" s="76"/>
      <c r="E27" s="76"/>
      <c r="F27" s="76"/>
      <c r="G27" s="76"/>
      <c r="H27" s="109"/>
      <c r="I27" s="110"/>
      <c r="J27" s="111"/>
      <c r="K27" s="77"/>
      <c r="L27" s="76"/>
      <c r="M27" s="76"/>
      <c r="N27" s="76"/>
      <c r="O27" s="76"/>
    </row>
    <row r="28" spans="1:15" hidden="1" x14ac:dyDescent="0.35">
      <c r="A28" s="76"/>
      <c r="B28" s="76"/>
      <c r="C28" s="76"/>
      <c r="D28" s="76"/>
      <c r="E28" s="76"/>
      <c r="F28" s="76"/>
      <c r="G28" s="76"/>
      <c r="H28" s="109"/>
      <c r="I28" s="110"/>
      <c r="J28" s="111"/>
      <c r="K28" s="77"/>
      <c r="L28" s="76"/>
      <c r="M28" s="76"/>
      <c r="N28" s="76"/>
      <c r="O28" s="76"/>
    </row>
    <row r="29" spans="1:15" hidden="1" x14ac:dyDescent="0.35">
      <c r="A29" s="76"/>
      <c r="B29" s="76"/>
      <c r="C29" s="76"/>
      <c r="D29" s="76"/>
      <c r="E29" s="76"/>
      <c r="F29" s="76"/>
      <c r="G29" s="76"/>
      <c r="H29" s="109"/>
      <c r="I29" s="110"/>
      <c r="J29" s="111"/>
      <c r="K29" s="77"/>
      <c r="L29" s="76"/>
      <c r="M29" s="76"/>
      <c r="N29" s="76"/>
      <c r="O29" s="76"/>
    </row>
    <row r="30" spans="1:15" hidden="1" x14ac:dyDescent="0.35">
      <c r="A30" s="76"/>
      <c r="B30" s="76"/>
      <c r="C30" s="76"/>
      <c r="D30" s="76"/>
      <c r="E30" s="76"/>
      <c r="F30" s="76"/>
      <c r="G30" s="76"/>
      <c r="H30" s="112"/>
      <c r="I30" s="113"/>
      <c r="J30" s="114"/>
      <c r="K30" s="76"/>
      <c r="L30" s="76"/>
      <c r="M30" s="76"/>
      <c r="N30" s="76"/>
      <c r="O30" s="76"/>
    </row>
    <row r="31" spans="1:15" hidden="1" x14ac:dyDescent="0.35">
      <c r="A31" s="76"/>
      <c r="B31" s="76"/>
      <c r="C31" s="76"/>
      <c r="D31" s="76"/>
      <c r="E31" s="76"/>
      <c r="F31" s="76"/>
      <c r="G31" s="76"/>
      <c r="H31" s="115"/>
      <c r="I31" s="76"/>
      <c r="J31" s="76"/>
      <c r="K31" s="76"/>
      <c r="L31" s="76"/>
      <c r="M31" s="76"/>
      <c r="N31" s="76"/>
      <c r="O31" s="76"/>
    </row>
    <row r="32" spans="1:15" ht="23.5" hidden="1" x14ac:dyDescent="0.55000000000000004">
      <c r="A32" s="104"/>
      <c r="B32" s="76"/>
      <c r="C32" s="76"/>
      <c r="D32" s="76"/>
      <c r="E32" s="76"/>
      <c r="F32" s="76"/>
      <c r="G32" s="76"/>
      <c r="H32" s="115"/>
      <c r="I32" s="76"/>
      <c r="J32" s="76"/>
      <c r="K32" s="76"/>
      <c r="L32" s="76"/>
      <c r="M32" s="76"/>
      <c r="N32" s="76"/>
      <c r="O32" s="76"/>
    </row>
    <row r="33" spans="1:15" hidden="1" x14ac:dyDescent="0.35">
      <c r="A33" s="105"/>
      <c r="B33" s="105"/>
      <c r="C33" s="105"/>
      <c r="D33" s="105"/>
      <c r="E33" s="105"/>
      <c r="F33" s="106"/>
      <c r="G33" s="106"/>
      <c r="H33" s="106"/>
      <c r="I33" s="106"/>
      <c r="J33" s="107"/>
      <c r="K33" s="107"/>
      <c r="L33" s="76"/>
      <c r="M33" s="76"/>
      <c r="N33" s="76"/>
      <c r="O33" s="76"/>
    </row>
    <row r="34" spans="1:15" hidden="1" x14ac:dyDescent="0.35">
      <c r="A34" s="76"/>
      <c r="B34" s="105"/>
      <c r="C34" s="105"/>
      <c r="D34" s="108"/>
      <c r="E34" s="76"/>
      <c r="F34" s="108"/>
      <c r="G34" s="108"/>
      <c r="H34" s="108"/>
      <c r="I34" s="108"/>
      <c r="J34" s="107"/>
      <c r="K34" s="76"/>
      <c r="L34" s="76"/>
      <c r="M34" s="76"/>
      <c r="N34" s="76"/>
      <c r="O34" s="76"/>
    </row>
    <row r="35" spans="1:15" hidden="1" x14ac:dyDescent="0.35">
      <c r="A35" s="76"/>
      <c r="B35" s="76"/>
      <c r="C35" s="76"/>
      <c r="D35" s="76"/>
      <c r="E35" s="76"/>
      <c r="F35" s="76"/>
      <c r="G35" s="76"/>
      <c r="H35" s="109"/>
      <c r="I35" s="77"/>
      <c r="J35" s="76"/>
      <c r="K35" s="77"/>
      <c r="L35" s="76"/>
      <c r="M35" s="76"/>
      <c r="N35" s="109"/>
      <c r="O35" s="76"/>
    </row>
    <row r="36" spans="1:15" hidden="1" x14ac:dyDescent="0.35">
      <c r="A36" s="76"/>
      <c r="B36" s="76"/>
      <c r="C36" s="76"/>
      <c r="D36" s="76"/>
      <c r="E36" s="76"/>
      <c r="F36" s="76"/>
      <c r="G36" s="76"/>
      <c r="H36" s="109"/>
      <c r="I36" s="110"/>
      <c r="J36" s="76"/>
      <c r="K36" s="77"/>
      <c r="L36" s="76"/>
      <c r="M36" s="76"/>
      <c r="N36" s="109"/>
      <c r="O36" s="76"/>
    </row>
    <row r="37" spans="1:15" hidden="1" x14ac:dyDescent="0.35">
      <c r="A37" s="76"/>
      <c r="B37" s="76"/>
      <c r="C37" s="76"/>
      <c r="D37" s="76"/>
      <c r="E37" s="76"/>
      <c r="F37" s="76"/>
      <c r="G37" s="76"/>
      <c r="H37" s="76"/>
      <c r="I37" s="110"/>
      <c r="J37" s="76"/>
      <c r="K37" s="77"/>
      <c r="L37" s="76"/>
      <c r="M37" s="76"/>
      <c r="N37" s="109"/>
      <c r="O37" s="76"/>
    </row>
    <row r="38" spans="1:15" hidden="1" x14ac:dyDescent="0.35">
      <c r="A38" s="76"/>
      <c r="B38" s="76"/>
      <c r="C38" s="76"/>
      <c r="D38" s="76"/>
      <c r="E38" s="76"/>
      <c r="F38" s="76"/>
      <c r="G38" s="76"/>
      <c r="H38" s="109"/>
      <c r="I38" s="110"/>
      <c r="J38" s="76"/>
      <c r="K38" s="77"/>
      <c r="L38" s="76"/>
      <c r="M38" s="76"/>
      <c r="N38" s="109"/>
      <c r="O38" s="76"/>
    </row>
    <row r="39" spans="1:15" hidden="1" x14ac:dyDescent="0.35">
      <c r="A39" s="76"/>
      <c r="B39" s="76"/>
      <c r="C39" s="76"/>
      <c r="D39" s="76"/>
      <c r="E39" s="76"/>
      <c r="F39" s="76"/>
      <c r="G39" s="76"/>
      <c r="H39" s="76"/>
      <c r="I39" s="110"/>
      <c r="J39" s="76"/>
      <c r="K39" s="77"/>
      <c r="L39" s="76"/>
      <c r="M39" s="76"/>
      <c r="N39" s="76"/>
      <c r="O39" s="76"/>
    </row>
    <row r="40" spans="1:15" hidden="1" x14ac:dyDescent="0.35">
      <c r="A40" s="76"/>
      <c r="B40" s="76"/>
      <c r="C40" s="76"/>
      <c r="D40" s="76"/>
      <c r="E40" s="76"/>
      <c r="F40" s="76"/>
      <c r="G40" s="76"/>
      <c r="H40" s="76"/>
      <c r="I40" s="110"/>
      <c r="J40" s="76"/>
      <c r="K40" s="77"/>
      <c r="L40" s="76"/>
      <c r="M40" s="76"/>
      <c r="N40" s="76"/>
      <c r="O40" s="76"/>
    </row>
    <row r="41" spans="1:15" hidden="1" x14ac:dyDescent="0.35">
      <c r="A41" s="76"/>
      <c r="B41" s="76"/>
      <c r="C41" s="76"/>
      <c r="D41" s="76"/>
      <c r="E41" s="76"/>
      <c r="F41" s="76"/>
      <c r="G41" s="76"/>
      <c r="H41" s="109"/>
      <c r="I41" s="110"/>
      <c r="J41" s="76"/>
      <c r="K41" s="77"/>
      <c r="L41" s="76"/>
      <c r="M41" s="76"/>
      <c r="N41" s="76"/>
      <c r="O41" s="76"/>
    </row>
    <row r="42" spans="1:15" hidden="1" x14ac:dyDescent="0.35">
      <c r="A42" s="76"/>
      <c r="B42" s="76"/>
      <c r="C42" s="76"/>
      <c r="D42" s="76"/>
      <c r="E42" s="76"/>
      <c r="F42" s="76"/>
      <c r="G42" s="76"/>
      <c r="H42" s="76"/>
      <c r="I42" s="110"/>
      <c r="J42" s="76"/>
      <c r="K42" s="77"/>
      <c r="L42" s="76"/>
      <c r="M42" s="76"/>
      <c r="N42" s="76"/>
      <c r="O42" s="76"/>
    </row>
    <row r="43" spans="1:15" hidden="1" x14ac:dyDescent="0.35">
      <c r="A43" s="76"/>
      <c r="B43" s="76"/>
      <c r="C43" s="76"/>
      <c r="D43" s="76"/>
      <c r="E43" s="76"/>
      <c r="F43" s="76"/>
      <c r="G43" s="76"/>
      <c r="H43" s="76"/>
      <c r="I43" s="110"/>
      <c r="J43" s="76"/>
      <c r="K43" s="77"/>
      <c r="L43" s="76"/>
      <c r="M43" s="76"/>
      <c r="N43" s="76"/>
      <c r="O43" s="76"/>
    </row>
    <row r="44" spans="1:15" hidden="1" x14ac:dyDescent="0.35">
      <c r="A44" s="76"/>
      <c r="B44" s="76"/>
      <c r="C44" s="76"/>
      <c r="D44" s="76"/>
      <c r="E44" s="76"/>
      <c r="F44" s="76"/>
      <c r="G44" s="76"/>
      <c r="H44" s="109"/>
      <c r="I44" s="110"/>
      <c r="J44" s="111"/>
      <c r="K44" s="77"/>
      <c r="L44" s="76"/>
      <c r="M44" s="76"/>
      <c r="N44" s="76"/>
      <c r="O44" s="76"/>
    </row>
    <row r="45" spans="1:15" hidden="1" x14ac:dyDescent="0.35">
      <c r="A45" s="76"/>
      <c r="B45" s="76"/>
      <c r="C45" s="76"/>
      <c r="D45" s="76"/>
      <c r="E45" s="76"/>
      <c r="F45" s="76"/>
      <c r="G45" s="76"/>
      <c r="H45" s="109"/>
      <c r="I45" s="110"/>
      <c r="J45" s="111"/>
      <c r="K45" s="77"/>
      <c r="L45" s="76"/>
      <c r="M45" s="76"/>
      <c r="N45" s="76"/>
      <c r="O45" s="76"/>
    </row>
    <row r="46" spans="1:15" hidden="1" x14ac:dyDescent="0.35">
      <c r="A46" s="76"/>
      <c r="B46" s="76"/>
      <c r="C46" s="76"/>
      <c r="D46" s="76"/>
      <c r="E46" s="76"/>
      <c r="F46" s="76"/>
      <c r="G46" s="76"/>
      <c r="H46" s="109"/>
      <c r="I46" s="110"/>
      <c r="J46" s="111"/>
      <c r="K46" s="77"/>
      <c r="L46" s="76"/>
      <c r="M46" s="76"/>
      <c r="N46" s="76"/>
      <c r="O46" s="76"/>
    </row>
    <row r="47" spans="1:15" hidden="1" x14ac:dyDescent="0.35">
      <c r="A47" s="76"/>
      <c r="B47" s="76"/>
      <c r="C47" s="76"/>
      <c r="D47" s="76"/>
      <c r="E47" s="76"/>
      <c r="F47" s="76"/>
      <c r="G47" s="76"/>
      <c r="H47" s="109"/>
      <c r="I47" s="110"/>
      <c r="J47" s="111"/>
      <c r="K47" s="77"/>
      <c r="L47" s="76"/>
      <c r="M47" s="76"/>
      <c r="N47" s="76"/>
      <c r="O47" s="76"/>
    </row>
    <row r="48" spans="1:15" hidden="1" x14ac:dyDescent="0.35">
      <c r="A48" s="76"/>
      <c r="B48" s="76"/>
      <c r="C48" s="76"/>
      <c r="D48" s="76"/>
      <c r="E48" s="76"/>
      <c r="F48" s="76"/>
      <c r="G48" s="76"/>
      <c r="H48" s="112"/>
      <c r="I48" s="113"/>
      <c r="J48" s="114"/>
      <c r="K48" s="76"/>
      <c r="L48" s="76"/>
      <c r="M48" s="76"/>
      <c r="N48" s="76"/>
      <c r="O48" s="76"/>
    </row>
    <row r="49" spans="1:15" hidden="1" x14ac:dyDescent="0.35">
      <c r="A49" s="76"/>
      <c r="B49" s="76"/>
      <c r="C49" s="76"/>
      <c r="D49" s="76"/>
      <c r="E49" s="76"/>
      <c r="F49" s="77"/>
      <c r="G49" s="77"/>
      <c r="H49" s="115"/>
      <c r="I49" s="76"/>
      <c r="J49" s="76"/>
      <c r="K49" s="76"/>
      <c r="L49" s="76"/>
      <c r="M49" s="76"/>
      <c r="N49" s="76"/>
      <c r="O49" s="76"/>
    </row>
    <row r="50" spans="1:15" hidden="1" x14ac:dyDescent="0.35">
      <c r="A50" s="76"/>
      <c r="B50" s="76"/>
      <c r="C50" s="76"/>
      <c r="D50" s="76"/>
      <c r="E50" s="76"/>
      <c r="F50" s="76"/>
      <c r="G50" s="76"/>
      <c r="H50" s="116"/>
      <c r="I50" s="76"/>
      <c r="J50" s="116"/>
      <c r="K50" s="76"/>
      <c r="L50" s="76"/>
      <c r="M50" s="76"/>
      <c r="N50" s="76"/>
      <c r="O50" s="76"/>
    </row>
    <row r="51" spans="1:15" ht="23.5" hidden="1" x14ac:dyDescent="0.55000000000000004">
      <c r="A51" s="104"/>
      <c r="B51" s="76"/>
      <c r="C51" s="76"/>
      <c r="D51" s="76"/>
      <c r="E51" s="76"/>
      <c r="F51" s="76"/>
      <c r="G51" s="76"/>
      <c r="H51" s="115"/>
      <c r="I51" s="76"/>
      <c r="J51" s="76"/>
      <c r="K51" s="76"/>
      <c r="L51" s="76"/>
      <c r="M51" s="76"/>
      <c r="N51" s="76"/>
      <c r="O51" s="76"/>
    </row>
    <row r="52" spans="1:15" hidden="1" x14ac:dyDescent="0.35">
      <c r="A52" s="105"/>
      <c r="B52" s="105"/>
      <c r="C52" s="105"/>
      <c r="D52" s="105"/>
      <c r="E52" s="105"/>
      <c r="F52" s="106"/>
      <c r="G52" s="106"/>
      <c r="H52" s="106"/>
      <c r="I52" s="106"/>
      <c r="J52" s="107"/>
      <c r="K52" s="107"/>
      <c r="L52" s="76"/>
      <c r="M52" s="76"/>
      <c r="N52" s="76"/>
      <c r="O52" s="76"/>
    </row>
    <row r="53" spans="1:15" hidden="1" x14ac:dyDescent="0.35">
      <c r="A53" s="76"/>
      <c r="B53" s="105"/>
      <c r="C53" s="105"/>
      <c r="D53" s="108"/>
      <c r="E53" s="76"/>
      <c r="F53" s="108"/>
      <c r="G53" s="108"/>
      <c r="H53" s="108"/>
      <c r="I53" s="108"/>
      <c r="J53" s="107"/>
      <c r="K53" s="76"/>
      <c r="L53" s="76"/>
      <c r="M53" s="76"/>
      <c r="N53" s="76"/>
      <c r="O53" s="76"/>
    </row>
    <row r="54" spans="1:15" hidden="1" x14ac:dyDescent="0.35">
      <c r="A54" s="76"/>
      <c r="B54" s="76"/>
      <c r="C54" s="76"/>
      <c r="D54" s="76"/>
      <c r="E54" s="76"/>
      <c r="F54" s="76"/>
      <c r="G54" s="76"/>
      <c r="H54" s="109"/>
      <c r="I54" s="110"/>
      <c r="J54" s="76"/>
      <c r="K54" s="77"/>
      <c r="L54" s="76"/>
      <c r="M54" s="76"/>
      <c r="N54" s="109"/>
      <c r="O54" s="76"/>
    </row>
    <row r="55" spans="1:15" hidden="1" x14ac:dyDescent="0.35">
      <c r="A55" s="76"/>
      <c r="B55" s="76"/>
      <c r="C55" s="76"/>
      <c r="D55" s="76"/>
      <c r="E55" s="76"/>
      <c r="F55" s="76"/>
      <c r="G55" s="76"/>
      <c r="H55" s="109"/>
      <c r="I55" s="110"/>
      <c r="J55" s="76"/>
      <c r="K55" s="77"/>
      <c r="L55" s="76"/>
      <c r="M55" s="117"/>
      <c r="N55" s="76"/>
      <c r="O55" s="76"/>
    </row>
    <row r="56" spans="1:15" hidden="1" x14ac:dyDescent="0.35">
      <c r="A56" s="76"/>
      <c r="B56" s="76"/>
      <c r="C56" s="76"/>
      <c r="D56" s="76"/>
      <c r="E56" s="76"/>
      <c r="F56" s="76"/>
      <c r="G56" s="76"/>
      <c r="H56" s="112"/>
      <c r="I56" s="113"/>
      <c r="J56" s="116"/>
      <c r="K56" s="76"/>
      <c r="L56" s="76"/>
      <c r="M56" s="76"/>
      <c r="N56" s="76"/>
      <c r="O56" s="76"/>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17DEE-8B60-4A8B-B6AD-CAC46E04C276}">
  <sheetPr>
    <pageSetUpPr fitToPage="1"/>
  </sheetPr>
  <dimension ref="A1:V101"/>
  <sheetViews>
    <sheetView zoomScaleNormal="100" workbookViewId="0">
      <selection activeCell="B46" sqref="B46"/>
    </sheetView>
  </sheetViews>
  <sheetFormatPr defaultColWidth="0" defaultRowHeight="16" zeroHeight="1" x14ac:dyDescent="0.4"/>
  <cols>
    <col min="1" max="1" width="2.83203125" style="79" customWidth="1"/>
    <col min="2" max="2" width="38.25" style="79" customWidth="1"/>
    <col min="3" max="3" width="8.58203125" style="79" customWidth="1"/>
    <col min="4" max="4" width="9.33203125" style="79" customWidth="1"/>
    <col min="5" max="6" width="10.25" style="79" customWidth="1"/>
    <col min="7" max="9" width="11.08203125" style="79" customWidth="1"/>
    <col min="10" max="10" width="9.6640625" style="79" customWidth="1"/>
    <col min="11" max="11" width="2.83203125" style="79" customWidth="1"/>
    <col min="12" max="12" width="34.83203125" style="79" customWidth="1"/>
    <col min="13" max="13" width="9.08203125" style="79" customWidth="1"/>
    <col min="14" max="14" width="12.25" style="79" customWidth="1"/>
    <col min="15" max="15" width="10.75" style="79" customWidth="1"/>
    <col min="16" max="16" width="10.08203125" style="79" customWidth="1"/>
    <col min="17" max="17" width="9.75" style="79" customWidth="1"/>
    <col min="18" max="18" width="10.08203125" style="79" customWidth="1"/>
    <col min="19" max="19" width="9.83203125" style="79" customWidth="1"/>
    <col min="20" max="20" width="2.83203125" style="79" customWidth="1"/>
    <col min="21" max="16384" width="8" style="79" hidden="1"/>
  </cols>
  <sheetData>
    <row r="1" spans="2:19" ht="16" customHeight="1" x14ac:dyDescent="0.4">
      <c r="B1" s="78" t="s">
        <v>103</v>
      </c>
      <c r="C1" s="78"/>
      <c r="D1" s="78"/>
      <c r="E1" s="78"/>
      <c r="F1" s="78"/>
      <c r="G1" s="78"/>
      <c r="H1" s="78"/>
      <c r="I1" s="78"/>
      <c r="L1" s="78" t="s">
        <v>104</v>
      </c>
    </row>
    <row r="2" spans="2:19" ht="33" customHeight="1" x14ac:dyDescent="0.4">
      <c r="B2" s="95" t="s">
        <v>105</v>
      </c>
      <c r="C2" s="95" t="s">
        <v>3</v>
      </c>
      <c r="D2" s="96" t="s">
        <v>3</v>
      </c>
      <c r="E2" s="96" t="s">
        <v>43</v>
      </c>
      <c r="F2" s="96" t="s">
        <v>106</v>
      </c>
      <c r="G2" s="97" t="s">
        <v>107</v>
      </c>
      <c r="H2" s="97" t="s">
        <v>108</v>
      </c>
      <c r="I2" s="97" t="s">
        <v>109</v>
      </c>
      <c r="J2" s="97" t="s">
        <v>241</v>
      </c>
      <c r="L2" s="95" t="s">
        <v>105</v>
      </c>
      <c r="M2" s="96" t="s">
        <v>110</v>
      </c>
      <c r="N2" s="96" t="s">
        <v>94</v>
      </c>
      <c r="O2" s="96" t="s">
        <v>111</v>
      </c>
      <c r="P2" s="96" t="s">
        <v>112</v>
      </c>
      <c r="Q2" s="96" t="s">
        <v>113</v>
      </c>
      <c r="R2" s="96" t="s">
        <v>114</v>
      </c>
      <c r="S2" s="96" t="s">
        <v>113</v>
      </c>
    </row>
    <row r="3" spans="2:19" ht="16" customHeight="1" x14ac:dyDescent="0.4">
      <c r="D3" s="77" t="s">
        <v>115</v>
      </c>
      <c r="E3" s="94" t="s">
        <v>113</v>
      </c>
      <c r="F3" s="94" t="s">
        <v>116</v>
      </c>
      <c r="G3" s="94" t="s">
        <v>75</v>
      </c>
      <c r="H3" s="94" t="s">
        <v>75</v>
      </c>
      <c r="I3" s="94" t="s">
        <v>117</v>
      </c>
      <c r="J3" s="149" t="s">
        <v>117</v>
      </c>
      <c r="M3" s="94" t="s">
        <v>118</v>
      </c>
      <c r="N3" s="94" t="s">
        <v>118</v>
      </c>
      <c r="O3" s="94" t="s">
        <v>118</v>
      </c>
      <c r="P3" s="94" t="s">
        <v>118</v>
      </c>
      <c r="Q3" s="94" t="s">
        <v>119</v>
      </c>
      <c r="R3" s="94" t="s">
        <v>120</v>
      </c>
      <c r="S3" s="94" t="s">
        <v>121</v>
      </c>
    </row>
    <row r="4" spans="2:19" ht="16" customHeight="1" x14ac:dyDescent="0.4">
      <c r="B4" s="79" t="str">
        <f>$L$5</f>
        <v>Airblast sprayer, 100 gallon; 45 HP MFWD</v>
      </c>
      <c r="C4" s="79" t="s">
        <v>54</v>
      </c>
      <c r="D4" s="87">
        <v>0</v>
      </c>
      <c r="E4" s="91">
        <f>D4*$Q$5</f>
        <v>0</v>
      </c>
      <c r="F4" s="91">
        <f>$M$4*$Q$5*D4</f>
        <v>0</v>
      </c>
      <c r="G4" s="91">
        <f>(E4*$M$16)+(F4*$M$17)+($P$4+$P$5)*$Q$5*D4</f>
        <v>0</v>
      </c>
      <c r="H4" s="91">
        <f>($N$4+$O$4+N5+O5)*$Q$5*D4</f>
        <v>0</v>
      </c>
      <c r="I4" s="91">
        <f>G4+H4</f>
        <v>0</v>
      </c>
      <c r="J4" s="292">
        <f>($P$4+P5)*D4*Q5</f>
        <v>0</v>
      </c>
      <c r="L4" s="186" t="s">
        <v>180</v>
      </c>
      <c r="M4" s="79">
        <v>1.98</v>
      </c>
      <c r="N4" s="79">
        <v>0.73</v>
      </c>
      <c r="O4" s="79">
        <v>2.61</v>
      </c>
      <c r="P4" s="79">
        <v>1.35</v>
      </c>
      <c r="Q4" s="79">
        <v>1</v>
      </c>
      <c r="R4" s="98">
        <v>10000</v>
      </c>
      <c r="S4" s="98">
        <v>400</v>
      </c>
    </row>
    <row r="5" spans="2:19" ht="16" customHeight="1" x14ac:dyDescent="0.4">
      <c r="B5" s="79" t="str">
        <f>$L$6</f>
        <v>Weed sprayer - pull-type; 45 HP MFWD</v>
      </c>
      <c r="C5" s="79" t="s">
        <v>54</v>
      </c>
      <c r="D5" s="87">
        <v>1</v>
      </c>
      <c r="E5" s="91">
        <f>D5*$Q$6</f>
        <v>0.26200000000000001</v>
      </c>
      <c r="F5" s="91">
        <f>$M$4*$Q$6*D5</f>
        <v>0.51876</v>
      </c>
      <c r="G5" s="91">
        <f>(E5*$M$16)+(F5*$M$17)+($P$4+$P$6)*$Q$6*D5</f>
        <v>7.2508500000000007</v>
      </c>
      <c r="H5" s="91">
        <f>($N$4+O$4+N$6+O$6)*$Q$6*D5</f>
        <v>3.4243400000000004</v>
      </c>
      <c r="I5" s="91">
        <f t="shared" ref="I5:I6" si="0">G5+H5</f>
        <v>10.675190000000001</v>
      </c>
      <c r="J5" s="292">
        <f t="shared" ref="J5:J9" si="1">($P$4+P6)*D5*Q6</f>
        <v>0.71788000000000007</v>
      </c>
      <c r="L5" s="79" t="s">
        <v>122</v>
      </c>
      <c r="N5" s="79">
        <v>3.59</v>
      </c>
      <c r="O5" s="79">
        <v>9.74</v>
      </c>
      <c r="P5" s="79">
        <v>2.69</v>
      </c>
      <c r="Q5" s="79">
        <v>0.55000000000000004</v>
      </c>
      <c r="R5" s="98">
        <v>8000</v>
      </c>
      <c r="S5" s="98">
        <v>50</v>
      </c>
    </row>
    <row r="6" spans="2:19" ht="16" customHeight="1" x14ac:dyDescent="0.4">
      <c r="B6" s="79" t="str">
        <f>$L$7</f>
        <v>Spreader - double spinner; 45 HP MFWD</v>
      </c>
      <c r="C6" s="79" t="s">
        <v>54</v>
      </c>
      <c r="D6" s="87">
        <v>2</v>
      </c>
      <c r="E6" s="91">
        <f>D6*$Q$7</f>
        <v>0.17199999999999999</v>
      </c>
      <c r="F6" s="91">
        <f>$M$4*$Q$7*D6</f>
        <v>0.34055999999999997</v>
      </c>
      <c r="G6" s="91">
        <f>(E6*$M$16)+(F6*$M$17)+($P$4+P7)*Q7*D6</f>
        <v>5.0937799999999989</v>
      </c>
      <c r="H6" s="91">
        <f>($N$4+$O$4+$N$7+$O$7)*$Q$7*D6</f>
        <v>3.2318799999999994</v>
      </c>
      <c r="I6" s="91">
        <f t="shared" si="0"/>
        <v>8.3256599999999992</v>
      </c>
      <c r="J6" s="292">
        <f t="shared" si="1"/>
        <v>0.8049599999999999</v>
      </c>
      <c r="L6" s="79" t="s">
        <v>123</v>
      </c>
      <c r="N6" s="79">
        <v>1.79</v>
      </c>
      <c r="O6" s="79">
        <v>7.94</v>
      </c>
      <c r="P6" s="79">
        <v>1.39</v>
      </c>
      <c r="Q6" s="79">
        <v>0.26200000000000001</v>
      </c>
      <c r="R6" s="98">
        <v>2700</v>
      </c>
      <c r="S6" s="98">
        <v>20</v>
      </c>
    </row>
    <row r="7" spans="2:19" ht="16" customHeight="1" x14ac:dyDescent="0.4">
      <c r="B7" s="79" t="str">
        <f>$L$8</f>
        <v>Finish mower, 8 ft.; 45 HP MFWD</v>
      </c>
      <c r="C7" s="79" t="s">
        <v>54</v>
      </c>
      <c r="D7" s="87">
        <v>1</v>
      </c>
      <c r="E7" s="91">
        <f>D7*Q8</f>
        <v>0.75</v>
      </c>
      <c r="F7" s="91">
        <f>$M$4*Q8*D7</f>
        <v>1.4849999999999999</v>
      </c>
      <c r="G7" s="91">
        <f>(E7*$M$16)+(F7*$M$17)+($P$4+P8)*Q8*D7</f>
        <v>22.353750000000002</v>
      </c>
      <c r="H7" s="91">
        <f>($N$4+$O$4+N8+O8)*Q8*D7</f>
        <v>9.4199999999999982</v>
      </c>
      <c r="I7" s="91">
        <f>G7+H7</f>
        <v>31.77375</v>
      </c>
      <c r="J7" s="292">
        <f t="shared" si="1"/>
        <v>3.6524999999999999</v>
      </c>
      <c r="L7" s="79" t="s">
        <v>124</v>
      </c>
      <c r="N7" s="79">
        <v>3.72</v>
      </c>
      <c r="O7" s="79">
        <v>11.73</v>
      </c>
      <c r="P7" s="79">
        <v>3.33</v>
      </c>
      <c r="Q7" s="79">
        <v>8.5999999999999993E-2</v>
      </c>
      <c r="R7" s="98">
        <v>4500</v>
      </c>
      <c r="S7" s="98">
        <v>20</v>
      </c>
    </row>
    <row r="8" spans="2:19" ht="16" customHeight="1" x14ac:dyDescent="0.4">
      <c r="B8" s="79" t="s">
        <v>231</v>
      </c>
      <c r="C8" s="79" t="s">
        <v>54</v>
      </c>
      <c r="D8" s="87">
        <v>1</v>
      </c>
      <c r="E8" s="91">
        <f>D8*Q9</f>
        <v>0.40699999999999997</v>
      </c>
      <c r="F8" s="91">
        <f>$M$4*Q9*D8</f>
        <v>0.80585999999999991</v>
      </c>
      <c r="G8" s="91">
        <f>(E8*$M$16)+(F8*$M$17)+($P$4+P9)*Q9*D8</f>
        <v>11.239304999999998</v>
      </c>
      <c r="H8" s="91">
        <f>($N$4+$O$4+N9+O9)*Q9*D8</f>
        <v>3.0199399999999996</v>
      </c>
      <c r="I8" s="91">
        <f>G8+H8</f>
        <v>14.259244999999998</v>
      </c>
      <c r="J8" s="292">
        <f t="shared" si="1"/>
        <v>1.09076</v>
      </c>
      <c r="L8" s="79" t="s">
        <v>181</v>
      </c>
      <c r="N8" s="79">
        <v>1.59</v>
      </c>
      <c r="O8" s="79">
        <v>7.63</v>
      </c>
      <c r="P8" s="79">
        <v>3.52</v>
      </c>
      <c r="Q8" s="79">
        <v>0.75</v>
      </c>
      <c r="R8" s="98">
        <v>3200</v>
      </c>
      <c r="S8" s="98">
        <v>25</v>
      </c>
    </row>
    <row r="9" spans="2:19" ht="16" customHeight="1" x14ac:dyDescent="0.4">
      <c r="B9" s="79" t="str">
        <f>L10</f>
        <v>Mulch wagon, side delivery, 45 HP MFWD</v>
      </c>
      <c r="C9" s="78" t="s">
        <v>54</v>
      </c>
      <c r="D9" s="279">
        <v>0</v>
      </c>
      <c r="E9" s="93">
        <f>D9*Q10</f>
        <v>0</v>
      </c>
      <c r="F9" s="93">
        <f>$M$4*Q10*D9</f>
        <v>0</v>
      </c>
      <c r="G9" s="93">
        <f>(E9*$M$16)+(F9*$M$17)+($P$4+P10)*Q10*D9</f>
        <v>0</v>
      </c>
      <c r="H9" s="93">
        <f>($N$4+$O$4+N10+O10)*Q10*D9</f>
        <v>0</v>
      </c>
      <c r="I9" s="93">
        <f>G9+H9</f>
        <v>0</v>
      </c>
      <c r="J9" s="293">
        <f t="shared" si="1"/>
        <v>0</v>
      </c>
      <c r="L9" s="79" t="s">
        <v>231</v>
      </c>
      <c r="N9" s="79">
        <v>0.98</v>
      </c>
      <c r="O9" s="91">
        <v>3.1</v>
      </c>
      <c r="P9" s="79">
        <v>1.33</v>
      </c>
      <c r="Q9" s="79">
        <v>0.40699999999999997</v>
      </c>
      <c r="R9" s="98">
        <v>2500</v>
      </c>
      <c r="S9" s="276">
        <v>75</v>
      </c>
    </row>
    <row r="10" spans="2:19" ht="16" customHeight="1" x14ac:dyDescent="0.4">
      <c r="B10" s="94" t="s">
        <v>125</v>
      </c>
      <c r="C10" s="94"/>
      <c r="E10" s="91">
        <f>SUM(E4:E8)</f>
        <v>1.591</v>
      </c>
      <c r="F10" s="91">
        <f>SUM(F4:F8)</f>
        <v>3.1501799999999998</v>
      </c>
      <c r="G10" s="91">
        <f>SUM(G4:G8)</f>
        <v>45.937685000000002</v>
      </c>
      <c r="H10" s="91">
        <f>SUM(H4:H8)</f>
        <v>19.096159999999998</v>
      </c>
      <c r="I10" s="91">
        <f>SUM(I4:I9)</f>
        <v>65.033844999999999</v>
      </c>
      <c r="J10" s="91">
        <f>SUM(J4:J9)</f>
        <v>6.2660999999999998</v>
      </c>
      <c r="L10" s="79" t="s">
        <v>233</v>
      </c>
      <c r="N10" s="91">
        <v>2.4</v>
      </c>
      <c r="O10" s="91">
        <v>8.4</v>
      </c>
      <c r="P10" s="91">
        <v>2.4</v>
      </c>
      <c r="Q10" s="91">
        <v>0.5</v>
      </c>
      <c r="R10" s="98">
        <v>4000</v>
      </c>
      <c r="S10" s="276">
        <v>30</v>
      </c>
    </row>
    <row r="11" spans="2:19" ht="16" customHeight="1" x14ac:dyDescent="0.4">
      <c r="I11" s="79" t="s">
        <v>242</v>
      </c>
      <c r="J11" s="79">
        <f>E10*$M$16+F10*$M$17+J10</f>
        <v>45.937685000000002</v>
      </c>
      <c r="L11" s="187"/>
      <c r="M11" s="188"/>
      <c r="N11" s="188"/>
      <c r="O11" s="188"/>
      <c r="P11" s="188"/>
      <c r="Q11" s="188"/>
      <c r="R11" s="189"/>
      <c r="S11" s="188"/>
    </row>
    <row r="12" spans="2:19" ht="16" customHeight="1" x14ac:dyDescent="0.4">
      <c r="B12" s="78" t="s">
        <v>126</v>
      </c>
    </row>
    <row r="13" spans="2:19" ht="16" customHeight="1" x14ac:dyDescent="0.4">
      <c r="B13" s="95" t="s">
        <v>105</v>
      </c>
      <c r="C13" s="95" t="s">
        <v>3</v>
      </c>
      <c r="D13" s="96" t="s">
        <v>3</v>
      </c>
      <c r="E13" s="96" t="s">
        <v>43</v>
      </c>
      <c r="F13" s="96" t="s">
        <v>106</v>
      </c>
      <c r="G13" s="97" t="s">
        <v>107</v>
      </c>
      <c r="H13" s="97" t="s">
        <v>108</v>
      </c>
      <c r="I13" s="97" t="s">
        <v>109</v>
      </c>
      <c r="J13" s="97" t="s">
        <v>241</v>
      </c>
      <c r="M13" s="94"/>
      <c r="N13" s="91"/>
    </row>
    <row r="14" spans="2:19" ht="16" customHeight="1" x14ac:dyDescent="0.4">
      <c r="D14" s="77" t="s">
        <v>115</v>
      </c>
      <c r="E14" s="94" t="s">
        <v>113</v>
      </c>
      <c r="F14" s="94" t="s">
        <v>116</v>
      </c>
      <c r="G14" s="94" t="s">
        <v>75</v>
      </c>
      <c r="H14" s="94" t="s">
        <v>75</v>
      </c>
      <c r="I14" s="94" t="s">
        <v>117</v>
      </c>
      <c r="J14" s="149" t="s">
        <v>117</v>
      </c>
      <c r="P14" s="86"/>
      <c r="Q14" s="86"/>
      <c r="R14" s="86"/>
    </row>
    <row r="15" spans="2:19" ht="18.75" customHeight="1" x14ac:dyDescent="0.4">
      <c r="B15" s="79" t="str">
        <f>$L$5</f>
        <v>Airblast sprayer, 100 gallon; 45 HP MFWD</v>
      </c>
      <c r="C15" s="79" t="s">
        <v>54</v>
      </c>
      <c r="D15" s="87">
        <v>6</v>
      </c>
      <c r="E15" s="91">
        <f>D15*$Q$5</f>
        <v>3.3000000000000003</v>
      </c>
      <c r="F15" s="91">
        <f>$M$4*$Q$5*D15</f>
        <v>6.5339999999999998</v>
      </c>
      <c r="G15" s="91">
        <f t="shared" ref="G15:G20" si="2">(E15*$M$16)+(F15*$M$17)+($P$4+P5)*Q5*D15</f>
        <v>95.617500000000007</v>
      </c>
      <c r="H15" s="91">
        <f>($N$4+$O$4)*$Q$5*D15</f>
        <v>11.022</v>
      </c>
      <c r="I15" s="91">
        <f>G15+H15</f>
        <v>106.63950000000001</v>
      </c>
      <c r="J15" s="292">
        <f>($P$4+P5)*D15*Q5</f>
        <v>13.332000000000003</v>
      </c>
      <c r="L15" s="275" t="s">
        <v>247</v>
      </c>
      <c r="M15" s="100">
        <v>0</v>
      </c>
      <c r="N15" s="101"/>
    </row>
    <row r="16" spans="2:19" ht="16" customHeight="1" x14ac:dyDescent="0.4">
      <c r="B16" s="79" t="str">
        <f>$L$6</f>
        <v>Weed sprayer - pull-type; 45 HP MFWD</v>
      </c>
      <c r="C16" s="79" t="s">
        <v>54</v>
      </c>
      <c r="D16" s="87">
        <v>3</v>
      </c>
      <c r="E16" s="91">
        <f>D16*$Q$6</f>
        <v>0.78600000000000003</v>
      </c>
      <c r="F16" s="91">
        <f>$M$4*$Q$6*D16</f>
        <v>1.5562800000000001</v>
      </c>
      <c r="G16" s="91">
        <f t="shared" si="2"/>
        <v>21.752549999999999</v>
      </c>
      <c r="H16" s="91">
        <f>($N$4+O$4+N$6+O$6)*$Q$6*D16</f>
        <v>10.273020000000001</v>
      </c>
      <c r="I16" s="91">
        <f t="shared" ref="I16:I17" si="3">G16+H16</f>
        <v>32.025570000000002</v>
      </c>
      <c r="J16" s="292">
        <f t="shared" ref="J16:J20" si="4">($P$4+P6)*D16*Q6</f>
        <v>2.1536400000000002</v>
      </c>
      <c r="L16" s="275" t="s">
        <v>127</v>
      </c>
      <c r="M16" s="91">
        <f>[2]Budget!D28</f>
        <v>18.5</v>
      </c>
      <c r="O16" s="91"/>
      <c r="P16" s="91"/>
      <c r="Q16" s="91"/>
    </row>
    <row r="17" spans="2:17" ht="16" customHeight="1" x14ac:dyDescent="0.4">
      <c r="B17" s="79" t="str">
        <f>$L$7</f>
        <v>Spreader - double spinner; 45 HP MFWD</v>
      </c>
      <c r="C17" s="79" t="s">
        <v>54</v>
      </c>
      <c r="D17" s="87">
        <v>2</v>
      </c>
      <c r="E17" s="91">
        <f>D17*$Q$7</f>
        <v>0.17199999999999999</v>
      </c>
      <c r="F17" s="91">
        <f>$M$4*$Q$7*D17</f>
        <v>0.34055999999999997</v>
      </c>
      <c r="G17" s="91">
        <f t="shared" si="2"/>
        <v>5.0937799999999989</v>
      </c>
      <c r="H17" s="91">
        <f>($N$4+$O$4+$N$7+$O$7)*$Q$7*D17</f>
        <v>3.2318799999999994</v>
      </c>
      <c r="I17" s="91">
        <f t="shared" si="3"/>
        <v>8.3256599999999992</v>
      </c>
      <c r="J17" s="292">
        <f t="shared" si="4"/>
        <v>0.8049599999999999</v>
      </c>
      <c r="L17" s="275" t="s">
        <v>128</v>
      </c>
      <c r="M17" s="91">
        <f>[2]Budget!D48</f>
        <v>3.25</v>
      </c>
      <c r="N17" s="94"/>
      <c r="O17" s="94"/>
      <c r="P17" s="94"/>
      <c r="Q17" s="94"/>
    </row>
    <row r="18" spans="2:17" ht="16" customHeight="1" x14ac:dyDescent="0.4">
      <c r="B18" s="79" t="str">
        <f>$L$8</f>
        <v>Finish mower, 8 ft.; 45 HP MFWD</v>
      </c>
      <c r="C18" s="79" t="s">
        <v>54</v>
      </c>
      <c r="D18" s="87">
        <v>5</v>
      </c>
      <c r="E18" s="91">
        <f>D18*Q8</f>
        <v>3.75</v>
      </c>
      <c r="F18" s="91">
        <f>$M$4*Q8*D18</f>
        <v>7.4249999999999989</v>
      </c>
      <c r="G18" s="91">
        <f t="shared" si="2"/>
        <v>111.76875</v>
      </c>
      <c r="H18" s="91">
        <f>($N$4+$O$4+N8+O8)*Q8*D18</f>
        <v>47.099999999999994</v>
      </c>
      <c r="I18" s="91">
        <f>G18+H18</f>
        <v>158.86874999999998</v>
      </c>
      <c r="J18" s="292">
        <f t="shared" si="4"/>
        <v>18.262500000000003</v>
      </c>
      <c r="L18" s="102"/>
      <c r="M18" s="94"/>
      <c r="N18" s="94"/>
      <c r="O18" s="94"/>
      <c r="P18" s="94"/>
      <c r="Q18" s="94"/>
    </row>
    <row r="19" spans="2:17" ht="16" customHeight="1" x14ac:dyDescent="0.4">
      <c r="B19" s="79" t="s">
        <v>231</v>
      </c>
      <c r="C19" s="79" t="s">
        <v>54</v>
      </c>
      <c r="D19" s="87">
        <v>3</v>
      </c>
      <c r="E19" s="91">
        <f>D19*Q9</f>
        <v>1.2209999999999999</v>
      </c>
      <c r="F19" s="91">
        <f>$M$4*Q9*D19</f>
        <v>2.4175799999999996</v>
      </c>
      <c r="G19" s="91">
        <f t="shared" si="2"/>
        <v>33.717914999999998</v>
      </c>
      <c r="H19" s="91">
        <f>($N$4+$O$4+N9+O9)*Q9*D19</f>
        <v>9.0598199999999984</v>
      </c>
      <c r="I19" s="91">
        <f>G19+H19</f>
        <v>42.777734999999993</v>
      </c>
      <c r="J19" s="292">
        <f t="shared" si="4"/>
        <v>3.2722800000000003</v>
      </c>
      <c r="L19" s="7"/>
      <c r="M19" s="94"/>
      <c r="N19" s="94"/>
      <c r="O19" s="94"/>
      <c r="P19" s="94"/>
      <c r="Q19" s="94"/>
    </row>
    <row r="20" spans="2:17" ht="16" customHeight="1" x14ac:dyDescent="0.4">
      <c r="B20" s="79" t="str">
        <f>L10</f>
        <v>Mulch wagon, side delivery, 45 HP MFWD</v>
      </c>
      <c r="C20" s="78" t="s">
        <v>54</v>
      </c>
      <c r="D20" s="279">
        <v>4</v>
      </c>
      <c r="E20" s="93">
        <f>D20*Q10</f>
        <v>2</v>
      </c>
      <c r="F20" s="93">
        <f>$M$4*Q10*D20</f>
        <v>3.96</v>
      </c>
      <c r="G20" s="93">
        <f t="shared" si="2"/>
        <v>57.37</v>
      </c>
      <c r="H20" s="93">
        <f>($N$4+$O$4+N10+O10)*Q10*D20</f>
        <v>28.28</v>
      </c>
      <c r="I20" s="93">
        <f>G20+H20</f>
        <v>85.65</v>
      </c>
      <c r="J20" s="293">
        <f t="shared" si="4"/>
        <v>7.5</v>
      </c>
      <c r="L20" s="7"/>
    </row>
    <row r="21" spans="2:17" ht="16" customHeight="1" x14ac:dyDescent="0.4">
      <c r="B21" s="94" t="s">
        <v>125</v>
      </c>
      <c r="C21" s="94"/>
      <c r="E21" s="91">
        <f t="shared" ref="E21:J21" si="5">SUM(E15:E20)</f>
        <v>11.228999999999999</v>
      </c>
      <c r="F21" s="91">
        <f t="shared" si="5"/>
        <v>22.233419999999999</v>
      </c>
      <c r="G21" s="91">
        <f t="shared" si="5"/>
        <v>325.32049499999999</v>
      </c>
      <c r="H21" s="91">
        <f t="shared" si="5"/>
        <v>108.96672</v>
      </c>
      <c r="I21" s="91">
        <f t="shared" si="5"/>
        <v>434.28721499999995</v>
      </c>
      <c r="J21" s="91">
        <f t="shared" si="5"/>
        <v>45.32538000000001</v>
      </c>
    </row>
    <row r="22" spans="2:17" ht="16" customHeight="1" x14ac:dyDescent="0.4">
      <c r="B22" s="94"/>
      <c r="C22" s="94"/>
      <c r="E22" s="91"/>
      <c r="F22" s="91"/>
      <c r="G22" s="91"/>
      <c r="H22" s="91"/>
      <c r="I22" s="91" t="s">
        <v>242</v>
      </c>
      <c r="J22" s="79">
        <f>E21*$M$16+F21*$M$17+J21</f>
        <v>325.32049499999994</v>
      </c>
    </row>
    <row r="23" spans="2:17" ht="16" customHeight="1" x14ac:dyDescent="0.4">
      <c r="B23" s="78" t="s">
        <v>129</v>
      </c>
    </row>
    <row r="24" spans="2:17" ht="16" customHeight="1" x14ac:dyDescent="0.4">
      <c r="B24" s="95" t="s">
        <v>105</v>
      </c>
      <c r="C24" s="95" t="s">
        <v>3</v>
      </c>
      <c r="D24" s="96" t="s">
        <v>3</v>
      </c>
      <c r="E24" s="96" t="s">
        <v>43</v>
      </c>
      <c r="F24" s="96" t="s">
        <v>106</v>
      </c>
      <c r="G24" s="97" t="s">
        <v>107</v>
      </c>
      <c r="H24" s="97" t="s">
        <v>108</v>
      </c>
      <c r="I24" s="97" t="s">
        <v>109</v>
      </c>
      <c r="J24" s="97" t="s">
        <v>241</v>
      </c>
    </row>
    <row r="25" spans="2:17" ht="16" customHeight="1" x14ac:dyDescent="0.4">
      <c r="D25" s="77" t="s">
        <v>115</v>
      </c>
      <c r="E25" s="94" t="s">
        <v>113</v>
      </c>
      <c r="F25" s="94" t="s">
        <v>116</v>
      </c>
      <c r="G25" s="94" t="s">
        <v>75</v>
      </c>
      <c r="H25" s="94" t="s">
        <v>75</v>
      </c>
      <c r="I25" s="94" t="s">
        <v>117</v>
      </c>
      <c r="J25" s="149" t="s">
        <v>117</v>
      </c>
    </row>
    <row r="26" spans="2:17" ht="16" customHeight="1" x14ac:dyDescent="0.4">
      <c r="B26" s="79" t="str">
        <f>$L$5</f>
        <v>Airblast sprayer, 100 gallon; 45 HP MFWD</v>
      </c>
      <c r="C26" s="79" t="s">
        <v>54</v>
      </c>
      <c r="D26" s="87">
        <v>6</v>
      </c>
      <c r="E26" s="91">
        <f>D26*$Q$5</f>
        <v>3.3000000000000003</v>
      </c>
      <c r="F26" s="91">
        <f>$M$4*$Q$5*D26</f>
        <v>6.5339999999999998</v>
      </c>
      <c r="G26" s="91">
        <f>(E26*$M$16)+(F26*$M$17)+($P$4+$P$5)*$Q$5*D26</f>
        <v>95.617500000000007</v>
      </c>
      <c r="H26" s="91">
        <f>($N$4+$O$4)*$Q$5*D26</f>
        <v>11.022</v>
      </c>
      <c r="I26" s="91">
        <f>G26+H26</f>
        <v>106.63950000000001</v>
      </c>
      <c r="J26" s="292">
        <f>($P$4+P5)*D26*Q5</f>
        <v>13.332000000000003</v>
      </c>
      <c r="K26" s="94"/>
    </row>
    <row r="27" spans="2:17" ht="16" customHeight="1" x14ac:dyDescent="0.4">
      <c r="B27" s="79" t="str">
        <f>$L$6</f>
        <v>Weed sprayer - pull-type; 45 HP MFWD</v>
      </c>
      <c r="C27" s="79" t="s">
        <v>54</v>
      </c>
      <c r="D27" s="87">
        <v>3</v>
      </c>
      <c r="E27" s="91">
        <f>D27*$Q$6</f>
        <v>0.78600000000000003</v>
      </c>
      <c r="F27" s="91">
        <f>$M$4*$Q$6*D27</f>
        <v>1.5562800000000001</v>
      </c>
      <c r="G27" s="91">
        <f>(E27*$M$16)+(F27*$M$17)+($P$4+$P$6)*$Q$6*D27</f>
        <v>21.752549999999999</v>
      </c>
      <c r="H27" s="91">
        <f>($N$4+O$4+N$6+O$6)*$Q$6*D27</f>
        <v>10.273020000000001</v>
      </c>
      <c r="I27" s="91">
        <f t="shared" ref="I27:I28" si="6">G27+H27</f>
        <v>32.025570000000002</v>
      </c>
      <c r="J27" s="292">
        <f t="shared" ref="J27:J31" si="7">($P$4+P6)*D27*Q6</f>
        <v>2.1536400000000002</v>
      </c>
      <c r="K27" s="94"/>
    </row>
    <row r="28" spans="2:17" ht="16" customHeight="1" x14ac:dyDescent="0.4">
      <c r="B28" s="79" t="str">
        <f>$L$7</f>
        <v>Spreader - double spinner; 45 HP MFWD</v>
      </c>
      <c r="C28" s="79" t="s">
        <v>54</v>
      </c>
      <c r="D28" s="87">
        <v>0</v>
      </c>
      <c r="E28" s="91">
        <f>D28*$Q$7</f>
        <v>0</v>
      </c>
      <c r="F28" s="91">
        <f>$M$4*$Q$7*D28</f>
        <v>0</v>
      </c>
      <c r="G28" s="91">
        <f>(E28*$M$16)+(F28*$M$17)+($P$4+$P$7)*$Q$7*D28</f>
        <v>0</v>
      </c>
      <c r="H28" s="91">
        <f>($N$4+$O$4+$N$7+$O$7)*$Q$7*D28</f>
        <v>0</v>
      </c>
      <c r="I28" s="91">
        <f t="shared" si="6"/>
        <v>0</v>
      </c>
      <c r="J28" s="292">
        <f t="shared" si="7"/>
        <v>0</v>
      </c>
      <c r="K28" s="94"/>
    </row>
    <row r="29" spans="2:17" ht="15" customHeight="1" x14ac:dyDescent="0.4">
      <c r="B29" s="79" t="str">
        <f>$L$8</f>
        <v>Finish mower, 8 ft.; 45 HP MFWD</v>
      </c>
      <c r="C29" s="79" t="s">
        <v>54</v>
      </c>
      <c r="D29" s="87">
        <v>11</v>
      </c>
      <c r="E29" s="91">
        <f>D29*Q8</f>
        <v>8.25</v>
      </c>
      <c r="F29" s="91">
        <f>$M$4*Q8*D29</f>
        <v>16.334999999999997</v>
      </c>
      <c r="G29" s="91">
        <f>(E29*$M$16)+(F29*$M$17)+($P$4+$P$8)*$Q$8*D29</f>
        <v>245.89125000000001</v>
      </c>
      <c r="H29" s="91">
        <f>($N$4+$O$4+N8+O8)*Q8*D29</f>
        <v>103.61999999999998</v>
      </c>
      <c r="I29" s="91">
        <f>G29+H29</f>
        <v>349.51125000000002</v>
      </c>
      <c r="J29" s="292">
        <f t="shared" si="7"/>
        <v>40.177500000000002</v>
      </c>
      <c r="K29" s="94"/>
    </row>
    <row r="30" spans="2:17" ht="16" customHeight="1" x14ac:dyDescent="0.4">
      <c r="B30" s="79" t="s">
        <v>231</v>
      </c>
      <c r="C30" s="79" t="s">
        <v>54</v>
      </c>
      <c r="D30" s="87">
        <v>0</v>
      </c>
      <c r="E30" s="91">
        <f>D30*Q9</f>
        <v>0</v>
      </c>
      <c r="F30" s="91">
        <f>$M$4*Q9*D30</f>
        <v>0</v>
      </c>
      <c r="G30" s="91">
        <f>(E30*$M$16)+(F30*$M$17)+($P$4+$P$9)*$Q$9*D30</f>
        <v>0</v>
      </c>
      <c r="H30" s="91">
        <f>($N$4+$O$4+N9+O9)*Q9*D30</f>
        <v>0</v>
      </c>
      <c r="I30" s="91">
        <f>G30+H30</f>
        <v>0</v>
      </c>
      <c r="J30" s="292">
        <f t="shared" si="7"/>
        <v>0</v>
      </c>
    </row>
    <row r="31" spans="2:17" ht="16" customHeight="1" x14ac:dyDescent="0.4">
      <c r="B31" s="78" t="str">
        <f>L10</f>
        <v>Mulch wagon, side delivery, 45 HP MFWD</v>
      </c>
      <c r="C31" s="78" t="s">
        <v>54</v>
      </c>
      <c r="D31" s="279">
        <v>2</v>
      </c>
      <c r="E31" s="93">
        <f>D31*Q10</f>
        <v>1</v>
      </c>
      <c r="F31" s="93">
        <f>$M$4*Q10*D31</f>
        <v>1.98</v>
      </c>
      <c r="G31" s="93">
        <f>(E31*$M$16)+(F31*$M$17)+($P$4+$P$10)*$Q$10*D31</f>
        <v>28.684999999999999</v>
      </c>
      <c r="H31" s="93">
        <f>($N$4+$O$4+N10+O10)*Q10*D31</f>
        <v>14.14</v>
      </c>
      <c r="I31" s="93">
        <f t="shared" ref="I31" si="8">G31+H31</f>
        <v>42.825000000000003</v>
      </c>
      <c r="J31" s="293">
        <f t="shared" si="7"/>
        <v>3.75</v>
      </c>
    </row>
    <row r="32" spans="2:17" ht="16" customHeight="1" x14ac:dyDescent="0.4">
      <c r="B32" s="94" t="s">
        <v>125</v>
      </c>
      <c r="C32" s="94"/>
      <c r="E32" s="91">
        <f t="shared" ref="E32:J32" si="9">SUM(E26:E31)</f>
        <v>13.336</v>
      </c>
      <c r="F32" s="91">
        <f t="shared" si="9"/>
        <v>26.405279999999998</v>
      </c>
      <c r="G32" s="295">
        <f t="shared" si="9"/>
        <v>391.94630000000001</v>
      </c>
      <c r="H32" s="91">
        <f t="shared" si="9"/>
        <v>139.05501999999996</v>
      </c>
      <c r="I32" s="91">
        <f t="shared" si="9"/>
        <v>531.00132000000008</v>
      </c>
      <c r="J32" s="91">
        <f t="shared" si="9"/>
        <v>59.413140000000006</v>
      </c>
    </row>
    <row r="33" spans="2:22" ht="16" customHeight="1" x14ac:dyDescent="0.4">
      <c r="B33" s="94"/>
      <c r="C33" s="94"/>
      <c r="E33" s="91"/>
      <c r="F33" s="91"/>
      <c r="G33" s="91"/>
      <c r="H33" s="91"/>
      <c r="I33" s="91" t="s">
        <v>242</v>
      </c>
      <c r="J33" s="294">
        <f>E32*$M$16+F32*$M$17+J32</f>
        <v>391.94630000000001</v>
      </c>
    </row>
    <row r="34" spans="2:22" ht="16" customHeight="1" x14ac:dyDescent="0.4">
      <c r="B34" s="78" t="s">
        <v>130</v>
      </c>
      <c r="U34" s="90">
        <v>0.02</v>
      </c>
      <c r="V34" s="141" t="e">
        <f>IF(#REF!&gt;0,((#REF!+#REF!*#REF!)/2)*U34,"")</f>
        <v>#REF!</v>
      </c>
    </row>
    <row r="35" spans="2:22" ht="16" customHeight="1" x14ac:dyDescent="0.4">
      <c r="B35" s="95" t="s">
        <v>105</v>
      </c>
      <c r="C35" s="95" t="s">
        <v>3</v>
      </c>
      <c r="D35" s="96" t="s">
        <v>3</v>
      </c>
      <c r="E35" s="96" t="s">
        <v>43</v>
      </c>
      <c r="F35" s="96" t="s">
        <v>106</v>
      </c>
      <c r="G35" s="97" t="s">
        <v>107</v>
      </c>
      <c r="H35" s="97" t="s">
        <v>108</v>
      </c>
      <c r="I35" s="97" t="s">
        <v>109</v>
      </c>
      <c r="J35" s="97" t="s">
        <v>241</v>
      </c>
    </row>
    <row r="36" spans="2:22" ht="16" customHeight="1" x14ac:dyDescent="0.4">
      <c r="D36" s="77" t="s">
        <v>115</v>
      </c>
      <c r="E36" s="94" t="s">
        <v>113</v>
      </c>
      <c r="F36" s="94" t="s">
        <v>116</v>
      </c>
      <c r="G36" s="94" t="s">
        <v>75</v>
      </c>
      <c r="H36" s="94" t="s">
        <v>75</v>
      </c>
      <c r="I36" s="94" t="s">
        <v>117</v>
      </c>
      <c r="J36" s="149" t="s">
        <v>117</v>
      </c>
    </row>
    <row r="37" spans="2:22" ht="16" customHeight="1" x14ac:dyDescent="0.4">
      <c r="B37" s="79" t="str">
        <f>$L$5</f>
        <v>Airblast sprayer, 100 gallon; 45 HP MFWD</v>
      </c>
      <c r="C37" s="79" t="s">
        <v>54</v>
      </c>
      <c r="D37" s="87">
        <v>12</v>
      </c>
      <c r="E37" s="91">
        <f>D37*$Q$5</f>
        <v>6.6000000000000005</v>
      </c>
      <c r="F37" s="91">
        <f>$M$4*$Q$5*D37</f>
        <v>13.068</v>
      </c>
      <c r="G37" s="91">
        <f t="shared" ref="G37:G42" si="10">(E37*$M$16)+(F37*$M$17)+($P$4+P5)*Q5*D37</f>
        <v>191.23500000000001</v>
      </c>
      <c r="H37" s="91">
        <f>($N$4+$O$4+N47+O47)*$Q$5*D37</f>
        <v>22.044</v>
      </c>
      <c r="I37" s="91">
        <f>G37+H37</f>
        <v>213.27900000000002</v>
      </c>
      <c r="J37" s="292">
        <f>($P$4+P5)*D37*Q5</f>
        <v>26.664000000000005</v>
      </c>
    </row>
    <row r="38" spans="2:22" ht="16" customHeight="1" x14ac:dyDescent="0.4">
      <c r="B38" s="79" t="str">
        <f>$L$6</f>
        <v>Weed sprayer - pull-type; 45 HP MFWD</v>
      </c>
      <c r="C38" s="79" t="s">
        <v>54</v>
      </c>
      <c r="D38" s="87">
        <v>3</v>
      </c>
      <c r="E38" s="91">
        <f>D38*$Q$6</f>
        <v>0.78600000000000003</v>
      </c>
      <c r="F38" s="91">
        <f>$M$4*$Q$6*D38</f>
        <v>1.5562800000000001</v>
      </c>
      <c r="G38" s="91">
        <f t="shared" si="10"/>
        <v>21.752549999999999</v>
      </c>
      <c r="H38" s="91">
        <f>($N$4+O$4+N$6+O$6)*$Q$6*D38</f>
        <v>10.273020000000001</v>
      </c>
      <c r="I38" s="91">
        <f t="shared" ref="I38:I39" si="11">G38+H38</f>
        <v>32.025570000000002</v>
      </c>
      <c r="J38" s="292">
        <f t="shared" ref="J38:J42" si="12">($P$4+P6)*D38*Q6</f>
        <v>2.1536400000000002</v>
      </c>
    </row>
    <row r="39" spans="2:22" ht="16" customHeight="1" x14ac:dyDescent="0.4">
      <c r="B39" s="79" t="str">
        <f>$L$7</f>
        <v>Spreader - double spinner; 45 HP MFWD</v>
      </c>
      <c r="C39" s="79" t="s">
        <v>54</v>
      </c>
      <c r="D39" s="87">
        <v>0</v>
      </c>
      <c r="E39" s="91">
        <f>D39*$Q$7</f>
        <v>0</v>
      </c>
      <c r="F39" s="91">
        <f>$M$4*$Q$7*D39</f>
        <v>0</v>
      </c>
      <c r="G39" s="91">
        <f t="shared" si="10"/>
        <v>0</v>
      </c>
      <c r="H39" s="91">
        <f>($N$4+$O$4+$N$7+$O$7)*$Q$7*D39</f>
        <v>0</v>
      </c>
      <c r="I39" s="91">
        <f t="shared" si="11"/>
        <v>0</v>
      </c>
      <c r="J39" s="292">
        <f t="shared" si="12"/>
        <v>0</v>
      </c>
    </row>
    <row r="40" spans="2:22" ht="16" customHeight="1" x14ac:dyDescent="0.4">
      <c r="B40" s="79" t="str">
        <f>$L$8</f>
        <v>Finish mower, 8 ft.; 45 HP MFWD</v>
      </c>
      <c r="C40" s="79" t="s">
        <v>54</v>
      </c>
      <c r="D40" s="87">
        <v>16</v>
      </c>
      <c r="E40" s="91">
        <f>D40*Q8</f>
        <v>12</v>
      </c>
      <c r="F40" s="91">
        <f>$M$4*$Q$8*D40</f>
        <v>23.759999999999998</v>
      </c>
      <c r="G40" s="91">
        <f t="shared" si="10"/>
        <v>357.66</v>
      </c>
      <c r="H40" s="91">
        <f>($N$4+$O$4+N8+O8)*Q8*D40</f>
        <v>150.71999999999997</v>
      </c>
      <c r="I40" s="91">
        <f>G40+H40</f>
        <v>508.38</v>
      </c>
      <c r="J40" s="292">
        <f t="shared" si="12"/>
        <v>58.44</v>
      </c>
    </row>
    <row r="41" spans="2:22" ht="16" customHeight="1" x14ac:dyDescent="0.4">
      <c r="B41" s="79" t="s">
        <v>231</v>
      </c>
      <c r="C41" s="79" t="s">
        <v>54</v>
      </c>
      <c r="D41" s="87">
        <v>0</v>
      </c>
      <c r="E41" s="91">
        <f>D41*Q9</f>
        <v>0</v>
      </c>
      <c r="F41" s="91">
        <v>0.81</v>
      </c>
      <c r="G41" s="91">
        <f t="shared" si="10"/>
        <v>2.6325000000000003</v>
      </c>
      <c r="H41" s="91">
        <f>($N$4+$O$4+N9+O9)*Q9*D41</f>
        <v>0</v>
      </c>
      <c r="I41" s="91">
        <f>G41+H41</f>
        <v>2.6325000000000003</v>
      </c>
      <c r="J41" s="292">
        <f t="shared" si="12"/>
        <v>0</v>
      </c>
    </row>
    <row r="42" spans="2:22" ht="16" customHeight="1" x14ac:dyDescent="0.4">
      <c r="B42" s="78" t="str">
        <f>L10</f>
        <v>Mulch wagon, side delivery, 45 HP MFWD</v>
      </c>
      <c r="C42" s="78" t="s">
        <v>54</v>
      </c>
      <c r="D42" s="279">
        <v>2</v>
      </c>
      <c r="E42" s="93">
        <f>D42*Q10</f>
        <v>1</v>
      </c>
      <c r="F42" s="93">
        <v>0.63</v>
      </c>
      <c r="G42" s="93">
        <f t="shared" si="10"/>
        <v>24.297499999999999</v>
      </c>
      <c r="H42" s="93">
        <f>($N$4+$O$4+N10+O10)*Q10*D42</f>
        <v>14.14</v>
      </c>
      <c r="I42" s="93">
        <f t="shared" ref="I42" si="13">G42+H42</f>
        <v>38.4375</v>
      </c>
      <c r="J42" s="293">
        <f t="shared" si="12"/>
        <v>3.75</v>
      </c>
    </row>
    <row r="43" spans="2:22" ht="16.5" customHeight="1" x14ac:dyDescent="0.4">
      <c r="B43" s="94" t="s">
        <v>125</v>
      </c>
      <c r="C43" s="94"/>
      <c r="E43" s="91">
        <f t="shared" ref="E43:J43" si="14">SUM(E37:E42)</f>
        <v>20.386000000000003</v>
      </c>
      <c r="F43" s="91">
        <f t="shared" si="14"/>
        <v>39.824280000000002</v>
      </c>
      <c r="G43" s="91">
        <f t="shared" si="14"/>
        <v>597.57755000000009</v>
      </c>
      <c r="H43" s="91">
        <f t="shared" si="14"/>
        <v>197.17701999999997</v>
      </c>
      <c r="I43" s="91">
        <f t="shared" si="14"/>
        <v>794.75457000000006</v>
      </c>
      <c r="J43" s="91">
        <f t="shared" si="14"/>
        <v>91.007640000000009</v>
      </c>
    </row>
    <row r="44" spans="2:22" ht="16" customHeight="1" x14ac:dyDescent="0.4">
      <c r="B44" s="94"/>
      <c r="C44" s="94"/>
      <c r="E44" s="91"/>
      <c r="F44" s="91"/>
      <c r="G44" s="91"/>
      <c r="H44" s="91"/>
      <c r="I44" s="91" t="s">
        <v>243</v>
      </c>
      <c r="J44" s="294">
        <f>E43*$M$16+F43*$M$17+J43</f>
        <v>597.57755000000009</v>
      </c>
    </row>
    <row r="45" spans="2:22" ht="16" customHeight="1" x14ac:dyDescent="0.4">
      <c r="B45" s="76" t="s">
        <v>131</v>
      </c>
      <c r="C45" s="94"/>
      <c r="E45" s="91"/>
      <c r="F45" s="91"/>
      <c r="G45" s="91"/>
      <c r="H45" s="91"/>
      <c r="I45" s="91"/>
    </row>
    <row r="46" spans="2:22" ht="16" customHeight="1" x14ac:dyDescent="0.4"/>
    <row r="47" spans="2:22" ht="16" hidden="1" customHeight="1" x14ac:dyDescent="0.4">
      <c r="B47" s="76" t="s">
        <v>132</v>
      </c>
    </row>
    <row r="48" spans="2:22" ht="16" hidden="1" customHeight="1" x14ac:dyDescent="0.4">
      <c r="B48" s="76" t="s">
        <v>133</v>
      </c>
    </row>
    <row r="49" spans="2:2" ht="16" hidden="1" customHeight="1" x14ac:dyDescent="0.4">
      <c r="B49" s="76"/>
    </row>
    <row r="50" spans="2:2" ht="16" hidden="1" customHeight="1" x14ac:dyDescent="0.4"/>
    <row r="51" spans="2:2" ht="16" hidden="1" customHeight="1" x14ac:dyDescent="0.4"/>
    <row r="52" spans="2:2" ht="16" hidden="1" customHeight="1" x14ac:dyDescent="0.4"/>
    <row r="53" spans="2:2" ht="16" hidden="1" customHeight="1" x14ac:dyDescent="0.4"/>
    <row r="54" spans="2:2" ht="16" hidden="1" customHeight="1" x14ac:dyDescent="0.4"/>
    <row r="55" spans="2:2" ht="16" hidden="1" customHeight="1" x14ac:dyDescent="0.4"/>
    <row r="56" spans="2:2" ht="16" hidden="1" customHeight="1" x14ac:dyDescent="0.4"/>
    <row r="57" spans="2:2" ht="15" hidden="1" customHeight="1" x14ac:dyDescent="0.4"/>
    <row r="58" spans="2:2" ht="16" hidden="1" customHeight="1" x14ac:dyDescent="0.4"/>
    <row r="59" spans="2:2" ht="16" hidden="1" customHeight="1" x14ac:dyDescent="0.4"/>
    <row r="60" spans="2:2" ht="16" hidden="1" customHeight="1" x14ac:dyDescent="0.4"/>
    <row r="61" spans="2:2" ht="16" hidden="1" customHeight="1" x14ac:dyDescent="0.4"/>
    <row r="62" spans="2:2" ht="16" hidden="1" customHeight="1" x14ac:dyDescent="0.4"/>
    <row r="63" spans="2:2" ht="16" hidden="1" customHeight="1" x14ac:dyDescent="0.4"/>
    <row r="64" spans="2:2" ht="16" hidden="1" customHeight="1" x14ac:dyDescent="0.4"/>
    <row r="65" ht="16" hidden="1" customHeight="1" x14ac:dyDescent="0.4"/>
    <row r="66" ht="16" hidden="1" customHeight="1" x14ac:dyDescent="0.4"/>
    <row r="67" ht="16" hidden="1" customHeight="1" x14ac:dyDescent="0.4"/>
    <row r="68" ht="16" hidden="1" customHeight="1" x14ac:dyDescent="0.4"/>
    <row r="69" ht="16" hidden="1" customHeight="1" x14ac:dyDescent="0.4"/>
    <row r="70" ht="16" hidden="1" customHeight="1" x14ac:dyDescent="0.4"/>
    <row r="71" ht="33" hidden="1" customHeight="1" x14ac:dyDescent="0.4"/>
    <row r="72" ht="16" hidden="1" customHeight="1" x14ac:dyDescent="0.4"/>
    <row r="73" ht="16" hidden="1" customHeight="1" x14ac:dyDescent="0.4"/>
    <row r="74" ht="16" hidden="1" customHeight="1" x14ac:dyDescent="0.4"/>
    <row r="75" ht="16" hidden="1" customHeight="1" x14ac:dyDescent="0.4"/>
    <row r="76" ht="16" hidden="1" customHeight="1" x14ac:dyDescent="0.4"/>
    <row r="77" ht="16" hidden="1" customHeight="1" x14ac:dyDescent="0.4"/>
    <row r="78" ht="16" hidden="1" customHeight="1" x14ac:dyDescent="0.4"/>
    <row r="79" ht="16" hidden="1" customHeight="1" x14ac:dyDescent="0.4"/>
    <row r="80" ht="16" hidden="1" customHeight="1" x14ac:dyDescent="0.4"/>
    <row r="81" ht="16" hidden="1" customHeight="1" x14ac:dyDescent="0.4"/>
    <row r="82" ht="16" hidden="1" customHeight="1" x14ac:dyDescent="0.4"/>
    <row r="83" ht="16" hidden="1" customHeight="1" x14ac:dyDescent="0.4"/>
    <row r="84" ht="16" hidden="1" customHeight="1" x14ac:dyDescent="0.4"/>
    <row r="85" ht="33" hidden="1" customHeight="1" x14ac:dyDescent="0.4"/>
    <row r="86" ht="16" hidden="1" customHeight="1" x14ac:dyDescent="0.4"/>
    <row r="87" ht="16" hidden="1" customHeight="1" x14ac:dyDescent="0.4"/>
    <row r="88" ht="16" hidden="1" customHeight="1" x14ac:dyDescent="0.4"/>
    <row r="89" ht="16" hidden="1" customHeight="1" x14ac:dyDescent="0.4"/>
    <row r="90" ht="17.5" hidden="1" customHeight="1" x14ac:dyDescent="0.4"/>
    <row r="91" ht="16" hidden="1" customHeight="1" x14ac:dyDescent="0.4"/>
    <row r="92" ht="16" hidden="1" customHeight="1" x14ac:dyDescent="0.4"/>
    <row r="93" ht="16" hidden="1" customHeight="1" x14ac:dyDescent="0.4"/>
    <row r="94" ht="16" hidden="1" customHeight="1" x14ac:dyDescent="0.4"/>
    <row r="95" ht="16" hidden="1" customHeight="1" x14ac:dyDescent="0.4"/>
    <row r="96" ht="16" hidden="1" customHeight="1" x14ac:dyDescent="0.4"/>
    <row r="97" ht="16" hidden="1" customHeight="1" x14ac:dyDescent="0.4"/>
    <row r="98" ht="16" hidden="1" customHeight="1" x14ac:dyDescent="0.4"/>
    <row r="99" ht="16" hidden="1" customHeight="1" x14ac:dyDescent="0.4"/>
    <row r="100" ht="16" hidden="1" customHeight="1" x14ac:dyDescent="0.4"/>
    <row r="101" ht="16" hidden="1" customHeight="1" x14ac:dyDescent="0.4"/>
  </sheetData>
  <sheetProtection sheet="1" objects="1" scenarios="1"/>
  <pageMargins left="0.7" right="0.7" top="0.75" bottom="0.75" header="0.3" footer="0.3"/>
  <pageSetup scale="6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pageSetUpPr autoPageBreaks="0" fitToPage="1"/>
  </sheetPr>
  <dimension ref="A1:XFA50"/>
  <sheetViews>
    <sheetView zoomScaleNormal="100" workbookViewId="0">
      <selection activeCell="M5" sqref="M5:O5"/>
    </sheetView>
  </sheetViews>
  <sheetFormatPr defaultColWidth="0" defaultRowHeight="14.5" zeroHeight="1" x14ac:dyDescent="0.35"/>
  <cols>
    <col min="1" max="1" width="3.08203125" style="4" customWidth="1"/>
    <col min="2" max="2" width="4.58203125" style="4" customWidth="1"/>
    <col min="3" max="3" width="10.08203125" style="4" customWidth="1"/>
    <col min="4" max="4" width="9.33203125" style="4" customWidth="1"/>
    <col min="5" max="5" width="12.5" style="4" bestFit="1" customWidth="1"/>
    <col min="6" max="6" width="9.58203125" style="4" bestFit="1" customWidth="1"/>
    <col min="7" max="7" width="8.83203125" style="4" bestFit="1" customWidth="1"/>
    <col min="8" max="8" width="9.83203125" style="4" customWidth="1"/>
    <col min="9" max="9" width="11" style="4" customWidth="1"/>
    <col min="10" max="10" width="9.83203125" style="4" bestFit="1" customWidth="1"/>
    <col min="11" max="11" width="10.08203125" style="4" customWidth="1"/>
    <col min="12" max="12" width="6" style="4" customWidth="1"/>
    <col min="13" max="13" width="8.58203125" style="4" customWidth="1"/>
    <col min="14" max="14" width="10" style="4" customWidth="1"/>
    <col min="15" max="15" width="8.58203125" style="4" customWidth="1"/>
    <col min="16" max="16" width="13.6640625" style="4" customWidth="1"/>
    <col min="17" max="17" width="14.08203125" style="4" customWidth="1"/>
    <col min="18" max="18" width="11.6640625" style="4" customWidth="1"/>
    <col min="19" max="19" width="3.33203125" customWidth="1"/>
    <col min="20" max="20" width="8.58203125" hidden="1" customWidth="1"/>
    <col min="21" max="16381" width="8.58203125" hidden="1"/>
    <col min="16382" max="16384" width="3.5" hidden="1"/>
  </cols>
  <sheetData>
    <row r="1" spans="1:40" ht="21" customHeight="1" x14ac:dyDescent="0.4">
      <c r="B1" s="320" t="s">
        <v>62</v>
      </c>
      <c r="C1" s="320"/>
      <c r="D1" s="320"/>
      <c r="E1" s="320"/>
      <c r="F1" s="320"/>
      <c r="G1" s="320"/>
      <c r="H1" s="320"/>
      <c r="I1" s="320"/>
      <c r="J1" s="320"/>
      <c r="K1" s="320"/>
    </row>
    <row r="2" spans="1:40" ht="34" customHeight="1" thickBot="1" x14ac:dyDescent="0.5">
      <c r="B2" s="322" t="s">
        <v>61</v>
      </c>
      <c r="C2" s="322"/>
      <c r="D2" s="322"/>
      <c r="E2" s="322"/>
      <c r="F2" s="322"/>
      <c r="G2" s="322"/>
      <c r="H2" s="322"/>
      <c r="I2" s="322"/>
      <c r="J2" s="322"/>
      <c r="K2" s="322"/>
      <c r="M2" s="312" t="s">
        <v>224</v>
      </c>
      <c r="N2" s="312"/>
      <c r="O2" s="312"/>
      <c r="P2" s="312"/>
      <c r="Q2" s="312"/>
      <c r="R2" s="312"/>
      <c r="S2" s="4"/>
    </row>
    <row r="3" spans="1:40" s="15" customFormat="1" ht="34.5" customHeight="1" x14ac:dyDescent="0.45">
      <c r="A3" s="4"/>
      <c r="B3" s="161"/>
      <c r="C3" s="172"/>
      <c r="D3" s="173"/>
      <c r="E3" s="326" t="s">
        <v>197</v>
      </c>
      <c r="F3" s="326"/>
      <c r="G3" s="326"/>
      <c r="H3" s="326"/>
      <c r="I3" s="326"/>
      <c r="J3" s="326"/>
      <c r="K3" s="327"/>
      <c r="L3" s="4"/>
      <c r="M3" s="236" t="s">
        <v>216</v>
      </c>
      <c r="N3" s="237"/>
      <c r="O3" s="238"/>
      <c r="P3" s="235">
        <v>4</v>
      </c>
      <c r="Q3" s="239" t="s">
        <v>217</v>
      </c>
      <c r="R3" s="234">
        <f>ROUNDDOWN(43560/P5,0)</f>
        <v>907</v>
      </c>
      <c r="S3" s="4"/>
      <c r="T3"/>
      <c r="U3"/>
      <c r="V3"/>
      <c r="W3"/>
      <c r="X3"/>
      <c r="Y3"/>
      <c r="Z3"/>
      <c r="AA3"/>
      <c r="AB3"/>
      <c r="AC3"/>
      <c r="AD3"/>
      <c r="AE3"/>
      <c r="AF3"/>
      <c r="AG3"/>
      <c r="AH3"/>
      <c r="AI3"/>
    </row>
    <row r="4" spans="1:40" ht="16.5" customHeight="1" x14ac:dyDescent="0.4">
      <c r="B4" s="174"/>
      <c r="C4" s="175"/>
      <c r="D4" s="73"/>
      <c r="E4" s="176" t="s">
        <v>33</v>
      </c>
      <c r="F4" s="176" t="s">
        <v>32</v>
      </c>
      <c r="G4" s="176" t="s">
        <v>28</v>
      </c>
      <c r="H4" s="176" t="s">
        <v>26</v>
      </c>
      <c r="I4" s="176" t="s">
        <v>24</v>
      </c>
      <c r="J4" s="176" t="s">
        <v>30</v>
      </c>
      <c r="K4" s="177" t="s">
        <v>31</v>
      </c>
      <c r="M4" s="236" t="s">
        <v>214</v>
      </c>
      <c r="N4" s="237"/>
      <c r="O4" s="238"/>
      <c r="P4" s="235">
        <v>12</v>
      </c>
      <c r="Q4" s="234" t="s">
        <v>220</v>
      </c>
      <c r="R4" s="250">
        <v>0.3</v>
      </c>
      <c r="S4" s="4"/>
    </row>
    <row r="5" spans="1:40" ht="16.5" customHeight="1" x14ac:dyDescent="0.4">
      <c r="B5" s="178"/>
      <c r="C5" s="71"/>
      <c r="D5" s="72"/>
      <c r="E5" s="34">
        <f>H5*70%</f>
        <v>4825.24</v>
      </c>
      <c r="F5" s="34">
        <f>H5*80%</f>
        <v>5514.56</v>
      </c>
      <c r="G5" s="34">
        <f>H5*90%</f>
        <v>6203.88</v>
      </c>
      <c r="H5" s="221">
        <f>Budget!S5</f>
        <v>6893.2</v>
      </c>
      <c r="I5" s="34">
        <f>H5*110%</f>
        <v>7582.52</v>
      </c>
      <c r="J5" s="34">
        <f>H5*120%</f>
        <v>8271.84</v>
      </c>
      <c r="K5" s="179">
        <f>H5*130%</f>
        <v>8961.16</v>
      </c>
      <c r="M5" s="340" t="s">
        <v>215</v>
      </c>
      <c r="N5" s="341"/>
      <c r="O5" s="342"/>
      <c r="P5" s="234">
        <f>P4*P3</f>
        <v>48</v>
      </c>
      <c r="Q5" s="234" t="s">
        <v>223</v>
      </c>
      <c r="R5" s="248">
        <f>Budget!E5</f>
        <v>5.5</v>
      </c>
      <c r="S5" s="4"/>
    </row>
    <row r="6" spans="1:40" ht="16.5" customHeight="1" x14ac:dyDescent="0.4">
      <c r="B6" s="323" t="s">
        <v>55</v>
      </c>
      <c r="C6" s="35" t="s">
        <v>29</v>
      </c>
      <c r="D6" s="17">
        <f>D9*85%</f>
        <v>4.6749999999999998</v>
      </c>
      <c r="E6" s="18">
        <f>(D6*$E$5)-Budget!T55</f>
        <v>5726.4612639937513</v>
      </c>
      <c r="F6" s="19">
        <f>(D6*$F$5)-Budget!$T$55</f>
        <v>8949.0322639937513</v>
      </c>
      <c r="G6" s="20">
        <f>(D6*$G$5)-Budget!$T$55</f>
        <v>12171.603263993751</v>
      </c>
      <c r="H6" s="20">
        <f>(D6*$H$5)-Budget!$T$55</f>
        <v>15394.174263993751</v>
      </c>
      <c r="I6" s="20">
        <f>(D6*$I$5)-Budget!$T$55</f>
        <v>18616.745263993755</v>
      </c>
      <c r="J6" s="20">
        <f>(D6*$J$5)-Budget!$T$55</f>
        <v>21839.316263993751</v>
      </c>
      <c r="K6" s="180">
        <f>(D6*$K$5)-Budget!$T$55</f>
        <v>25061.887263993747</v>
      </c>
      <c r="M6" s="4" t="s">
        <v>222</v>
      </c>
      <c r="S6" s="4"/>
    </row>
    <row r="7" spans="1:40" ht="16.5" customHeight="1" thickBot="1" x14ac:dyDescent="0.45">
      <c r="B7" s="323"/>
      <c r="C7" s="35" t="s">
        <v>28</v>
      </c>
      <c r="D7" s="17">
        <f>D9*90%</f>
        <v>4.95</v>
      </c>
      <c r="E7" s="18">
        <f>(D7*$E$5)-Budget!$T$55</f>
        <v>7053.4022639937502</v>
      </c>
      <c r="F7" s="19">
        <f>(D7*$F$5)-Budget!$T$55</f>
        <v>10465.536263993756</v>
      </c>
      <c r="G7" s="20">
        <f>(D7*$G$5)-Budget!$T$55</f>
        <v>13877.670263993754</v>
      </c>
      <c r="H7" s="20">
        <f>(D7*$H$5)-Budget!$T$55</f>
        <v>17289.804263993756</v>
      </c>
      <c r="I7" s="20">
        <f>(D7*$I$5)-Budget!$T$55</f>
        <v>20701.938263993754</v>
      </c>
      <c r="J7" s="20">
        <f>(D7*$J$5)-Budget!$T$55</f>
        <v>24114.072263993752</v>
      </c>
      <c r="K7" s="180">
        <f>(D7*$K$5)-Budget!$T$55</f>
        <v>27526.20626399375</v>
      </c>
      <c r="S7" s="4"/>
    </row>
    <row r="8" spans="1:40" ht="16.5" customHeight="1" thickBot="1" x14ac:dyDescent="0.5">
      <c r="B8" s="323"/>
      <c r="C8" s="36" t="s">
        <v>27</v>
      </c>
      <c r="D8" s="17">
        <f>D9*0.95</f>
        <v>5.2249999999999996</v>
      </c>
      <c r="E8" s="18">
        <f>(D8*$E$5)-Budget!$T$55</f>
        <v>8380.3432639937491</v>
      </c>
      <c r="F8" s="19">
        <f>(D8*$F$5)-Budget!$T$55</f>
        <v>11982.040263993753</v>
      </c>
      <c r="G8" s="20">
        <f>(D8*$G$5)-Budget!$T$55</f>
        <v>15583.737263993749</v>
      </c>
      <c r="H8" s="20">
        <f>(D8*$H$5)-Budget!$T$55</f>
        <v>19185.434263993746</v>
      </c>
      <c r="I8" s="20">
        <f>(D8*$I$5)-Budget!$T$55</f>
        <v>22787.131263993753</v>
      </c>
      <c r="J8" s="20">
        <f>(D8*$J$5)-Budget!$T$55</f>
        <v>26388.828263993753</v>
      </c>
      <c r="K8" s="180">
        <f>(D8*$K$5)-Budget!$T$55</f>
        <v>29990.525263993746</v>
      </c>
      <c r="M8" s="317" t="s">
        <v>245</v>
      </c>
      <c r="N8" s="318"/>
      <c r="O8" s="318"/>
      <c r="P8" s="318"/>
      <c r="Q8" s="318"/>
      <c r="R8" s="319"/>
      <c r="S8" s="4"/>
    </row>
    <row r="9" spans="1:40" ht="34.5" customHeight="1" thickBot="1" x14ac:dyDescent="0.4">
      <c r="B9" s="323"/>
      <c r="C9" s="35" t="s">
        <v>26</v>
      </c>
      <c r="D9" s="228">
        <f>Budget!E5</f>
        <v>5.5</v>
      </c>
      <c r="E9" s="229">
        <f>(D9*$E$5)-Budget!$T$55</f>
        <v>9707.2842639937517</v>
      </c>
      <c r="F9" s="230">
        <f>(D9*$F$5)-Budget!$T$55</f>
        <v>13498.544263993754</v>
      </c>
      <c r="G9" s="231">
        <f>(D9*$G$5)-Budget!$T$55</f>
        <v>17289.804263993756</v>
      </c>
      <c r="H9" s="232">
        <f>(D9*$H$5)-Budget!$T$55</f>
        <v>21081.064263993751</v>
      </c>
      <c r="I9" s="231">
        <f>(D9*$I$5)-Budget!$T$55</f>
        <v>24872.324263993753</v>
      </c>
      <c r="J9" s="231">
        <f>(D9*$J$5)-Budget!$T$55</f>
        <v>28663.584263993755</v>
      </c>
      <c r="K9" s="233">
        <f>(D9*$K$5)-Budget!$T$55</f>
        <v>32454.844263993749</v>
      </c>
      <c r="M9" s="158" t="s">
        <v>182</v>
      </c>
      <c r="N9" s="226" t="s">
        <v>213</v>
      </c>
      <c r="O9" s="159" t="s">
        <v>2</v>
      </c>
      <c r="P9" s="159" t="s">
        <v>183</v>
      </c>
      <c r="Q9" s="159" t="s">
        <v>184</v>
      </c>
      <c r="R9" s="160" t="s">
        <v>185</v>
      </c>
      <c r="S9" s="4"/>
    </row>
    <row r="10" spans="1:40" ht="16.5" customHeight="1" x14ac:dyDescent="0.4">
      <c r="B10" s="323"/>
      <c r="C10" s="35" t="s">
        <v>25</v>
      </c>
      <c r="D10" s="17">
        <f>D9*105%</f>
        <v>5.7750000000000004</v>
      </c>
      <c r="E10" s="18">
        <f>(D10*$E$5)-Budget!$T$55</f>
        <v>11034.225263993754</v>
      </c>
      <c r="F10" s="19">
        <f>(D10*$F$5)-Budget!$T$55</f>
        <v>15015.048263993755</v>
      </c>
      <c r="G10" s="20">
        <f>(D10*$G$5)-Budget!$T$55</f>
        <v>18995.871263993751</v>
      </c>
      <c r="H10" s="20">
        <f>(D10*$H$5)-Budget!$T$55</f>
        <v>22976.694263993755</v>
      </c>
      <c r="I10" s="20">
        <f>(D10*$I$5)-Budget!$T$55</f>
        <v>26957.517263993759</v>
      </c>
      <c r="J10" s="20">
        <f>(D10*$J$5)-Budget!$T$55</f>
        <v>30938.340263993756</v>
      </c>
      <c r="K10" s="180">
        <f>(D10*$K$5)-Budget!$T$55</f>
        <v>34919.163263993752</v>
      </c>
      <c r="M10" s="154" t="s">
        <v>189</v>
      </c>
      <c r="N10" s="334">
        <v>0</v>
      </c>
      <c r="O10" s="240">
        <f>Budget!H7</f>
        <v>0</v>
      </c>
      <c r="P10" s="240">
        <f>Budget!H55</f>
        <v>1652.8132427937501</v>
      </c>
      <c r="Q10" s="240">
        <f>O10-P10</f>
        <v>-1652.8132427937501</v>
      </c>
      <c r="R10" s="155">
        <f>Q10</f>
        <v>-1652.8132427937501</v>
      </c>
      <c r="S10" s="4"/>
    </row>
    <row r="11" spans="1:40" ht="16.5" customHeight="1" x14ac:dyDescent="0.4">
      <c r="B11" s="323"/>
      <c r="C11" s="35" t="s">
        <v>24</v>
      </c>
      <c r="D11" s="17">
        <f>D9*110%</f>
        <v>6.0500000000000007</v>
      </c>
      <c r="E11" s="18">
        <f>(D11*$E$5)-Budget!$T$55</f>
        <v>12361.166263993753</v>
      </c>
      <c r="F11" s="19">
        <f>(D11*$F$5)-Budget!$T$55</f>
        <v>16531.552263993755</v>
      </c>
      <c r="G11" s="20">
        <f>(D11*$G$5)-Budget!$T$55</f>
        <v>20701.938263993754</v>
      </c>
      <c r="H11" s="20">
        <f>(D11*$H$5)-Budget!$T$55</f>
        <v>24872.324263993753</v>
      </c>
      <c r="I11" s="20">
        <f>(D11*$I$5)-Budget!$T$55</f>
        <v>29042.710263993758</v>
      </c>
      <c r="J11" s="20">
        <f>(D11*$J$5)-Budget!$T$55</f>
        <v>33213.096263993757</v>
      </c>
      <c r="K11" s="180">
        <f>(D11*$K$5)-Budget!$T$55</f>
        <v>37383.482263993756</v>
      </c>
      <c r="M11" s="154" t="s">
        <v>190</v>
      </c>
      <c r="N11" s="334">
        <v>0</v>
      </c>
      <c r="O11" s="240">
        <f>Budget!K7</f>
        <v>0</v>
      </c>
      <c r="P11" s="240">
        <f>Budget!K55</f>
        <v>19607.911136681243</v>
      </c>
      <c r="Q11" s="240">
        <f>O11-P11</f>
        <v>-19607.911136681243</v>
      </c>
      <c r="R11" s="155">
        <f>Q10+Q11</f>
        <v>-21260.724379474992</v>
      </c>
      <c r="S11" s="4"/>
    </row>
    <row r="12" spans="1:40" s="14" customFormat="1" ht="16.5" customHeight="1" thickBot="1" x14ac:dyDescent="0.45">
      <c r="A12" s="4"/>
      <c r="B12" s="324"/>
      <c r="C12" s="181" t="s">
        <v>23</v>
      </c>
      <c r="D12" s="182">
        <f>D9*115%</f>
        <v>6.3249999999999993</v>
      </c>
      <c r="E12" s="183">
        <f>(D12*$E$5)-Budget!$T$55</f>
        <v>13688.107263993748</v>
      </c>
      <c r="F12" s="184">
        <f>(D12*$F$5)-Budget!$T$55</f>
        <v>18048.056263993749</v>
      </c>
      <c r="G12" s="169">
        <f>(D12*$G$5)-Budget!$T$55</f>
        <v>22408.005263993749</v>
      </c>
      <c r="H12" s="169">
        <f>(D12*$H$5)-Budget!$T$55</f>
        <v>26767.954263993743</v>
      </c>
      <c r="I12" s="169">
        <f>(D12*$I$5)-Budget!$T$55</f>
        <v>31127.90326399375</v>
      </c>
      <c r="J12" s="169">
        <f>(D12*$J$5)-Budget!$T$55</f>
        <v>35487.852263993744</v>
      </c>
      <c r="K12" s="185">
        <f>(D12*$K$5)-Budget!$T$55</f>
        <v>39847.801263993744</v>
      </c>
      <c r="L12" s="4"/>
      <c r="M12" s="154" t="s">
        <v>191</v>
      </c>
      <c r="N12" s="335">
        <f>1.37*(1-$R$4)</f>
        <v>0.95899999999999996</v>
      </c>
      <c r="O12" s="291">
        <f>Budget!N7</f>
        <v>0</v>
      </c>
      <c r="P12" s="291">
        <f>Budget!N55</f>
        <v>6007.9140582812497</v>
      </c>
      <c r="Q12" s="240">
        <f t="shared" ref="Q12:Q24" si="0">O12-P12</f>
        <v>-6007.9140582812497</v>
      </c>
      <c r="R12" s="155">
        <f>R11+Q12</f>
        <v>-27268.638437756243</v>
      </c>
      <c r="S12" s="4"/>
      <c r="T12"/>
      <c r="U12"/>
      <c r="V12"/>
      <c r="W12"/>
      <c r="X12"/>
      <c r="Y12"/>
      <c r="Z12"/>
      <c r="AA12"/>
      <c r="AB12"/>
      <c r="AC12"/>
      <c r="AD12"/>
      <c r="AE12"/>
      <c r="AF12"/>
      <c r="AG12"/>
      <c r="AH12"/>
      <c r="AI12"/>
    </row>
    <row r="13" spans="1:40" s="4" customFormat="1" ht="15.75" customHeight="1" x14ac:dyDescent="0.4">
      <c r="B13" s="6"/>
      <c r="C13" s="6"/>
      <c r="D13" s="6"/>
      <c r="E13" s="6"/>
      <c r="F13" s="6"/>
      <c r="G13" s="6"/>
      <c r="H13" s="6"/>
      <c r="I13" s="6"/>
      <c r="J13" s="6"/>
      <c r="K13" s="6"/>
      <c r="M13" s="154" t="s">
        <v>192</v>
      </c>
      <c r="N13" s="335">
        <f>2.89*(1-$R$4)</f>
        <v>2.0230000000000001</v>
      </c>
      <c r="O13" s="240">
        <f t="shared" ref="O13:O25" si="1">N13*$R$3*$R$5</f>
        <v>10091.735500000001</v>
      </c>
      <c r="P13" s="291">
        <f>Budget!$Q$55</f>
        <v>14310.916239131249</v>
      </c>
      <c r="Q13" s="240">
        <f t="shared" si="0"/>
        <v>-4219.1807391312486</v>
      </c>
      <c r="R13" s="155">
        <f>R12+Q13</f>
        <v>-31487.819176887489</v>
      </c>
      <c r="T13"/>
      <c r="U13"/>
      <c r="V13"/>
      <c r="W13"/>
      <c r="X13"/>
      <c r="Y13"/>
      <c r="Z13"/>
      <c r="AA13"/>
      <c r="AB13"/>
      <c r="AC13"/>
      <c r="AD13"/>
      <c r="AE13"/>
      <c r="AF13"/>
      <c r="AG13"/>
      <c r="AH13"/>
      <c r="AI13"/>
      <c r="AJ13"/>
      <c r="AK13"/>
      <c r="AL13"/>
      <c r="AM13"/>
      <c r="AN13"/>
    </row>
    <row r="14" spans="1:40" s="4" customFormat="1" ht="19.5" customHeight="1" x14ac:dyDescent="0.4">
      <c r="B14" s="320" t="s">
        <v>218</v>
      </c>
      <c r="C14" s="320"/>
      <c r="D14" s="320"/>
      <c r="E14" s="320"/>
      <c r="F14" s="320"/>
      <c r="G14" s="320"/>
      <c r="H14" s="320"/>
      <c r="I14" s="320"/>
      <c r="J14" s="320"/>
      <c r="K14" s="320"/>
      <c r="M14" s="154" t="s">
        <v>186</v>
      </c>
      <c r="N14" s="335">
        <f>6.59*(1-$R$4)</f>
        <v>4.6129999999999995</v>
      </c>
      <c r="O14" s="240">
        <f t="shared" si="1"/>
        <v>23011.950499999999</v>
      </c>
      <c r="P14" s="291">
        <f>Budget!$Q$55</f>
        <v>14310.916239131249</v>
      </c>
      <c r="Q14" s="240">
        <f t="shared" si="0"/>
        <v>8701.0342608687497</v>
      </c>
      <c r="R14" s="155">
        <f>R13+Q14</f>
        <v>-22786.78491601874</v>
      </c>
      <c r="T14"/>
      <c r="U14"/>
      <c r="V14"/>
      <c r="W14"/>
      <c r="X14"/>
      <c r="Y14"/>
      <c r="Z14"/>
      <c r="AA14"/>
      <c r="AB14"/>
      <c r="AC14"/>
      <c r="AD14"/>
      <c r="AE14"/>
      <c r="AF14"/>
      <c r="AG14"/>
      <c r="AH14"/>
      <c r="AI14"/>
      <c r="AJ14"/>
      <c r="AK14"/>
      <c r="AL14"/>
      <c r="AM14"/>
      <c r="AN14"/>
    </row>
    <row r="15" spans="1:40" s="4" customFormat="1" ht="16.5" thickBot="1" x14ac:dyDescent="0.45">
      <c r="B15" s="322" t="s">
        <v>219</v>
      </c>
      <c r="C15" s="322"/>
      <c r="D15" s="322"/>
      <c r="E15" s="322"/>
      <c r="F15" s="322"/>
      <c r="G15" s="322"/>
      <c r="H15" s="322"/>
      <c r="I15" s="322"/>
      <c r="J15" s="322"/>
      <c r="K15" s="322"/>
      <c r="M15" s="154" t="s">
        <v>193</v>
      </c>
      <c r="N15" s="335">
        <f>8.25*(1-$R$4)</f>
        <v>5.7749999999999995</v>
      </c>
      <c r="O15" s="240">
        <f t="shared" si="1"/>
        <v>28808.587499999994</v>
      </c>
      <c r="P15" s="291">
        <f>Budget!$Q$55</f>
        <v>14310.916239131249</v>
      </c>
      <c r="Q15" s="240">
        <f t="shared" si="0"/>
        <v>14497.671260868745</v>
      </c>
      <c r="R15" s="155">
        <f t="shared" ref="R15:R24" si="2">R14+Q15</f>
        <v>-8289.1136551499949</v>
      </c>
      <c r="T15"/>
      <c r="U15"/>
      <c r="V15"/>
      <c r="W15"/>
      <c r="X15"/>
      <c r="Y15"/>
      <c r="Z15"/>
      <c r="AA15"/>
      <c r="AB15"/>
      <c r="AC15"/>
      <c r="AD15"/>
      <c r="AE15"/>
      <c r="AF15"/>
      <c r="AG15"/>
      <c r="AH15"/>
      <c r="AI15"/>
      <c r="AJ15"/>
      <c r="AK15"/>
      <c r="AL15"/>
      <c r="AM15"/>
      <c r="AN15"/>
    </row>
    <row r="16" spans="1:40" ht="16.5" customHeight="1" x14ac:dyDescent="0.45">
      <c r="B16" s="161"/>
      <c r="C16" s="162"/>
      <c r="D16" s="161"/>
      <c r="E16" s="325" t="s">
        <v>204</v>
      </c>
      <c r="F16" s="326"/>
      <c r="G16" s="326"/>
      <c r="H16" s="326"/>
      <c r="I16" s="326"/>
      <c r="J16" s="326"/>
      <c r="K16" s="327"/>
      <c r="M16" s="154" t="s">
        <v>194</v>
      </c>
      <c r="N16" s="335">
        <v>6.7</v>
      </c>
      <c r="O16" s="240">
        <f>N16*$R$3*$R$5</f>
        <v>33422.950000000004</v>
      </c>
      <c r="P16" s="291">
        <f>Budget!$Q$55</f>
        <v>14310.916239131249</v>
      </c>
      <c r="Q16" s="240">
        <f t="shared" si="0"/>
        <v>19112.033760868755</v>
      </c>
      <c r="R16" s="155">
        <f t="shared" si="2"/>
        <v>10822.92010571876</v>
      </c>
      <c r="S16" s="4"/>
    </row>
    <row r="17" spans="2:19" ht="16.5" customHeight="1" x14ac:dyDescent="0.4">
      <c r="B17" s="163"/>
      <c r="C17" s="33"/>
      <c r="D17" s="37"/>
      <c r="E17" s="38" t="s">
        <v>29</v>
      </c>
      <c r="F17" s="38" t="s">
        <v>28</v>
      </c>
      <c r="G17" s="38" t="s">
        <v>27</v>
      </c>
      <c r="H17" s="38" t="s">
        <v>26</v>
      </c>
      <c r="I17" s="38" t="s">
        <v>25</v>
      </c>
      <c r="J17" s="38" t="s">
        <v>24</v>
      </c>
      <c r="K17" s="164" t="s">
        <v>23</v>
      </c>
      <c r="M17" s="154" t="s">
        <v>195</v>
      </c>
      <c r="N17" s="334">
        <f t="shared" ref="N17:N25" si="3">10.9*(1-$R$4)</f>
        <v>7.63</v>
      </c>
      <c r="O17" s="240">
        <f t="shared" si="1"/>
        <v>38062.254999999997</v>
      </c>
      <c r="P17" s="291">
        <f>Budget!$Q$55</f>
        <v>14310.916239131249</v>
      </c>
      <c r="Q17" s="240">
        <f t="shared" si="0"/>
        <v>23751.338760868748</v>
      </c>
      <c r="R17" s="155">
        <f t="shared" si="2"/>
        <v>34574.258866587508</v>
      </c>
      <c r="S17" s="4"/>
    </row>
    <row r="18" spans="2:19" ht="16.5" customHeight="1" x14ac:dyDescent="0.4">
      <c r="B18" s="313" t="s">
        <v>205</v>
      </c>
      <c r="C18" s="314"/>
      <c r="D18" s="39" t="s">
        <v>29</v>
      </c>
      <c r="E18" s="21">
        <f>(Budget!T7*0.85)-(Budget!T47*0.85)-Budget!T54</f>
        <v>17573.858930269686</v>
      </c>
      <c r="F18" s="16">
        <f>(Budget!T7*0.9)-(Budget!T47*0.85)-Budget!T54</f>
        <v>19469.488930269683</v>
      </c>
      <c r="G18" s="16">
        <f>(Budget!T7*0.95)-(Budget!T47*0.85)-Budget!T54</f>
        <v>21365.11893026968</v>
      </c>
      <c r="H18" s="22">
        <f>Budget!T7-(Budget!T47*0.85)-Budget!T54</f>
        <v>23260.748930269685</v>
      </c>
      <c r="I18" s="22">
        <f>(Budget!T7*1.05)-(Budget!T47*0.85)-Budget!T54</f>
        <v>25156.37893026969</v>
      </c>
      <c r="J18" s="22">
        <f>(Budget!T7*1.1)-(Budget!T47*0.85)-Budget!T54</f>
        <v>27052.008930269687</v>
      </c>
      <c r="K18" s="165">
        <f>(Budget!T7*1.15)-(Budget!T47*0.85)-Budget!T54</f>
        <v>28947.638930269684</v>
      </c>
      <c r="M18" s="154" t="s">
        <v>198</v>
      </c>
      <c r="N18" s="334">
        <f t="shared" si="3"/>
        <v>7.63</v>
      </c>
      <c r="O18" s="240">
        <f t="shared" si="1"/>
        <v>38062.254999999997</v>
      </c>
      <c r="P18" s="240">
        <f>Budget!$T$55</f>
        <v>16831.535736006248</v>
      </c>
      <c r="Q18" s="240">
        <f t="shared" si="0"/>
        <v>21230.719263993749</v>
      </c>
      <c r="R18" s="155">
        <f t="shared" si="2"/>
        <v>55804.978130581258</v>
      </c>
      <c r="S18" s="4"/>
    </row>
    <row r="19" spans="2:19" ht="16.5" customHeight="1" x14ac:dyDescent="0.4">
      <c r="B19" s="313"/>
      <c r="C19" s="314"/>
      <c r="D19" s="39" t="s">
        <v>28</v>
      </c>
      <c r="E19" s="23">
        <f>(Budget!T7*0.85)-(Budget!T47*0.9)-Budget!T54</f>
        <v>16847.297374844376</v>
      </c>
      <c r="F19" s="20">
        <f>(Budget!T7*0.9)-(Budget!T47*0.9)-Budget!T54</f>
        <v>18742.927374844374</v>
      </c>
      <c r="G19" s="20">
        <f>(Budget!T7*0.95)-(Budget!T47*0.9)-Budget!T54</f>
        <v>20638.557374844371</v>
      </c>
      <c r="H19" s="24">
        <f>Budget!T7-(Budget!T47*0.9)-Budget!T54</f>
        <v>22534.187374844376</v>
      </c>
      <c r="I19" s="24">
        <f>(Budget!T7*1.05)-(Budget!T47*0.9)-Budget!T54</f>
        <v>24429.817374844381</v>
      </c>
      <c r="J19" s="24">
        <f>(Budget!T7*1.1)-(Budget!T47*0.9)-Budget!T54</f>
        <v>26325.447374844378</v>
      </c>
      <c r="K19" s="166">
        <f>(Budget!T7*1.15)-(Budget!T47*0.9)-Budget!T54</f>
        <v>28221.077374844375</v>
      </c>
      <c r="M19" s="154" t="s">
        <v>187</v>
      </c>
      <c r="N19" s="334">
        <f t="shared" si="3"/>
        <v>7.63</v>
      </c>
      <c r="O19" s="240">
        <f t="shared" si="1"/>
        <v>38062.254999999997</v>
      </c>
      <c r="P19" s="240">
        <f>Budget!$T$55</f>
        <v>16831.535736006248</v>
      </c>
      <c r="Q19" s="240">
        <f t="shared" si="0"/>
        <v>21230.719263993749</v>
      </c>
      <c r="R19" s="155">
        <f t="shared" si="2"/>
        <v>77035.697394575007</v>
      </c>
      <c r="S19" s="4"/>
    </row>
    <row r="20" spans="2:19" ht="16.5" customHeight="1" thickBot="1" x14ac:dyDescent="0.45">
      <c r="B20" s="313"/>
      <c r="C20" s="314"/>
      <c r="D20" s="39" t="s">
        <v>27</v>
      </c>
      <c r="E20" s="23">
        <f>(Budget!T7*0.85)-(Budget!T47*0.95)-Budget!T54</f>
        <v>16120.735819419062</v>
      </c>
      <c r="F20" s="20">
        <f>(Budget!T7*0.9)-(Budget!T47*0.95)-Budget!T54</f>
        <v>18016.365819419058</v>
      </c>
      <c r="G20" s="20">
        <f>(Budget!T7*0.95)-(Budget!T47*0.95)-Budget!T54</f>
        <v>19911.995819419055</v>
      </c>
      <c r="H20" s="24">
        <f>Budget!T7-(Budget!T47*0.95)-Budget!T54</f>
        <v>21807.62581941906</v>
      </c>
      <c r="I20" s="24">
        <f>(Budget!T7*1.05)-(Budget!T47*0.95)-Budget!T54</f>
        <v>23703.255819419064</v>
      </c>
      <c r="J20" s="24">
        <f>(Budget!T7*1.1)-(Budget!T47*0.95)-Budget!T54</f>
        <v>25598.885819419062</v>
      </c>
      <c r="K20" s="166">
        <f>(Budget!T7*1.15)-(Budget!T47*0.95)-Budget!T54</f>
        <v>27494.515819419059</v>
      </c>
      <c r="M20" s="154" t="s">
        <v>199</v>
      </c>
      <c r="N20" s="334">
        <f t="shared" si="3"/>
        <v>7.63</v>
      </c>
      <c r="O20" s="240">
        <f t="shared" si="1"/>
        <v>38062.254999999997</v>
      </c>
      <c r="P20" s="240">
        <f>Budget!$T$55</f>
        <v>16831.535736006248</v>
      </c>
      <c r="Q20" s="240">
        <f t="shared" si="0"/>
        <v>21230.719263993749</v>
      </c>
      <c r="R20" s="155">
        <f t="shared" si="2"/>
        <v>98266.416658568749</v>
      </c>
      <c r="S20" s="4"/>
    </row>
    <row r="21" spans="2:19" ht="16.5" customHeight="1" thickBot="1" x14ac:dyDescent="0.45">
      <c r="B21" s="313"/>
      <c r="C21" s="314"/>
      <c r="D21" s="39" t="s">
        <v>26</v>
      </c>
      <c r="E21" s="23">
        <f>(Budget!T7*0.85)-Budget!T47-Budget!T54</f>
        <v>15394.174263993749</v>
      </c>
      <c r="F21" s="20">
        <f>(Budget!T7*0.9)-(Budget!T47)-Budget!T54</f>
        <v>17289.804263993748</v>
      </c>
      <c r="G21" s="20">
        <f>(Budget!T7*0.95)-(Budget!T47)-Budget!T54</f>
        <v>19185.434263993746</v>
      </c>
      <c r="H21" s="25">
        <f>Budget!T7-(Budget!T47)-Budget!T54</f>
        <v>21081.064263993751</v>
      </c>
      <c r="I21" s="24">
        <f>(Budget!T7*1.05)-(Budget!T47)-Budget!T54</f>
        <v>22976.694263993755</v>
      </c>
      <c r="J21" s="24">
        <f>(Budget!T7*1.1)-(Budget!T47)-Budget!T54</f>
        <v>24872.324263993753</v>
      </c>
      <c r="K21" s="166">
        <f>(Budget!T7*1.15)-(Budget!T47)-Budget!T54</f>
        <v>26767.95426399375</v>
      </c>
      <c r="M21" s="154" t="s">
        <v>200</v>
      </c>
      <c r="N21" s="334">
        <f t="shared" si="3"/>
        <v>7.63</v>
      </c>
      <c r="O21" s="240">
        <f t="shared" si="1"/>
        <v>38062.254999999997</v>
      </c>
      <c r="P21" s="240">
        <f>Budget!$T$55</f>
        <v>16831.535736006248</v>
      </c>
      <c r="Q21" s="240">
        <f t="shared" si="0"/>
        <v>21230.719263993749</v>
      </c>
      <c r="R21" s="155">
        <f t="shared" si="2"/>
        <v>119497.13592256251</v>
      </c>
      <c r="S21" s="4"/>
    </row>
    <row r="22" spans="2:19" ht="16.5" customHeight="1" x14ac:dyDescent="0.4">
      <c r="B22" s="313"/>
      <c r="C22" s="314"/>
      <c r="D22" s="39" t="s">
        <v>25</v>
      </c>
      <c r="E22" s="23">
        <f>(Budget!T7*0.85)-(Budget!T47*1.05)-Budget!T54</f>
        <v>14667.612708568437</v>
      </c>
      <c r="F22" s="20">
        <f>(Budget!T7*0.9)-(Budget!T47*1.05)-Budget!T54</f>
        <v>16563.242708568432</v>
      </c>
      <c r="G22" s="20">
        <f>(Budget!T7*0.95)-(Budget!T47*1.05)-Budget!T54</f>
        <v>18458.87270856843</v>
      </c>
      <c r="H22" s="24">
        <f>Budget!T7-(Budget!T47*1.05)-Budget!T54</f>
        <v>20354.502708568434</v>
      </c>
      <c r="I22" s="24">
        <f>(Budget!T7*1.05)-(Budget!T47*1.05)-Budget!T54</f>
        <v>22250.132708568439</v>
      </c>
      <c r="J22" s="24">
        <f>(Budget!T7*1.1)-(Budget!T47*1.05)-Budget!T54</f>
        <v>24145.762708568436</v>
      </c>
      <c r="K22" s="166">
        <f>(Budget!T7*1.15)-(Budget!T47*1.05)-Budget!T54</f>
        <v>26041.392708568434</v>
      </c>
      <c r="M22" s="154" t="s">
        <v>201</v>
      </c>
      <c r="N22" s="334">
        <f t="shared" si="3"/>
        <v>7.63</v>
      </c>
      <c r="O22" s="240">
        <f t="shared" si="1"/>
        <v>38062.254999999997</v>
      </c>
      <c r="P22" s="240">
        <f>Budget!$T$55</f>
        <v>16831.535736006248</v>
      </c>
      <c r="Q22" s="240">
        <f t="shared" si="0"/>
        <v>21230.719263993749</v>
      </c>
      <c r="R22" s="155">
        <f t="shared" si="2"/>
        <v>140727.85518655626</v>
      </c>
      <c r="S22" s="4"/>
    </row>
    <row r="23" spans="2:19" ht="16.5" customHeight="1" x14ac:dyDescent="0.4">
      <c r="B23" s="313"/>
      <c r="C23" s="314"/>
      <c r="D23" s="39" t="s">
        <v>24</v>
      </c>
      <c r="E23" s="23">
        <f>(Budget!T7*0.85)-(Budget!T47*1.1)-Budget!T54</f>
        <v>13941.051153143122</v>
      </c>
      <c r="F23" s="20">
        <f>(Budget!T7*0.9)-(Budget!T47*1.1)-Budget!T54</f>
        <v>15836.681153143118</v>
      </c>
      <c r="G23" s="20">
        <f>(Budget!T7*0.95)-(Budget!T47*1.1)-Budget!T54</f>
        <v>17732.311153143113</v>
      </c>
      <c r="H23" s="24">
        <f>Budget!T7-(Budget!T47*1.1)-Budget!T54</f>
        <v>19627.941153143118</v>
      </c>
      <c r="I23" s="24">
        <f>(Budget!T7*1.05)-(Budget!T47*1.1)-Budget!T54</f>
        <v>21523.571153143123</v>
      </c>
      <c r="J23" s="24">
        <f>(Budget!T7*1.1)-(Budget!T47*1.1)-Budget!T54</f>
        <v>23419.20115314312</v>
      </c>
      <c r="K23" s="166">
        <f>(Budget!T7*1.15)-(Budget!T47*1.1)-Budget!T54</f>
        <v>25314.831153143117</v>
      </c>
      <c r="M23" s="154" t="s">
        <v>202</v>
      </c>
      <c r="N23" s="334">
        <f>(10.9-1)*(1-$R$4)</f>
        <v>6.93</v>
      </c>
      <c r="O23" s="240">
        <f t="shared" si="1"/>
        <v>34570.304999999993</v>
      </c>
      <c r="P23" s="240">
        <f>Budget!$T$55</f>
        <v>16831.535736006248</v>
      </c>
      <c r="Q23" s="240">
        <f t="shared" si="0"/>
        <v>17738.769263993745</v>
      </c>
      <c r="R23" s="155">
        <f t="shared" si="2"/>
        <v>158466.62445055001</v>
      </c>
      <c r="S23" s="4"/>
    </row>
    <row r="24" spans="2:19" ht="16.5" customHeight="1" thickBot="1" x14ac:dyDescent="0.45">
      <c r="B24" s="315"/>
      <c r="C24" s="316"/>
      <c r="D24" s="167" t="s">
        <v>23</v>
      </c>
      <c r="E24" s="168">
        <f>(Budget!T7*0.85)-(Budget!T47*1.15)-Budget!T54</f>
        <v>13214.489597717815</v>
      </c>
      <c r="F24" s="169">
        <f>(Budget!T7*0.9)-(Budget!T47*1.15)-Budget!T54</f>
        <v>15110.119597717812</v>
      </c>
      <c r="G24" s="169">
        <f>(Budget!T7*0.95)-(Budget!T47*1.15)-Budget!T54</f>
        <v>17005.749597717811</v>
      </c>
      <c r="H24" s="170">
        <f>Budget!T7-(Budget!T47*1.15)-Budget!T54</f>
        <v>18901.379597717816</v>
      </c>
      <c r="I24" s="170">
        <f>(Budget!T7*1.05)-(Budget!T47*1.15)-Budget!T54</f>
        <v>20797.009597717821</v>
      </c>
      <c r="J24" s="170">
        <f>(Budget!T7*1.1)-(Budget!T47*1.15)-Budget!T54</f>
        <v>22692.639597717818</v>
      </c>
      <c r="K24" s="171">
        <f>(Budget!T7*1.15)-(Budget!T47*1.15)-Budget!T54</f>
        <v>24588.269597717815</v>
      </c>
      <c r="M24" s="154" t="s">
        <v>188</v>
      </c>
      <c r="N24" s="334">
        <f>(10.9-2)*(1-$R$4)</f>
        <v>6.2299999999999995</v>
      </c>
      <c r="O24" s="240">
        <f t="shared" si="1"/>
        <v>31078.355</v>
      </c>
      <c r="P24" s="240">
        <f>Budget!$T$55</f>
        <v>16831.535736006248</v>
      </c>
      <c r="Q24" s="240">
        <f t="shared" si="0"/>
        <v>14246.819263993752</v>
      </c>
      <c r="R24" s="155">
        <f t="shared" si="2"/>
        <v>172713.44371454377</v>
      </c>
      <c r="S24" s="4"/>
    </row>
    <row r="25" spans="2:19" ht="16.5" customHeight="1" thickBot="1" x14ac:dyDescent="0.45">
      <c r="B25" s="244"/>
      <c r="C25" s="244"/>
      <c r="D25" s="245"/>
      <c r="E25" s="246"/>
      <c r="F25" s="246"/>
      <c r="G25" s="246"/>
      <c r="H25" s="247"/>
      <c r="I25" s="247"/>
      <c r="J25" s="247"/>
      <c r="K25" s="247"/>
      <c r="M25" s="241" t="s">
        <v>221</v>
      </c>
      <c r="N25" s="336">
        <f>(10.9-3)*(1-$R$4)</f>
        <v>5.53</v>
      </c>
      <c r="O25" s="156">
        <f t="shared" si="1"/>
        <v>27586.404999999999</v>
      </c>
      <c r="P25" s="156">
        <f>Budget!$T$55</f>
        <v>16831.535736006248</v>
      </c>
      <c r="Q25" s="156">
        <f>O25-P25</f>
        <v>10754.869263993751</v>
      </c>
      <c r="R25" s="157">
        <f>R24+Q25</f>
        <v>183468.31297853752</v>
      </c>
      <c r="S25" s="4"/>
    </row>
    <row r="26" spans="2:19" ht="20.25" customHeight="1" x14ac:dyDescent="0.4">
      <c r="B26" s="6"/>
      <c r="C26" s="6"/>
      <c r="D26" s="6"/>
      <c r="E26" s="6"/>
      <c r="F26" s="6"/>
      <c r="G26" s="6"/>
      <c r="H26" s="6"/>
      <c r="I26" s="6"/>
      <c r="J26" s="6"/>
      <c r="K26" s="6"/>
      <c r="M26" s="328" t="s">
        <v>246</v>
      </c>
      <c r="S26" s="4"/>
    </row>
    <row r="27" spans="2:19" ht="15" hidden="1" customHeight="1" x14ac:dyDescent="0.4">
      <c r="B27" s="320"/>
      <c r="C27" s="320"/>
      <c r="D27" s="320"/>
      <c r="E27" s="320"/>
      <c r="F27" s="320"/>
      <c r="G27" s="320"/>
      <c r="H27" s="320"/>
      <c r="I27" s="320"/>
      <c r="J27" s="320"/>
      <c r="K27" s="320"/>
      <c r="S27" s="4"/>
    </row>
    <row r="28" spans="2:19" ht="21.75" hidden="1" customHeight="1" x14ac:dyDescent="0.4">
      <c r="B28" s="322"/>
      <c r="C28" s="322"/>
      <c r="D28" s="322"/>
      <c r="E28" s="322"/>
      <c r="F28" s="322"/>
      <c r="G28" s="322"/>
      <c r="H28" s="322"/>
      <c r="I28" s="322"/>
      <c r="J28" s="322"/>
      <c r="K28" s="322"/>
      <c r="S28" s="4"/>
    </row>
    <row r="29" spans="2:19" ht="74.150000000000006" hidden="1" customHeight="1" x14ac:dyDescent="0.4">
      <c r="B29" s="322"/>
      <c r="C29" s="322"/>
      <c r="D29" s="322"/>
      <c r="E29" s="322"/>
      <c r="F29" s="322"/>
      <c r="G29" s="322"/>
      <c r="H29" s="322"/>
      <c r="I29" s="322"/>
      <c r="J29" s="322"/>
      <c r="K29" s="322"/>
      <c r="S29" s="4"/>
    </row>
    <row r="30" spans="2:19" ht="76" hidden="1" customHeight="1" x14ac:dyDescent="0.35">
      <c r="B30" s="322"/>
      <c r="C30" s="322"/>
      <c r="D30" s="322"/>
      <c r="E30" s="322"/>
      <c r="F30" s="322"/>
      <c r="G30" s="322"/>
      <c r="H30" s="322"/>
      <c r="I30" s="322"/>
      <c r="J30" s="322"/>
      <c r="K30" s="322"/>
      <c r="S30" s="4"/>
    </row>
    <row r="31" spans="2:19" ht="52" hidden="1" customHeight="1" x14ac:dyDescent="0.35">
      <c r="B31" s="322"/>
      <c r="C31" s="322"/>
      <c r="D31" s="322"/>
      <c r="E31" s="322"/>
      <c r="F31" s="322"/>
      <c r="G31" s="322"/>
      <c r="H31" s="322"/>
      <c r="I31" s="322"/>
      <c r="J31" s="322"/>
      <c r="K31" s="322"/>
      <c r="S31" s="4"/>
    </row>
    <row r="32" spans="2:19" hidden="1" x14ac:dyDescent="0.35">
      <c r="B32" s="322"/>
      <c r="C32" s="322"/>
      <c r="D32" s="322"/>
      <c r="E32" s="322"/>
      <c r="F32" s="322"/>
      <c r="G32" s="322"/>
      <c r="H32" s="322"/>
      <c r="I32" s="322"/>
      <c r="J32" s="322"/>
      <c r="K32" s="322"/>
      <c r="S32" s="4"/>
    </row>
    <row r="33" spans="2:19" ht="110.15" hidden="1" customHeight="1" x14ac:dyDescent="0.4">
      <c r="B33" s="322"/>
      <c r="C33" s="322"/>
      <c r="D33" s="322"/>
      <c r="E33" s="322"/>
      <c r="F33" s="322"/>
      <c r="G33" s="322"/>
      <c r="H33" s="322"/>
      <c r="I33" s="322"/>
      <c r="J33" s="322"/>
      <c r="K33" s="322"/>
      <c r="S33" s="4"/>
    </row>
    <row r="34" spans="2:19" ht="16" hidden="1" x14ac:dyDescent="0.4">
      <c r="B34" s="40"/>
      <c r="C34" s="40"/>
      <c r="D34" s="40"/>
      <c r="E34" s="40"/>
      <c r="F34" s="40"/>
      <c r="G34" s="40"/>
      <c r="H34" s="40"/>
      <c r="I34" s="40"/>
      <c r="J34" s="40"/>
      <c r="K34" s="40"/>
    </row>
    <row r="35" spans="2:19" ht="16" hidden="1" x14ac:dyDescent="0.4">
      <c r="B35" s="41" t="s">
        <v>15</v>
      </c>
      <c r="C35" s="6"/>
      <c r="D35" s="6"/>
      <c r="E35" s="6"/>
    </row>
    <row r="36" spans="2:19" ht="16" hidden="1" x14ac:dyDescent="0.4">
      <c r="B36" s="6" t="s">
        <v>34</v>
      </c>
      <c r="C36" s="26"/>
      <c r="D36" s="26"/>
      <c r="E36" s="242">
        <v>0.06</v>
      </c>
      <c r="F36" s="6"/>
      <c r="G36" s="41"/>
      <c r="H36" s="27"/>
      <c r="I36" s="27"/>
      <c r="J36" s="27"/>
      <c r="K36" s="42"/>
    </row>
    <row r="37" spans="2:19" ht="16" hidden="1" x14ac:dyDescent="0.4">
      <c r="B37" s="6" t="s">
        <v>63</v>
      </c>
      <c r="C37" s="6"/>
      <c r="D37" s="6"/>
      <c r="E37" s="43">
        <f>(Budget!H57+Budget!K57/(1+E36)+Budget!Q57/((1+E36)^2)+Budget!T57/((1+E36)^3)+Budget!T57/(1+E36)^4)</f>
        <v>17893.405676855837</v>
      </c>
      <c r="F37" s="6"/>
      <c r="G37" s="40"/>
      <c r="H37" s="27"/>
      <c r="I37" s="27"/>
      <c r="J37" s="27"/>
      <c r="K37" s="43"/>
    </row>
    <row r="38" spans="2:19" ht="16" hidden="1" x14ac:dyDescent="0.4">
      <c r="B38" s="6" t="s">
        <v>35</v>
      </c>
      <c r="C38" s="6"/>
      <c r="D38" s="6"/>
      <c r="E38" s="43">
        <f>(Budget!H57+Budget!K57/(1+E36)+Budget!Q57/((1+E36)^2)+Budget!T57/((1+E36)^3)+Budget!T57/(1+E36)^4+Budget!T57/(1+E36)^5+Budget!T57/(1+E36)^6+Budget!T57/(1+E36)^7+Budget!T57/(1+E36)^8+Budget!T57/(1+E36)^9)</f>
        <v>88232.203516644353</v>
      </c>
      <c r="G38" s="6"/>
      <c r="H38" s="6"/>
      <c r="I38" s="6"/>
      <c r="J38" s="6"/>
      <c r="K38" s="43"/>
    </row>
    <row r="39" spans="2:19" ht="16" hidden="1" x14ac:dyDescent="0.4">
      <c r="B39" s="40" t="s">
        <v>36</v>
      </c>
      <c r="C39" s="40"/>
      <c r="D39" s="43"/>
      <c r="E39" s="43">
        <f>(Budget!H57+Budget!K57/(1+E36)+Budget!Q57/((1+E36)^2)+Budget!T57/((1+E36)^3)+Budget!T57/(1+E36)^4+Budget!T57/(1+E36)^5+Budget!T57/(1+E36)^6+Budget!T57/(1+E36)^7+Budget!T57/(1+E36)^8+Budget!T57/(1+E36)^9+Budget!T57/(1+E36)^10+Budget!T57/(1+E36)^11+Budget!T57/(1+E36)^12+Budget!T57/(1+E36)^13+Budget!T57/(1+E36)^14)</f>
        <v>140793.44507199965</v>
      </c>
      <c r="G39" s="6"/>
      <c r="H39" s="6"/>
      <c r="I39" s="6"/>
      <c r="J39" s="6"/>
      <c r="K39" s="43"/>
    </row>
    <row r="40" spans="2:19" ht="14.5" hidden="1" customHeight="1" x14ac:dyDescent="0.35"/>
    <row r="42" spans="2:19" ht="32.15" hidden="1" customHeight="1" x14ac:dyDescent="0.35"/>
    <row r="43" spans="2:19" ht="16" hidden="1" x14ac:dyDescent="0.4">
      <c r="B43" s="321"/>
      <c r="C43" s="321"/>
      <c r="D43" s="321"/>
      <c r="E43" s="321"/>
      <c r="F43" s="321"/>
      <c r="G43" s="321"/>
      <c r="H43" s="321"/>
      <c r="I43" s="321"/>
      <c r="J43" s="321"/>
      <c r="K43" s="321"/>
    </row>
    <row r="44" spans="2:19" ht="16" hidden="1" x14ac:dyDescent="0.4">
      <c r="B44" s="321"/>
      <c r="C44" s="321"/>
      <c r="D44" s="321"/>
      <c r="E44" s="321"/>
      <c r="F44" s="321"/>
      <c r="G44" s="321"/>
      <c r="H44" s="321"/>
      <c r="I44" s="321"/>
      <c r="J44" s="321"/>
      <c r="K44" s="321"/>
    </row>
    <row r="45" spans="2:19" ht="16" hidden="1" x14ac:dyDescent="0.4">
      <c r="B45" s="243"/>
      <c r="C45" s="243"/>
      <c r="D45" s="243"/>
      <c r="E45" s="243"/>
      <c r="F45" s="243"/>
      <c r="G45" s="243"/>
      <c r="H45" s="243"/>
      <c r="I45" s="243"/>
      <c r="J45" s="243"/>
      <c r="K45" s="243"/>
    </row>
    <row r="46" spans="2:19" ht="16" hidden="1" x14ac:dyDescent="0.4">
      <c r="G46" s="6"/>
      <c r="H46" s="6"/>
      <c r="I46" s="6"/>
      <c r="J46" s="6"/>
      <c r="K46" s="6"/>
    </row>
    <row r="47" spans="2:19" ht="16" hidden="1" x14ac:dyDescent="0.4">
      <c r="G47" s="6"/>
      <c r="H47" s="6"/>
      <c r="I47" s="6"/>
      <c r="J47" s="6"/>
      <c r="K47" s="6"/>
    </row>
    <row r="48" spans="2:19" ht="16" hidden="1" x14ac:dyDescent="0.4">
      <c r="G48" s="6"/>
      <c r="H48" s="6"/>
      <c r="I48" s="6"/>
      <c r="J48" s="6"/>
      <c r="K48" s="6"/>
    </row>
    <row r="49" spans="7:11" ht="16" hidden="1" x14ac:dyDescent="0.4">
      <c r="G49" s="6"/>
      <c r="H49" s="6"/>
      <c r="I49" s="6"/>
      <c r="J49" s="6"/>
      <c r="K49" s="6"/>
    </row>
    <row r="50" spans="7:11" ht="16" hidden="1" x14ac:dyDescent="0.4">
      <c r="G50" s="6"/>
      <c r="H50" s="6"/>
      <c r="I50" s="6"/>
      <c r="J50" s="6"/>
      <c r="K50" s="6"/>
    </row>
  </sheetData>
  <sheetProtection sheet="1" objects="1" scenarios="1"/>
  <protectedRanges>
    <protectedRange sqref="N10:N25" name="Avg yield"/>
    <protectedRange sqref="P3:P4" name="planting density"/>
    <protectedRange sqref="R4" name="harvest loss"/>
    <protectedRange sqref="D9" name="Price"/>
    <protectedRange sqref="H5" name="Yield"/>
  </protectedRanges>
  <mergeCells count="17">
    <mergeCell ref="B43:K43"/>
    <mergeCell ref="B44:K44"/>
    <mergeCell ref="B30:K32"/>
    <mergeCell ref="B27:K27"/>
    <mergeCell ref="B6:B12"/>
    <mergeCell ref="E16:K16"/>
    <mergeCell ref="B28:K28"/>
    <mergeCell ref="B15:K15"/>
    <mergeCell ref="B29:K29"/>
    <mergeCell ref="B33:K33"/>
    <mergeCell ref="M2:R2"/>
    <mergeCell ref="B18:C24"/>
    <mergeCell ref="M8:R8"/>
    <mergeCell ref="B1:K1"/>
    <mergeCell ref="B14:K14"/>
    <mergeCell ref="B2:K2"/>
    <mergeCell ref="E3:K3"/>
  </mergeCells>
  <phoneticPr fontId="45" type="noConversion"/>
  <conditionalFormatting sqref="E6:K12">
    <cfRule type="cellIs" dxfId="1" priority="2" operator="lessThan">
      <formula>0</formula>
    </cfRule>
  </conditionalFormatting>
  <conditionalFormatting sqref="E18:K25">
    <cfRule type="cellIs" dxfId="0" priority="1" operator="lessThan">
      <formula>0</formula>
    </cfRule>
  </conditionalFormatting>
  <pageMargins left="0.7" right="0.7" top="0.75" bottom="0.75" header="0.3" footer="0.3"/>
  <pageSetup scale="8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ba6830-88fc-4660-8252-66421c0ed606">
      <Terms xmlns="http://schemas.microsoft.com/office/infopath/2007/PartnerControls"/>
    </lcf76f155ced4ddcb4097134ff3c332f>
    <TaxCatchAll xmlns="68029b82-de8b-4bb8-a3ab-fd0183ed5d7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E1293EDA749C499D09F25756402A22" ma:contentTypeVersion="19" ma:contentTypeDescription="Create a new document." ma:contentTypeScope="" ma:versionID="f610af42f5f35fc6cfbfb3e5795ca45d">
  <xsd:schema xmlns:xsd="http://www.w3.org/2001/XMLSchema" xmlns:xs="http://www.w3.org/2001/XMLSchema" xmlns:p="http://schemas.microsoft.com/office/2006/metadata/properties" xmlns:ns2="efba6830-88fc-4660-8252-66421c0ed606" xmlns:ns3="68029b82-de8b-4bb8-a3ab-fd0183ed5d77" targetNamespace="http://schemas.microsoft.com/office/2006/metadata/properties" ma:root="true" ma:fieldsID="b56cae5f79f0fb0f797c4f61633a70a8" ns2:_="" ns3:_="">
    <xsd:import namespace="efba6830-88fc-4660-8252-66421c0ed606"/>
    <xsd:import namespace="68029b82-de8b-4bb8-a3ab-fd0183ed5d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a6830-88fc-4660-8252-66421c0ed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29b82-de8b-4bb8-a3ab-fd0183ed5d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98e622-2bdb-4ed5-999f-2e6ceaea9292}" ma:internalName="TaxCatchAll" ma:showField="CatchAllData" ma:web="68029b82-de8b-4bb8-a3ab-fd0183ed5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2.xml><?xml version="1.0" encoding="utf-8"?>
<ds:datastoreItem xmlns:ds="http://schemas.openxmlformats.org/officeDocument/2006/customXml" ds:itemID="{29E28324-32A9-4154-8247-D3B1E0DB2445}">
  <ds:schemaRefs>
    <ds:schemaRef ds:uri="http://purl.org/dc/terms/"/>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efba6830-88fc-4660-8252-66421c0ed606"/>
    <ds:schemaRef ds:uri="68029b82-de8b-4bb8-a3ab-fd0183ed5d77"/>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367DCD25-6F71-4407-90C3-43FCA52D7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a6830-88fc-4660-8252-66421c0ed606"/>
    <ds:schemaRef ds:uri="68029b82-de8b-4bb8-a3ab-fd0183ed5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Budget</vt:lpstr>
      <vt:lpstr>Infrastructure</vt:lpstr>
      <vt:lpstr>Chemicals</vt:lpstr>
      <vt:lpstr>Machinery</vt:lpstr>
      <vt:lpstr>Financial Sensitivity</vt:lpstr>
      <vt:lpstr>Budget!Print_Area</vt:lpstr>
      <vt:lpstr>Machinery!Print_Area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Rahe, Mallory</cp:lastModifiedBy>
  <cp:revision/>
  <cp:lastPrinted>2026-03-20T18:35:27Z</cp:lastPrinted>
  <dcterms:created xsi:type="dcterms:W3CDTF">2020-07-30T17:48:44Z</dcterms:created>
  <dcterms:modified xsi:type="dcterms:W3CDTF">2026-03-20T20:01:01Z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0x010100C8E1293EDA749C499D09F25756402A22</vt:lpwstr>
  </property>
  <property fmtid="{D5CDD505-2E9C-101B-9397-08002B2CF9AE}" pid="3" name="MediaServiceImageTags">
    <vt:lpwstr/>
  </property>
</Properties>
</file>