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Vegetable Budgets - In Draft/"/>
    </mc:Choice>
  </mc:AlternateContent>
  <xr:revisionPtr revIDLastSave="5" documentId="8_{A3AFC05A-9E31-45BA-8DCE-F4E66502C6E2}" xr6:coauthVersionLast="47" xr6:coauthVersionMax="47" xr10:uidLastSave="{330074A3-CD3E-463C-949E-5BE4B065397C}"/>
  <workbookProtection lockStructure="1"/>
  <bookViews>
    <workbookView xWindow="28680" yWindow="-120" windowWidth="38640" windowHeight="2184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Budget!$B$1:$G$50</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H77" i="1"/>
  <c r="G37" i="1" s="1"/>
  <c r="E77" i="1"/>
  <c r="G44" i="1" s="1"/>
  <c r="G22" i="1" l="1"/>
  <c r="G15" i="1"/>
  <c r="G14" i="1"/>
  <c r="G8" i="1"/>
  <c r="G35" i="1" l="1"/>
  <c r="H67" i="1"/>
  <c r="G43" i="1" s="1"/>
  <c r="D9" i="4"/>
  <c r="H5" i="4"/>
  <c r="G31" i="1"/>
  <c r="G67" i="1"/>
  <c r="G34" i="1" s="1"/>
  <c r="F67" i="1"/>
  <c r="E28" i="1" s="1"/>
  <c r="G20" i="1"/>
  <c r="G19" i="1"/>
  <c r="G36" i="1" l="1"/>
  <c r="G33" i="1"/>
  <c r="G25" i="1"/>
  <c r="G23" i="1"/>
  <c r="G17" i="1"/>
  <c r="G18" i="1"/>
  <c r="G9" i="1" l="1"/>
  <c r="I5" i="4" l="1"/>
  <c r="J5" i="4" l="1"/>
  <c r="K5" i="4"/>
  <c r="G5" i="4"/>
  <c r="F5" i="4"/>
  <c r="E5" i="4"/>
  <c r="D8" i="4"/>
  <c r="D10" i="4"/>
  <c r="D11" i="4"/>
  <c r="D7" i="4"/>
  <c r="D12" i="4"/>
  <c r="D6" i="4"/>
  <c r="G45" i="1" l="1"/>
  <c r="G29" i="1" l="1"/>
  <c r="G30" i="1"/>
  <c r="G32" i="1"/>
  <c r="G28" i="1"/>
  <c r="G10" i="1"/>
  <c r="G11" i="1"/>
  <c r="G24" i="1"/>
  <c r="G12" i="1"/>
  <c r="G6" i="1"/>
  <c r="G3" i="1"/>
  <c r="G26" i="1" l="1"/>
  <c r="G4" i="1"/>
  <c r="E38" i="1" l="1"/>
  <c r="G38" i="1" s="1"/>
  <c r="G40" i="1" s="1"/>
  <c r="G18" i="4" l="1"/>
  <c r="I24" i="4" l="1"/>
  <c r="K21" i="4"/>
  <c r="J20" i="4"/>
  <c r="E19" i="4"/>
  <c r="H19" i="4"/>
  <c r="E18" i="4"/>
  <c r="J18" i="4"/>
  <c r="G23" i="4"/>
  <c r="F21" i="4"/>
  <c r="H23" i="4"/>
  <c r="H22" i="4"/>
  <c r="K23" i="4"/>
  <c r="J21" i="4"/>
  <c r="I23" i="4"/>
  <c r="F22" i="4"/>
  <c r="G20" i="4"/>
  <c r="K20" i="4"/>
  <c r="K24" i="4"/>
  <c r="J24" i="4"/>
  <c r="E24" i="4"/>
  <c r="H20" i="4"/>
  <c r="F18" i="4"/>
  <c r="G22" i="4"/>
  <c r="H24" i="4"/>
  <c r="F20" i="4"/>
  <c r="G19" i="4"/>
  <c r="E20" i="4"/>
  <c r="J23" i="4"/>
  <c r="F23" i="4"/>
  <c r="I22" i="4"/>
  <c r="J19" i="4"/>
  <c r="K19" i="4"/>
  <c r="E23" i="4"/>
  <c r="K18" i="4"/>
  <c r="E22" i="4"/>
  <c r="H18" i="4"/>
  <c r="E21" i="4"/>
  <c r="I21" i="4"/>
  <c r="I20" i="4"/>
  <c r="F19" i="4"/>
  <c r="H21" i="4"/>
  <c r="J22" i="4"/>
  <c r="G24" i="4"/>
  <c r="I18" i="4"/>
  <c r="G21" i="4"/>
  <c r="I19" i="4"/>
  <c r="F24" i="4"/>
  <c r="K22" i="4"/>
  <c r="G46" i="1"/>
  <c r="G48" i="1" s="1"/>
  <c r="G47" i="1"/>
  <c r="H9" i="4" l="1"/>
  <c r="I9" i="4"/>
  <c r="J9" i="4"/>
  <c r="K9" i="4"/>
  <c r="F6" i="4"/>
  <c r="J12" i="4"/>
  <c r="E7" i="4"/>
  <c r="H11" i="4"/>
  <c r="E10" i="4"/>
  <c r="I8" i="4"/>
  <c r="H6" i="4"/>
  <c r="K12" i="4"/>
  <c r="J7" i="4"/>
  <c r="F11" i="4"/>
  <c r="G10" i="4"/>
  <c r="J8" i="4"/>
  <c r="I6" i="4"/>
  <c r="H12" i="4"/>
  <c r="H7" i="4"/>
  <c r="E11" i="4"/>
  <c r="H10" i="4"/>
  <c r="G6" i="4"/>
  <c r="E12" i="4"/>
  <c r="I7" i="4"/>
  <c r="I10" i="4"/>
  <c r="H8" i="4"/>
  <c r="G9" i="4"/>
  <c r="E6" i="4"/>
  <c r="G12" i="4"/>
  <c r="I11" i="4"/>
  <c r="J10" i="4"/>
  <c r="F8" i="4"/>
  <c r="E9" i="4"/>
  <c r="K6" i="4"/>
  <c r="K7" i="4"/>
  <c r="J11" i="4"/>
  <c r="K10" i="4"/>
  <c r="E8" i="4"/>
  <c r="F9" i="4"/>
  <c r="I12" i="4"/>
  <c r="F7" i="4"/>
  <c r="K11" i="4"/>
  <c r="F10" i="4"/>
  <c r="G8" i="4"/>
  <c r="J6" i="4"/>
  <c r="F12" i="4"/>
  <c r="G7" i="4"/>
  <c r="G11" i="4"/>
  <c r="K8" i="4"/>
  <c r="G49" i="1"/>
</calcChain>
</file>

<file path=xl/sharedStrings.xml><?xml version="1.0" encoding="utf-8"?>
<sst xmlns="http://schemas.openxmlformats.org/spreadsheetml/2006/main" count="194" uniqueCount="136">
  <si>
    <t>Updated: 1/2025</t>
  </si>
  <si>
    <t>This worksheet is for educational purposes only and the user assumes all risks associated with its use.</t>
  </si>
  <si>
    <t>Revenue</t>
  </si>
  <si>
    <t>Unit</t>
  </si>
  <si>
    <t xml:space="preserve"> Quantity</t>
  </si>
  <si>
    <t>each</t>
  </si>
  <si>
    <t>acre</t>
  </si>
  <si>
    <t>ton</t>
  </si>
  <si>
    <t>pound</t>
  </si>
  <si>
    <t>percent</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</si>
  <si>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</si>
  <si>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</si>
  <si>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</si>
  <si>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</si>
  <si>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</si>
  <si>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</si>
  <si>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</si>
  <si>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</si>
  <si>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</si>
  <si>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</si>
  <si>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</si>
  <si>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</si>
  <si>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</si>
  <si>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</si>
  <si>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</si>
  <si>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</si>
  <si>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</si>
  <si>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</si>
  <si>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</si>
  <si>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</si>
  <si>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</si>
  <si>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Interest on operating capital</t>
  </si>
  <si>
    <t xml:space="preserve">For budget questions, contact: </t>
  </si>
  <si>
    <t xml:space="preserve">For horticulture expertise, contact: </t>
  </si>
  <si>
    <t>MU Commercial Horticulture Team</t>
  </si>
  <si>
    <t>Price per unit</t>
  </si>
  <si>
    <t>Dollars per acre</t>
  </si>
  <si>
    <t>Plants</t>
  </si>
  <si>
    <t>Fertilizer and lime</t>
  </si>
  <si>
    <t>Nitrogen (preplant/starter)</t>
  </si>
  <si>
    <t>Nitrogen (sidedress/irrigate)</t>
  </si>
  <si>
    <t>Drip tape</t>
  </si>
  <si>
    <t>Labor</t>
  </si>
  <si>
    <t>Phosphate</t>
  </si>
  <si>
    <t>Potash</t>
  </si>
  <si>
    <t>Lime (spread)</t>
  </si>
  <si>
    <t>pint</t>
  </si>
  <si>
    <t>Other</t>
  </si>
  <si>
    <t>ounce</t>
  </si>
  <si>
    <t>enter</t>
  </si>
  <si>
    <t>Quadris</t>
  </si>
  <si>
    <t>Herbicide</t>
  </si>
  <si>
    <t>Insecticide</t>
  </si>
  <si>
    <t>Fungicide</t>
  </si>
  <si>
    <t>roll</t>
  </si>
  <si>
    <t>Black plastic</t>
  </si>
  <si>
    <t>Irrigation</t>
  </si>
  <si>
    <t>Plastic disposal</t>
  </si>
  <si>
    <t>hour</t>
  </si>
  <si>
    <t>Machinery fuel/repair/maintenance</t>
  </si>
  <si>
    <t>Irrigation fuel and oil</t>
  </si>
  <si>
    <t>Irrigation repair/maintenance</t>
  </si>
  <si>
    <t xml:space="preserve">Marketing </t>
  </si>
  <si>
    <t>Land</t>
  </si>
  <si>
    <t>Machinery</t>
  </si>
  <si>
    <t>Item</t>
  </si>
  <si>
    <t>Passes</t>
  </si>
  <si>
    <t>$ per pass</t>
  </si>
  <si>
    <t>2WD 75 hp</t>
  </si>
  <si>
    <t>Disk harrow (10')</t>
  </si>
  <si>
    <t>BS, Lay/Tape (bed 6' center)</t>
  </si>
  <si>
    <t>Spray (Broadcast) (27')</t>
  </si>
  <si>
    <t>Interest</t>
  </si>
  <si>
    <t>$ per acre</t>
  </si>
  <si>
    <t>years</t>
  </si>
  <si>
    <t>% of investment</t>
  </si>
  <si>
    <t>Power unit</t>
  </si>
  <si>
    <t>Purchase price</t>
  </si>
  <si>
    <t>Salvage value</t>
  </si>
  <si>
    <t>Useful life</t>
  </si>
  <si>
    <t>Total</t>
  </si>
  <si>
    <t>Repairs/maint.</t>
  </si>
  <si>
    <t>hours/pass</t>
  </si>
  <si>
    <t>Developed by: Peter Zimmel, FAPRI</t>
  </si>
  <si>
    <t>thousands</t>
  </si>
  <si>
    <t>Dollars per acre
per acre</t>
  </si>
  <si>
    <t xml:space="preserve">Table 2: Irrigation system cost information </t>
  </si>
  <si>
    <t>Bell Pepper Enterprise Budget</t>
  </si>
  <si>
    <t xml:space="preserve">Bell Pepper Enterprise Budget for Missouri </t>
  </si>
  <si>
    <t>This budget models one acre of open field bell pepper production under trickle irrigation. All bell peppers are modeled to be sold through fresh markets by the bushel. Develop a customized budget by adjusting the assumptions in gray cells to match the management practices and expected yields and prices for your farm.</t>
  </si>
  <si>
    <t>Bell peppers</t>
  </si>
  <si>
    <t>bushel (28-30 lbs)</t>
  </si>
  <si>
    <t>Goal 2XL</t>
  </si>
  <si>
    <t>Gramoxone Inteon</t>
  </si>
  <si>
    <t>Orthene 90S</t>
  </si>
  <si>
    <t>Radiant 1SC</t>
  </si>
  <si>
    <t>Mustang Max</t>
  </si>
  <si>
    <t>Kocide 2000</t>
  </si>
  <si>
    <t>Packaging boxes</t>
  </si>
  <si>
    <t>Fert-cyclone spin (750 lb.)</t>
  </si>
  <si>
    <t>Disk bed (4-row)</t>
  </si>
  <si>
    <t xml:space="preserve">Plntr / Transplanter (1 row) </t>
  </si>
  <si>
    <t>Trailer utility (10')</t>
  </si>
  <si>
    <t>Cultivate + App herb (4 row)</t>
  </si>
  <si>
    <t>Rotary cutter (7')</t>
  </si>
  <si>
    <t>Take up reel (mulch) (1 row)</t>
  </si>
  <si>
    <t>Grading and packing</t>
  </si>
  <si>
    <t>Harvest</t>
  </si>
  <si>
    <t xml:space="preserve">Explore estimated annual per acre returns over total costs under varying revenue and operating cost scenarios. </t>
  </si>
  <si>
    <t>Bushels per acre</t>
  </si>
  <si>
    <t>Price per bushel</t>
  </si>
  <si>
    <t>Irrigation system</t>
  </si>
  <si>
    <t>Machinery operator</t>
  </si>
  <si>
    <t>Mallory Rahe, MU Extension</t>
  </si>
  <si>
    <t xml:space="preserve">Budget created by Peter Zimmel, Food and Agricultural Policy Institute (FAPRI). Prices were updated January 2025. </t>
  </si>
  <si>
    <t xml:space="preserve">Access online at muext.us/MissouriAgBudgets. </t>
  </si>
  <si>
    <r>
      <t>Operating costs</t>
    </r>
    <r>
      <rPr>
        <vertAlign val="superscript"/>
        <sz val="11"/>
        <color theme="1"/>
        <rFont val="Aptos  "/>
      </rPr>
      <t>1</t>
    </r>
  </si>
  <si>
    <r>
      <t>Ownership costs</t>
    </r>
    <r>
      <rPr>
        <vertAlign val="superscript"/>
        <sz val="11"/>
        <color theme="1"/>
        <rFont val="Aptos  "/>
      </rPr>
      <t>2</t>
    </r>
  </si>
  <si>
    <r>
      <rPr>
        <vertAlign val="superscript"/>
        <sz val="10"/>
        <rFont val="Aptos  "/>
      </rPr>
      <t>1</t>
    </r>
    <r>
      <rPr>
        <sz val="10"/>
        <rFont val="Aptos  "/>
      </rPr>
      <t>Machinery operating cost is the sum of fuel, repairs and maintenance.</t>
    </r>
  </si>
  <si>
    <r>
      <rPr>
        <vertAlign val="superscript"/>
        <sz val="10"/>
        <rFont val="Aptos  "/>
      </rPr>
      <t>2</t>
    </r>
    <r>
      <rPr>
        <sz val="10"/>
        <rFont val="Aptos  "/>
      </rPr>
      <t>Machinery ownership cost is the sum of machinery overhead and depreciation.</t>
    </r>
  </si>
  <si>
    <t>acre inch</t>
  </si>
  <si>
    <r>
      <t>Drip irrigation system</t>
    </r>
    <r>
      <rPr>
        <vertAlign val="superscript"/>
        <sz val="11"/>
        <color theme="1"/>
        <rFont val="Aptos"/>
        <family val="2"/>
        <scheme val="minor"/>
      </rPr>
      <t>1</t>
    </r>
  </si>
  <si>
    <t xml:space="preserve">Irrigation installation </t>
  </si>
  <si>
    <t>Water source</t>
  </si>
  <si>
    <t>percentage</t>
  </si>
  <si>
    <t>Allocation to bell peppers</t>
  </si>
  <si>
    <r>
      <rPr>
        <vertAlign val="superscript"/>
        <sz val="10"/>
        <color theme="1"/>
        <rFont val="Aptos  "/>
      </rPr>
      <t xml:space="preserve">1 </t>
    </r>
    <r>
      <rPr>
        <sz val="10"/>
        <color theme="1"/>
        <rFont val="Aptos  "/>
      </rPr>
      <t>System modeled for a 5-acre vegetable farm with a total cost of $3,000 for system, 20% of all ownership costs are attributed to this enterprise. Adjust the size of the system by changing the allocation column and prices.</t>
    </r>
  </si>
  <si>
    <t>Return to land and labor</t>
  </si>
  <si>
    <t>Irrigation water</t>
  </si>
  <si>
    <t>Total annual costs</t>
  </si>
  <si>
    <t>Cultivate (4 row)</t>
  </si>
  <si>
    <t>This work is supported by the U.S. Department of Agriculture’s (USDA) Farm Service Agency through project award number FSA23CPT0012862. Its contents are solely the responsibility of the authors and do not necessarily represent the official views of the USDA.</t>
  </si>
  <si>
    <t>Table 1: Capital investments used in Missouri bell pepper budget</t>
  </si>
  <si>
    <t>Sensitivity analysis for Missouri bell pepper budget, income over total costs</t>
  </si>
  <si>
    <t>Sensitivity analysis for Missouri bell pepper budget, operating costs and revenue</t>
  </si>
  <si>
    <t>Explore annual profitability expectations (per acre returns over total costs) under varying yield and price scenarios in full production and holding costs constant. Modify price and yield expectations on the Budget worksheet for further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</si>
</sst>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36">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sz val="11"/>
      <color theme="1"/>
      <name val="Aptos  "/>
    </font>
    <font>
      <b/>
      <sz val="12"/>
      <color theme="1"/>
      <name val="Aptos  "/>
    </font>
    <font>
      <sz val="10"/>
      <color theme="1"/>
      <name val="Aptos  "/>
    </font>
    <font>
      <sz val="12"/>
      <color theme="1"/>
      <name val="Aptos  "/>
    </font>
    <font>
      <b/>
      <sz val="12"/>
      <name val="Aptos  "/>
    </font>
    <font>
      <b/>
      <sz val="11"/>
      <name val="Aptos  "/>
    </font>
    <font>
      <u/>
      <sz val="10"/>
      <color theme="10"/>
      <name val="Aptos  "/>
    </font>
    <font>
      <u/>
      <sz val="11"/>
      <color theme="1"/>
      <name val="Aptos  "/>
    </font>
    <font>
      <vertAlign val="superscript"/>
      <sz val="11"/>
      <color theme="1"/>
      <name val="Aptos  "/>
    </font>
    <font>
      <i/>
      <sz val="10"/>
      <color theme="1"/>
      <name val="Aptos  "/>
    </font>
    <font>
      <sz val="10"/>
      <name val="Aptos  "/>
    </font>
    <font>
      <vertAlign val="superscript"/>
      <sz val="10"/>
      <name val="Aptos  "/>
    </font>
    <font>
      <vertAlign val="superscript"/>
      <sz val="11"/>
      <color theme="1"/>
      <name val="Aptos"/>
      <family val="2"/>
      <scheme val="minor"/>
    </font>
    <font>
      <vertAlign val="superscript"/>
      <sz val="10"/>
      <color theme="1"/>
      <name val="Aptos  "/>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6" fillId="4" borderId="4" applyNumberFormat="0" applyAlignment="0" applyProtection="0"/>
    <xf numFmtId="0" fontId="1" fillId="0" borderId="0"/>
    <xf numFmtId="44" fontId="1" fillId="0" borderId="0" applyFont="0" applyFill="0" applyBorder="0" applyAlignment="0" applyProtection="0"/>
    <xf numFmtId="0" fontId="19" fillId="0" borderId="0" applyNumberFormat="0" applyFill="0" applyBorder="0" applyAlignment="0" applyProtection="0"/>
    <xf numFmtId="0" fontId="21" fillId="0" borderId="0"/>
  </cellStyleXfs>
  <cellXfs count="170">
    <xf numFmtId="0" fontId="0" fillId="0" borderId="0" xfId="0"/>
    <xf numFmtId="0" fontId="2" fillId="0" borderId="0" xfId="0" applyFont="1"/>
    <xf numFmtId="164" fontId="2" fillId="0" borderId="0" xfId="0" applyNumberFormat="1" applyFont="1"/>
    <xf numFmtId="0" fontId="5" fillId="0" borderId="0" xfId="0" applyFont="1"/>
    <xf numFmtId="0" fontId="7" fillId="5" borderId="0" xfId="0" applyFont="1" applyFill="1"/>
    <xf numFmtId="0" fontId="7" fillId="0" borderId="0" xfId="0" applyFont="1"/>
    <xf numFmtId="0" fontId="0" fillId="5" borderId="0" xfId="0" applyFill="1"/>
    <xf numFmtId="0" fontId="3" fillId="5" borderId="0" xfId="0" applyFont="1" applyFill="1" applyAlignment="1">
      <alignment horizontal="left" indent="4"/>
    </xf>
    <xf numFmtId="0" fontId="9" fillId="5" borderId="0" xfId="0" applyFont="1" applyFill="1"/>
    <xf numFmtId="0" fontId="9" fillId="0" borderId="0" xfId="0" applyFont="1"/>
    <xf numFmtId="164" fontId="9" fillId="0" borderId="0" xfId="0" applyNumberFormat="1" applyFont="1"/>
    <xf numFmtId="0" fontId="9" fillId="0" borderId="0" xfId="0" applyFont="1" applyAlignment="1">
      <alignment wrapText="1"/>
    </xf>
    <xf numFmtId="0" fontId="4" fillId="5" borderId="0" xfId="0" applyFont="1" applyFill="1"/>
    <xf numFmtId="0" fontId="11" fillId="0" borderId="0" xfId="0" applyFont="1"/>
    <xf numFmtId="0" fontId="4" fillId="0" borderId="0" xfId="0" applyFont="1" applyAlignment="1">
      <alignment horizontal="right"/>
    </xf>
    <xf numFmtId="0" fontId="12" fillId="0" borderId="0" xfId="0" applyFont="1"/>
    <xf numFmtId="164" fontId="9" fillId="0" borderId="2" xfId="0" applyNumberFormat="1" applyFont="1" applyBorder="1"/>
    <xf numFmtId="0" fontId="15" fillId="3" borderId="17" xfId="0" applyFont="1" applyFill="1" applyBorder="1" applyAlignment="1">
      <alignment horizontal="center" textRotation="90"/>
    </xf>
    <xf numFmtId="0" fontId="13" fillId="3" borderId="19" xfId="0" applyFont="1" applyFill="1" applyBorder="1"/>
    <xf numFmtId="3" fontId="9" fillId="0" borderId="11" xfId="0" applyNumberFormat="1" applyFont="1" applyBorder="1"/>
    <xf numFmtId="0" fontId="13" fillId="3" borderId="20" xfId="0" applyFont="1" applyFill="1" applyBorder="1"/>
    <xf numFmtId="3" fontId="9" fillId="0" borderId="1" xfId="0" applyNumberFormat="1" applyFont="1" applyBorder="1" applyAlignment="1">
      <alignment horizontal="right"/>
    </xf>
    <xf numFmtId="0" fontId="15" fillId="3" borderId="17" xfId="0" applyFont="1" applyFill="1" applyBorder="1" applyAlignment="1">
      <alignment horizontal="center" vertical="center" textRotation="90"/>
    </xf>
    <xf numFmtId="2" fontId="9" fillId="0" borderId="17" xfId="0" applyNumberFormat="1" applyFont="1" applyBorder="1" applyAlignment="1">
      <alignment horizontal="center"/>
    </xf>
    <xf numFmtId="0" fontId="7" fillId="5" borderId="0" xfId="0" applyFont="1" applyFill="1" applyAlignment="1">
      <alignment horizontal="center"/>
    </xf>
    <xf numFmtId="0" fontId="4" fillId="5" borderId="0" xfId="0" applyFont="1" applyFill="1" applyAlignment="1">
      <alignment horizontal="left" vertical="top" wrapText="1"/>
    </xf>
    <xf numFmtId="7" fontId="9" fillId="0" borderId="12" xfId="4" applyNumberFormat="1" applyFont="1" applyBorder="1" applyAlignment="1">
      <alignment horizontal="center"/>
    </xf>
    <xf numFmtId="0" fontId="4" fillId="5" borderId="0" xfId="0" applyFont="1" applyFill="1" applyAlignment="1">
      <alignment horizontal="right" vertical="top" wrapText="1"/>
    </xf>
    <xf numFmtId="0" fontId="16" fillId="0" borderId="0" xfId="0" applyFont="1" applyAlignment="1">
      <alignment wrapText="1"/>
    </xf>
    <xf numFmtId="0" fontId="9" fillId="3" borderId="16" xfId="0" applyFont="1" applyFill="1" applyBorder="1"/>
    <xf numFmtId="0" fontId="9" fillId="3" borderId="11" xfId="0" applyFont="1" applyFill="1" applyBorder="1"/>
    <xf numFmtId="0" fontId="9" fillId="3" borderId="12" xfId="0" applyFont="1" applyFill="1" applyBorder="1"/>
    <xf numFmtId="0" fontId="9" fillId="3" borderId="0" xfId="0" applyFont="1" applyFill="1"/>
    <xf numFmtId="0" fontId="14" fillId="5" borderId="0" xfId="0" applyFont="1" applyFill="1" applyAlignment="1">
      <alignment horizontal="right"/>
    </xf>
    <xf numFmtId="0" fontId="14" fillId="5" borderId="13" xfId="0" applyFont="1" applyFill="1" applyBorder="1" applyAlignment="1">
      <alignment horizontal="right"/>
    </xf>
    <xf numFmtId="0" fontId="15" fillId="3" borderId="12" xfId="0" applyFont="1" applyFill="1" applyBorder="1" applyAlignment="1">
      <alignment horizontal="center" textRotation="90"/>
    </xf>
    <xf numFmtId="3" fontId="9" fillId="0" borderId="18" xfId="0" applyNumberFormat="1" applyFont="1" applyBorder="1"/>
    <xf numFmtId="0" fontId="14" fillId="5" borderId="0" xfId="0" applyFont="1" applyFill="1" applyAlignment="1">
      <alignment horizontal="center" vertical="center"/>
    </xf>
    <xf numFmtId="9" fontId="14" fillId="5" borderId="0" xfId="0" applyNumberFormat="1" applyFont="1" applyFill="1" applyAlignment="1">
      <alignment horizontal="center" vertical="center"/>
    </xf>
    <xf numFmtId="0" fontId="14" fillId="5" borderId="2" xfId="0" applyFont="1" applyFill="1" applyBorder="1" applyAlignment="1">
      <alignment horizontal="center" vertical="center"/>
    </xf>
    <xf numFmtId="7" fontId="9" fillId="0" borderId="15" xfId="4" applyNumberFormat="1" applyFont="1" applyBorder="1" applyAlignment="1">
      <alignment horizontal="center"/>
    </xf>
    <xf numFmtId="0" fontId="9" fillId="3" borderId="18" xfId="0" applyFont="1" applyFill="1" applyBorder="1"/>
    <xf numFmtId="0" fontId="9" fillId="3" borderId="13" xfId="0" applyFont="1" applyFill="1" applyBorder="1"/>
    <xf numFmtId="0" fontId="15" fillId="3" borderId="15" xfId="0" applyFont="1" applyFill="1" applyBorder="1" applyAlignment="1">
      <alignment horizontal="center" textRotation="90"/>
    </xf>
    <xf numFmtId="0" fontId="15" fillId="3" borderId="2" xfId="0" applyFont="1" applyFill="1" applyBorder="1" applyAlignment="1">
      <alignment horizontal="center" textRotation="90"/>
    </xf>
    <xf numFmtId="6" fontId="14" fillId="0" borderId="16" xfId="4" applyNumberFormat="1" applyFont="1" applyBorder="1"/>
    <xf numFmtId="6" fontId="14" fillId="0" borderId="11" xfId="4" applyNumberFormat="1" applyFont="1" applyBorder="1"/>
    <xf numFmtId="6" fontId="14" fillId="0" borderId="18" xfId="4" applyNumberFormat="1" applyFont="1" applyBorder="1"/>
    <xf numFmtId="6" fontId="14" fillId="0" borderId="12" xfId="4" applyNumberFormat="1" applyFont="1" applyBorder="1"/>
    <xf numFmtId="6" fontId="14" fillId="0" borderId="0" xfId="4" applyNumberFormat="1" applyFont="1" applyBorder="1"/>
    <xf numFmtId="6" fontId="14" fillId="0" borderId="13" xfId="4" applyNumberFormat="1" applyFont="1" applyBorder="1"/>
    <xf numFmtId="6" fontId="14" fillId="0" borderId="21" xfId="4" applyNumberFormat="1" applyFont="1" applyBorder="1"/>
    <xf numFmtId="6" fontId="14" fillId="0" borderId="15" xfId="4" applyNumberFormat="1" applyFont="1" applyBorder="1"/>
    <xf numFmtId="6" fontId="14" fillId="0" borderId="2" xfId="4" applyNumberFormat="1" applyFont="1" applyBorder="1"/>
    <xf numFmtId="6" fontId="14" fillId="0" borderId="14" xfId="4" applyNumberFormat="1" applyFont="1" applyBorder="1"/>
    <xf numFmtId="3" fontId="9" fillId="0" borderId="23" xfId="0" applyNumberFormat="1" applyFont="1" applyBorder="1" applyAlignment="1">
      <alignment horizontal="right"/>
    </xf>
    <xf numFmtId="3" fontId="9" fillId="0" borderId="24" xfId="0" applyNumberFormat="1" applyFont="1" applyBorder="1" applyAlignment="1">
      <alignment horizontal="right"/>
    </xf>
    <xf numFmtId="0" fontId="9" fillId="3" borderId="28" xfId="0" applyFont="1" applyFill="1" applyBorder="1"/>
    <xf numFmtId="0" fontId="15" fillId="3" borderId="29" xfId="0" applyFont="1" applyFill="1" applyBorder="1" applyAlignment="1">
      <alignment horizontal="center" vertical="center" textRotation="90"/>
    </xf>
    <xf numFmtId="2" fontId="9" fillId="0" borderId="29" xfId="0" applyNumberFormat="1" applyFont="1" applyBorder="1" applyAlignment="1">
      <alignment horizontal="center"/>
    </xf>
    <xf numFmtId="0" fontId="20" fillId="5" borderId="0" xfId="5" applyFont="1" applyFill="1" applyAlignment="1">
      <alignment horizontal="left" wrapText="1"/>
    </xf>
    <xf numFmtId="0" fontId="12" fillId="5" borderId="1" xfId="6" applyFont="1" applyFill="1" applyBorder="1" applyAlignment="1">
      <alignment horizontal="left"/>
    </xf>
    <xf numFmtId="2" fontId="12" fillId="5" borderId="1" xfId="6" applyNumberFormat="1" applyFont="1" applyFill="1" applyBorder="1" applyAlignment="1">
      <alignment horizontal="right"/>
    </xf>
    <xf numFmtId="165" fontId="9" fillId="2" borderId="0" xfId="0" applyNumberFormat="1" applyFont="1" applyFill="1"/>
    <xf numFmtId="164" fontId="9" fillId="2" borderId="0" xfId="4" applyNumberFormat="1" applyFont="1" applyFill="1" applyProtection="1"/>
    <xf numFmtId="0" fontId="12" fillId="0" borderId="1" xfId="0" applyFont="1" applyBorder="1"/>
    <xf numFmtId="165" fontId="9" fillId="0" borderId="0" xfId="0" applyNumberFormat="1" applyFont="1"/>
    <xf numFmtId="164" fontId="9" fillId="0" borderId="0" xfId="4" applyNumberFormat="1" applyFont="1" applyProtection="1"/>
    <xf numFmtId="164" fontId="9" fillId="0" borderId="0" xfId="4" applyNumberFormat="1" applyFont="1" applyFill="1" applyProtection="1"/>
    <xf numFmtId="0" fontId="9" fillId="2" borderId="0" xfId="0" applyFont="1" applyFill="1"/>
    <xf numFmtId="0" fontId="5" fillId="2" borderId="0" xfId="0" applyFont="1" applyFill="1"/>
    <xf numFmtId="0" fontId="14" fillId="0" borderId="0" xfId="0" applyFont="1"/>
    <xf numFmtId="4" fontId="9" fillId="0" borderId="0" xfId="0" applyNumberFormat="1" applyFont="1"/>
    <xf numFmtId="9" fontId="5" fillId="0" borderId="0" xfId="0" applyNumberFormat="1" applyFont="1" applyAlignment="1">
      <alignment horizontal="left"/>
    </xf>
    <xf numFmtId="9" fontId="9" fillId="2" borderId="0" xfId="1" applyFont="1" applyFill="1" applyProtection="1"/>
    <xf numFmtId="10" fontId="9" fillId="2" borderId="0" xfId="0" applyNumberFormat="1" applyFont="1" applyFill="1"/>
    <xf numFmtId="0" fontId="20" fillId="0" borderId="0" xfId="5" applyFont="1" applyFill="1"/>
    <xf numFmtId="0" fontId="22" fillId="0" borderId="0" xfId="0" applyFont="1"/>
    <xf numFmtId="0" fontId="23" fillId="0" borderId="0" xfId="0" applyFont="1" applyAlignment="1">
      <alignment horizontal="right"/>
    </xf>
    <xf numFmtId="0" fontId="24" fillId="0" borderId="0" xfId="0" applyFont="1"/>
    <xf numFmtId="3" fontId="25" fillId="0" borderId="0" xfId="0" applyNumberFormat="1" applyFont="1"/>
    <xf numFmtId="0" fontId="25" fillId="0" borderId="0" xfId="0" applyFont="1"/>
    <xf numFmtId="164" fontId="25" fillId="0" borderId="0" xfId="0" applyNumberFormat="1" applyFont="1"/>
    <xf numFmtId="0" fontId="26" fillId="0" borderId="1" xfId="0" applyFont="1" applyBorder="1"/>
    <xf numFmtId="0" fontId="27" fillId="0" borderId="1" xfId="0" applyFont="1" applyBorder="1" applyAlignment="1">
      <alignment horizontal="left" wrapText="1"/>
    </xf>
    <xf numFmtId="0" fontId="26" fillId="0" borderId="1" xfId="0" applyFont="1" applyBorder="1" applyAlignment="1">
      <alignment horizontal="center" wrapText="1"/>
    </xf>
    <xf numFmtId="0" fontId="26" fillId="0" borderId="0" xfId="0" applyFont="1"/>
    <xf numFmtId="164" fontId="25" fillId="2" borderId="0" xfId="0" applyNumberFormat="1" applyFont="1" applyFill="1"/>
    <xf numFmtId="0" fontId="22" fillId="0" borderId="2" xfId="0" applyFont="1" applyBorder="1"/>
    <xf numFmtId="0" fontId="25" fillId="0" borderId="11" xfId="0" applyFont="1" applyBorder="1"/>
    <xf numFmtId="164" fontId="25" fillId="0" borderId="11" xfId="0" applyNumberFormat="1" applyFont="1" applyBorder="1"/>
    <xf numFmtId="0" fontId="25" fillId="0" borderId="3" xfId="0" applyFont="1" applyBorder="1"/>
    <xf numFmtId="164" fontId="25" fillId="0" borderId="3" xfId="0" applyNumberFormat="1" applyFont="1" applyBorder="1"/>
    <xf numFmtId="0" fontId="22" fillId="0" borderId="0" xfId="0" applyFont="1" applyProtection="1">
      <protection locked="0"/>
    </xf>
    <xf numFmtId="0" fontId="29" fillId="0" borderId="0" xfId="0" applyFont="1"/>
    <xf numFmtId="164" fontId="22" fillId="0" borderId="2" xfId="0" applyNumberFormat="1" applyFont="1" applyBorder="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164" fontId="31" fillId="0" borderId="2" xfId="0" applyNumberFormat="1" applyFont="1" applyBorder="1" applyAlignment="1">
      <alignment horizontal="right"/>
    </xf>
    <xf numFmtId="0" fontId="31" fillId="0" borderId="2" xfId="0" applyFont="1" applyBorder="1" applyAlignment="1">
      <alignment horizontal="right"/>
    </xf>
    <xf numFmtId="0" fontId="22" fillId="2" borderId="0" xfId="0" applyFont="1" applyFill="1"/>
    <xf numFmtId="4" fontId="22" fillId="2" borderId="0" xfId="0" applyNumberFormat="1" applyFont="1" applyFill="1"/>
    <xf numFmtId="164" fontId="22" fillId="2" borderId="0" xfId="0" applyNumberFormat="1" applyFont="1" applyFill="1"/>
    <xf numFmtId="164" fontId="22" fillId="2" borderId="0" xfId="4" applyNumberFormat="1" applyFont="1" applyFill="1"/>
    <xf numFmtId="4" fontId="22" fillId="2" borderId="0" xfId="0" applyNumberFormat="1" applyFont="1" applyFill="1" applyAlignment="1">
      <alignment horizontal="right"/>
    </xf>
    <xf numFmtId="164" fontId="22" fillId="2" borderId="0" xfId="0" applyNumberFormat="1" applyFont="1" applyFill="1" applyAlignment="1">
      <alignment horizontal="right"/>
    </xf>
    <xf numFmtId="0" fontId="22" fillId="2" borderId="2" xfId="0" applyFont="1" applyFill="1" applyBorder="1"/>
    <xf numFmtId="4" fontId="22" fillId="2" borderId="2" xfId="0" applyNumberFormat="1" applyFont="1" applyFill="1" applyBorder="1"/>
    <xf numFmtId="164" fontId="22" fillId="2" borderId="2" xfId="0" applyNumberFormat="1" applyFont="1" applyFill="1" applyBorder="1"/>
    <xf numFmtId="4" fontId="22" fillId="0" borderId="0" xfId="0" applyNumberFormat="1" applyFont="1"/>
    <xf numFmtId="164" fontId="22" fillId="0" borderId="0" xfId="0" applyNumberFormat="1" applyFont="1"/>
    <xf numFmtId="0" fontId="32" fillId="5" borderId="0" xfId="6" applyFont="1" applyFill="1"/>
    <xf numFmtId="0" fontId="22" fillId="0" borderId="11" xfId="0" applyFont="1" applyBorder="1"/>
    <xf numFmtId="0" fontId="22" fillId="0" borderId="11" xfId="0" applyFont="1" applyBorder="1" applyAlignment="1">
      <alignment horizontal="right"/>
    </xf>
    <xf numFmtId="0" fontId="9" fillId="0" borderId="0" xfId="0" applyFont="1" applyAlignment="1">
      <alignment horizontal="left"/>
    </xf>
    <xf numFmtId="0" fontId="23" fillId="0" borderId="11" xfId="0" applyFont="1" applyBorder="1" applyAlignment="1">
      <alignment horizontal="left"/>
    </xf>
    <xf numFmtId="0" fontId="23" fillId="0" borderId="3" xfId="0" applyFont="1" applyBorder="1" applyAlignment="1">
      <alignment horizontal="left"/>
    </xf>
    <xf numFmtId="0" fontId="23" fillId="0" borderId="0" xfId="0" applyFont="1" applyAlignment="1">
      <alignment horizontal="left"/>
    </xf>
    <xf numFmtId="0" fontId="0" fillId="2" borderId="11" xfId="0" applyFill="1" applyBorder="1"/>
    <xf numFmtId="164" fontId="22" fillId="2" borderId="11" xfId="0" applyNumberFormat="1" applyFont="1" applyFill="1" applyBorder="1"/>
    <xf numFmtId="0" fontId="22" fillId="2" borderId="11" xfId="0" applyFont="1" applyFill="1" applyBorder="1"/>
    <xf numFmtId="166" fontId="22" fillId="2" borderId="11" xfId="0" applyNumberFormat="1" applyFont="1" applyFill="1" applyBorder="1"/>
    <xf numFmtId="10" fontId="22" fillId="2" borderId="11" xfId="0" applyNumberFormat="1" applyFont="1" applyFill="1" applyBorder="1"/>
    <xf numFmtId="0" fontId="0" fillId="2" borderId="0" xfId="0" applyFill="1"/>
    <xf numFmtId="166" fontId="22" fillId="2" borderId="0" xfId="0" applyNumberFormat="1" applyFont="1" applyFill="1"/>
    <xf numFmtId="10" fontId="22" fillId="2" borderId="0" xfId="0" applyNumberFormat="1" applyFont="1" applyFill="1"/>
    <xf numFmtId="0" fontId="0" fillId="2" borderId="2" xfId="0" applyFill="1" applyBorder="1"/>
    <xf numFmtId="166" fontId="22" fillId="2" borderId="2" xfId="0" applyNumberFormat="1" applyFont="1" applyFill="1" applyBorder="1"/>
    <xf numFmtId="10" fontId="22" fillId="2" borderId="2" xfId="0" applyNumberFormat="1" applyFont="1" applyFill="1" applyBorder="1"/>
    <xf numFmtId="164" fontId="25" fillId="0" borderId="2" xfId="0" applyNumberFormat="1" applyFont="1" applyBorder="1"/>
    <xf numFmtId="9" fontId="22" fillId="2" borderId="11" xfId="1" applyFont="1" applyFill="1" applyBorder="1"/>
    <xf numFmtId="9" fontId="22" fillId="2" borderId="0" xfId="1" applyFont="1" applyFill="1"/>
    <xf numFmtId="9" fontId="22" fillId="2" borderId="2" xfId="1" applyFont="1" applyFill="1" applyBorder="1"/>
    <xf numFmtId="0" fontId="22" fillId="0" borderId="11" xfId="0" applyFont="1" applyBorder="1" applyAlignment="1">
      <alignment horizontal="right" wrapText="1"/>
    </xf>
    <xf numFmtId="164" fontId="22" fillId="5" borderId="0" xfId="0" applyNumberFormat="1" applyFont="1" applyFill="1"/>
    <xf numFmtId="0" fontId="22" fillId="5" borderId="0" xfId="0" applyFont="1" applyFill="1"/>
    <xf numFmtId="166" fontId="22" fillId="5" borderId="0" xfId="0" applyNumberFormat="1" applyFont="1" applyFill="1"/>
    <xf numFmtId="10" fontId="22" fillId="5" borderId="0" xfId="0" applyNumberFormat="1" applyFont="1" applyFill="1"/>
    <xf numFmtId="0" fontId="10" fillId="5" borderId="0" xfId="2" applyFont="1" applyFill="1" applyBorder="1" applyAlignment="1">
      <alignment horizontal="center" wrapText="1"/>
    </xf>
    <xf numFmtId="164" fontId="22" fillId="5" borderId="0" xfId="1" applyNumberFormat="1" applyFont="1" applyFill="1" applyBorder="1"/>
    <xf numFmtId="3" fontId="9" fillId="5" borderId="11" xfId="0" applyNumberFormat="1" applyFont="1" applyFill="1" applyBorder="1" applyProtection="1">
      <protection locked="0"/>
    </xf>
    <xf numFmtId="7" fontId="9" fillId="5" borderId="12" xfId="4" applyNumberFormat="1" applyFont="1" applyFill="1" applyBorder="1" applyAlignment="1" applyProtection="1">
      <alignment horizontal="center"/>
      <protection locked="0"/>
    </xf>
    <xf numFmtId="0" fontId="8" fillId="3" borderId="5" xfId="0" applyFont="1" applyFill="1" applyBorder="1"/>
    <xf numFmtId="0" fontId="8" fillId="3" borderId="6" xfId="0" applyFont="1" applyFill="1" applyBorder="1"/>
    <xf numFmtId="0" fontId="17" fillId="3" borderId="5" xfId="3" applyFont="1" applyFill="1" applyBorder="1" applyAlignment="1">
      <alignment horizontal="center"/>
    </xf>
    <xf numFmtId="0" fontId="17" fillId="3" borderId="6" xfId="3" applyFont="1" applyFill="1" applyBorder="1" applyAlignment="1">
      <alignment horizontal="center"/>
    </xf>
    <xf numFmtId="0" fontId="17" fillId="3" borderId="7" xfId="3" applyFont="1" applyFill="1" applyBorder="1" applyAlignment="1">
      <alignment horizontal="center"/>
    </xf>
    <xf numFmtId="0" fontId="9" fillId="5" borderId="0" xfId="0" applyFont="1" applyFill="1" applyAlignment="1">
      <alignment horizontal="right"/>
    </xf>
    <xf numFmtId="0" fontId="0" fillId="5" borderId="0" xfId="0" applyFill="1"/>
    <xf numFmtId="0" fontId="10" fillId="4" borderId="8" xfId="2" applyFont="1" applyBorder="1" applyAlignment="1">
      <alignment horizontal="center" wrapText="1"/>
    </xf>
    <xf numFmtId="0" fontId="10" fillId="4" borderId="9" xfId="2" applyFont="1" applyBorder="1" applyAlignment="1">
      <alignment horizontal="center" wrapText="1"/>
    </xf>
    <xf numFmtId="0" fontId="10" fillId="4" borderId="10" xfId="2" applyFont="1" applyBorder="1" applyAlignment="1">
      <alignment horizontal="center" wrapText="1"/>
    </xf>
    <xf numFmtId="0" fontId="9" fillId="5" borderId="0" xfId="0" applyFont="1" applyFill="1" applyAlignment="1">
      <alignment horizontal="left" vertical="top" wrapText="1"/>
    </xf>
    <xf numFmtId="0" fontId="0" fillId="5" borderId="0" xfId="0" applyFill="1" applyAlignment="1">
      <alignment horizontal="left" vertical="center" wrapText="1"/>
    </xf>
    <xf numFmtId="0" fontId="24" fillId="0" borderId="0" xfId="0" applyFont="1" applyAlignment="1">
      <alignment horizontal="left" vertical="top" wrapText="1"/>
    </xf>
    <xf numFmtId="0" fontId="28" fillId="0" borderId="0" xfId="5" applyFont="1" applyAlignment="1">
      <alignment horizontal="left"/>
    </xf>
    <xf numFmtId="0" fontId="24" fillId="0" borderId="22" xfId="0" applyFont="1" applyBorder="1" applyAlignment="1">
      <alignment horizontal="left" vertical="top" wrapText="1"/>
    </xf>
    <xf numFmtId="0" fontId="16" fillId="3" borderId="23" xfId="0" applyFont="1" applyFill="1" applyBorder="1" applyAlignment="1">
      <alignment horizontal="center" wrapText="1"/>
    </xf>
    <xf numFmtId="0" fontId="16" fillId="3" borderId="1" xfId="0" applyFont="1" applyFill="1" applyBorder="1" applyAlignment="1">
      <alignment horizontal="center" wrapText="1"/>
    </xf>
    <xf numFmtId="0" fontId="16" fillId="3" borderId="24" xfId="0" applyFont="1" applyFill="1" applyBorder="1" applyAlignment="1">
      <alignment horizontal="center" wrapText="1"/>
    </xf>
    <xf numFmtId="0" fontId="4" fillId="5" borderId="0" xfId="0" applyFont="1" applyFill="1" applyAlignment="1">
      <alignment horizontal="center"/>
    </xf>
    <xf numFmtId="0" fontId="9" fillId="0" borderId="0" xfId="0" applyFont="1" applyAlignment="1">
      <alignment horizontal="left"/>
    </xf>
    <xf numFmtId="0" fontId="18" fillId="3" borderId="26" xfId="0" applyFont="1" applyFill="1" applyBorder="1" applyAlignment="1">
      <alignment horizontal="center" vertical="center" textRotation="90"/>
    </xf>
    <xf numFmtId="0" fontId="18" fillId="3" borderId="27" xfId="0" applyFont="1" applyFill="1" applyBorder="1" applyAlignment="1">
      <alignment horizontal="center" vertical="center" textRotation="90"/>
    </xf>
    <xf numFmtId="0" fontId="18" fillId="3" borderId="25" xfId="0" applyFont="1" applyFill="1" applyBorder="1" applyAlignment="1">
      <alignment horizontal="center"/>
    </xf>
    <xf numFmtId="0" fontId="18" fillId="3" borderId="1" xfId="0" applyFont="1" applyFill="1" applyBorder="1" applyAlignment="1">
      <alignment horizontal="center"/>
    </xf>
    <xf numFmtId="0" fontId="18" fillId="3" borderId="24" xfId="0" applyFont="1" applyFill="1" applyBorder="1" applyAlignment="1">
      <alignment horizontal="center"/>
    </xf>
    <xf numFmtId="0" fontId="18" fillId="3" borderId="12" xfId="0" applyFont="1" applyFill="1" applyBorder="1" applyAlignment="1">
      <alignment horizontal="center" vertical="center" textRotation="90"/>
    </xf>
    <xf numFmtId="0" fontId="18" fillId="3" borderId="15" xfId="0" applyFont="1" applyFill="1" applyBorder="1" applyAlignment="1">
      <alignment horizontal="center" vertical="center" textRotation="90"/>
    </xf>
    <xf numFmtId="0" fontId="9" fillId="5" borderId="0" xfId="0" applyFont="1" applyFill="1" applyAlignment="1">
      <alignment horizontal="left"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4">
    <dxf>
      <font>
        <color rgb="FFFF0000"/>
      </font>
    </dxf>
    <dxf>
      <font>
        <color rgb="FFFF000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8</xdr:row>
      <xdr:rowOff>114300</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953000" y="885825"/>
          <a:ext cx="2800350"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mallory-rahe"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9"/>
  <sheetViews>
    <sheetView tabSelected="1" workbookViewId="0">
      <selection activeCell="A30" sqref="A30:XFD30"/>
    </sheetView>
  </sheetViews>
  <sheetFormatPr defaultColWidth="0" defaultRowHeight="16.5" customHeight="1" zeroHeight="1"/>
  <cols>
    <col min="1" max="1" width="2.83203125" style="5" customWidth="1"/>
    <col min="2" max="2" width="29.08203125" style="5" customWidth="1"/>
    <col min="3" max="3" width="32.83203125" style="5" customWidth="1"/>
    <col min="4" max="4" width="36.5" style="5" customWidth="1"/>
    <col min="5" max="5" width="3" style="5" customWidth="1"/>
    <col min="6" max="8" width="9" style="5" hidden="1" customWidth="1"/>
    <col min="9" max="13" width="0" style="5" hidden="1" customWidth="1"/>
    <col min="14" max="16384" width="9" style="5" hidden="1"/>
  </cols>
  <sheetData>
    <row r="1" spans="1:13" ht="17" thickBot="1">
      <c r="A1" s="4"/>
      <c r="B1" s="6"/>
      <c r="C1" s="6"/>
      <c r="D1" s="6"/>
      <c r="E1" s="4"/>
      <c r="F1" s="4"/>
      <c r="G1" s="4"/>
      <c r="H1" s="4"/>
      <c r="I1" s="4"/>
      <c r="J1" s="4"/>
      <c r="K1" s="4"/>
      <c r="L1" s="4"/>
      <c r="M1" s="4"/>
    </row>
    <row r="2" spans="1:13" ht="19.5" customHeight="1" thickBot="1">
      <c r="A2" s="4"/>
      <c r="B2" s="144" t="s">
        <v>88</v>
      </c>
      <c r="C2" s="145"/>
      <c r="D2" s="146"/>
      <c r="E2" s="4"/>
      <c r="F2" s="4"/>
      <c r="G2" s="4"/>
      <c r="H2" s="4"/>
    </row>
    <row r="3" spans="1:13" ht="16.5" customHeight="1">
      <c r="A3" s="4"/>
      <c r="B3" s="147" t="s">
        <v>0</v>
      </c>
      <c r="C3" s="147"/>
      <c r="D3" s="147"/>
      <c r="E3" s="4"/>
      <c r="F3" s="4"/>
      <c r="G3" s="4"/>
      <c r="H3" s="4"/>
    </row>
    <row r="4" spans="1:13">
      <c r="A4" s="4"/>
      <c r="B4" s="148"/>
      <c r="C4" s="148"/>
      <c r="D4" s="148"/>
      <c r="E4" s="4"/>
      <c r="F4" s="4"/>
      <c r="G4" s="4"/>
      <c r="H4" s="4"/>
    </row>
    <row r="5" spans="1:13">
      <c r="A5" s="4"/>
      <c r="B5" s="12" t="s">
        <v>83</v>
      </c>
      <c r="C5" s="9"/>
      <c r="D5" s="24"/>
      <c r="E5" s="4"/>
      <c r="F5" s="4"/>
      <c r="G5" s="4"/>
      <c r="H5" s="4"/>
    </row>
    <row r="6" spans="1:13" ht="16.5" customHeight="1">
      <c r="A6" s="4"/>
      <c r="B6" s="25"/>
      <c r="C6" s="25"/>
      <c r="D6" s="24"/>
      <c r="E6" s="4"/>
      <c r="F6" s="4"/>
      <c r="G6" s="4"/>
      <c r="H6" s="4"/>
    </row>
    <row r="7" spans="1:13" ht="16.5" customHeight="1">
      <c r="A7" s="4"/>
      <c r="B7" s="27" t="s">
        <v>32</v>
      </c>
      <c r="C7" s="76" t="s">
        <v>113</v>
      </c>
      <c r="D7" s="24"/>
      <c r="E7" s="4"/>
      <c r="F7" s="4"/>
      <c r="G7" s="4"/>
      <c r="H7" s="4"/>
    </row>
    <row r="8" spans="1:13" ht="8.25" customHeight="1">
      <c r="A8" s="4"/>
      <c r="B8" s="27"/>
      <c r="C8" s="25"/>
      <c r="D8" s="24"/>
      <c r="E8" s="4"/>
      <c r="F8" s="4"/>
      <c r="G8" s="4"/>
      <c r="H8" s="4"/>
    </row>
    <row r="9" spans="1:13" ht="32.5" customHeight="1">
      <c r="A9" s="4"/>
      <c r="B9" s="27" t="s">
        <v>33</v>
      </c>
      <c r="C9" s="60" t="s">
        <v>34</v>
      </c>
      <c r="D9" s="24"/>
      <c r="E9" s="4"/>
      <c r="F9" s="4"/>
      <c r="G9" s="4"/>
      <c r="H9" s="4"/>
    </row>
    <row r="10" spans="1:13" ht="16.5" customHeight="1">
      <c r="A10" s="4"/>
      <c r="B10" s="7"/>
      <c r="C10"/>
      <c r="D10" s="6"/>
      <c r="E10" s="4"/>
      <c r="F10" s="4"/>
      <c r="G10" s="4"/>
      <c r="H10" s="4"/>
    </row>
    <row r="11" spans="1:13" ht="48.75" customHeight="1">
      <c r="A11" s="4"/>
      <c r="B11" s="152" t="s">
        <v>89</v>
      </c>
      <c r="C11" s="152"/>
      <c r="D11" s="152"/>
      <c r="E11" s="4"/>
      <c r="F11" s="4"/>
      <c r="G11" s="4"/>
      <c r="H11" s="4"/>
    </row>
    <row r="12" spans="1:13" ht="19.5" customHeight="1">
      <c r="A12" s="4"/>
      <c r="B12" s="8"/>
      <c r="C12" s="8"/>
      <c r="D12" s="8"/>
      <c r="E12" s="4"/>
      <c r="F12" s="4"/>
      <c r="G12" s="4"/>
      <c r="H12" s="4"/>
    </row>
    <row r="13" spans="1:13" ht="16.5" customHeight="1">
      <c r="A13" s="4"/>
      <c r="B13" s="149" t="s">
        <v>1</v>
      </c>
      <c r="C13" s="150"/>
      <c r="D13" s="151"/>
      <c r="E13" s="4"/>
      <c r="F13" s="4"/>
      <c r="G13" s="4"/>
      <c r="H13" s="4"/>
    </row>
    <row r="14" spans="1:13" s="4" customFormat="1" ht="16.5" customHeight="1">
      <c r="B14" s="138"/>
      <c r="C14" s="138"/>
      <c r="D14" s="138"/>
    </row>
    <row r="15" spans="1:13" s="4" customFormat="1" ht="45" customHeight="1">
      <c r="B15" s="153" t="s">
        <v>131</v>
      </c>
      <c r="C15" s="153"/>
      <c r="D15" s="153"/>
    </row>
    <row r="16" spans="1:13" s="4" customFormat="1" ht="16.5" customHeight="1" thickBot="1">
      <c r="B16" s="138"/>
      <c r="C16" s="138"/>
      <c r="D16" s="138"/>
    </row>
    <row r="17" spans="1:8" ht="19" thickBot="1">
      <c r="A17" s="4"/>
      <c r="B17" s="142"/>
      <c r="C17" s="143"/>
      <c r="D17" s="143"/>
      <c r="E17" s="4"/>
      <c r="F17" s="4"/>
      <c r="G17" s="4"/>
      <c r="H17" s="4"/>
    </row>
    <row r="18" spans="1:8">
      <c r="A18" s="4"/>
      <c r="B18" s="4"/>
      <c r="C18" s="4"/>
      <c r="D18" s="4"/>
      <c r="E18" s="4"/>
      <c r="F18" s="4"/>
      <c r="G18" s="4"/>
      <c r="H18" s="4"/>
    </row>
    <row r="19" spans="1:8" hidden="1">
      <c r="A19" s="4"/>
      <c r="B19" s="4"/>
      <c r="C19" s="4"/>
      <c r="D19" s="4"/>
      <c r="E19" s="4"/>
      <c r="F19" s="4"/>
      <c r="G19" s="4"/>
      <c r="H19" s="4"/>
    </row>
    <row r="20" spans="1:8" hidden="1">
      <c r="A20" s="4"/>
      <c r="B20" s="4"/>
      <c r="C20" s="4"/>
      <c r="D20" s="4"/>
      <c r="E20" s="4"/>
      <c r="F20" s="4"/>
      <c r="G20" s="4"/>
      <c r="H20" s="4"/>
    </row>
    <row r="21" spans="1:8" hidden="1">
      <c r="A21" s="4"/>
      <c r="B21" s="4"/>
      <c r="C21" s="4"/>
      <c r="D21" s="4"/>
      <c r="E21" s="4"/>
      <c r="F21" s="4"/>
      <c r="G21" s="4"/>
      <c r="H21" s="4"/>
    </row>
    <row r="22" spans="1:8" hidden="1">
      <c r="A22" s="4"/>
      <c r="B22" s="4"/>
      <c r="C22" s="4"/>
      <c r="D22" s="4"/>
      <c r="E22" s="4"/>
      <c r="F22" s="4"/>
      <c r="G22" s="4"/>
      <c r="H22" s="4"/>
    </row>
    <row r="23" spans="1:8" hidden="1">
      <c r="A23" s="4"/>
      <c r="B23" s="4"/>
      <c r="C23" s="4"/>
      <c r="D23" s="4"/>
      <c r="E23" s="4"/>
      <c r="F23" s="4"/>
      <c r="G23" s="4"/>
      <c r="H23" s="4"/>
    </row>
    <row r="24" spans="1:8" hidden="1">
      <c r="A24" s="4"/>
      <c r="B24" s="4"/>
      <c r="C24" s="4"/>
      <c r="D24" s="4"/>
      <c r="E24" s="4"/>
      <c r="F24" s="4"/>
      <c r="G24" s="4"/>
      <c r="H24" s="4"/>
    </row>
    <row r="25" spans="1:8" hidden="1">
      <c r="A25" s="4"/>
      <c r="B25" s="4"/>
      <c r="C25" s="4"/>
      <c r="D25" s="4"/>
      <c r="E25" s="4"/>
      <c r="F25" s="4"/>
      <c r="G25" s="4"/>
      <c r="H25" s="4"/>
    </row>
    <row r="26" spans="1:8" hidden="1">
      <c r="A26" s="4"/>
      <c r="B26" s="4"/>
      <c r="C26" s="4"/>
      <c r="D26" s="4"/>
      <c r="E26" s="4"/>
      <c r="F26" s="4"/>
      <c r="G26" s="4"/>
      <c r="H26" s="4"/>
    </row>
    <row r="27" spans="1:8" hidden="1">
      <c r="A27" s="4"/>
    </row>
    <row r="28" spans="1:8" hidden="1">
      <c r="A28" s="4"/>
    </row>
    <row r="29" spans="1:8" hidden="1">
      <c r="A29" s="4"/>
    </row>
  </sheetData>
  <sheetProtection sheet="1" objects="1" scenarios="1"/>
  <mergeCells count="7">
    <mergeCell ref="B17:D17"/>
    <mergeCell ref="B2:D2"/>
    <mergeCell ref="B3:D3"/>
    <mergeCell ref="B4:D4"/>
    <mergeCell ref="B13:D13"/>
    <mergeCell ref="B11:D11"/>
    <mergeCell ref="B15:D15"/>
  </mergeCells>
  <hyperlinks>
    <hyperlink ref="C9" r:id="rId1" xr:uid="{60F8126B-D46E-4ABD-986C-B44783A3E7CD}"/>
    <hyperlink ref="C7" r:id="rId2" xr:uid="{06C85C62-FB7F-498C-A8B3-E7F8E27655EA}"/>
  </hyperlinks>
  <pageMargins left="0.7" right="0.7" top="0.75" bottom="0.75" header="0.3" footer="0.3"/>
  <pageSetup scale="8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K79"/>
  <sheetViews>
    <sheetView showGridLines="0" zoomScaleNormal="100" workbookViewId="0">
      <selection activeCell="I29" sqref="I29"/>
    </sheetView>
  </sheetViews>
  <sheetFormatPr defaultColWidth="0" defaultRowHeight="15.5" zeroHeight="1"/>
  <cols>
    <col min="1" max="1" width="3" style="1" customWidth="1"/>
    <col min="2" max="2" width="1.5" style="77" customWidth="1"/>
    <col min="3" max="3" width="30.83203125" style="77" customWidth="1"/>
    <col min="4" max="4" width="13.83203125" style="77" customWidth="1"/>
    <col min="5" max="5" width="11.5" style="77" customWidth="1"/>
    <col min="6" max="6" width="13.08203125" style="77" customWidth="1"/>
    <col min="7" max="7" width="16.5" style="77" customWidth="1"/>
    <col min="8" max="8" width="14.83203125" style="77" customWidth="1"/>
    <col min="9" max="9" width="9.33203125" style="77" customWidth="1"/>
    <col min="10" max="10" width="9" style="77" hidden="1" customWidth="1"/>
    <col min="11" max="11" width="10" style="77" hidden="1" customWidth="1"/>
    <col min="12" max="16384" width="9" style="77" hidden="1"/>
  </cols>
  <sheetData>
    <row r="1" spans="1:8" s="1" customFormat="1" ht="21.75" customHeight="1">
      <c r="B1" s="157" t="s">
        <v>87</v>
      </c>
      <c r="C1" s="158"/>
      <c r="D1" s="158"/>
      <c r="E1" s="158"/>
      <c r="F1" s="158"/>
      <c r="G1" s="159"/>
      <c r="H1" s="28"/>
    </row>
    <row r="2" spans="1:8" s="1" customFormat="1" ht="16" customHeight="1">
      <c r="A2" s="13"/>
      <c r="B2" s="61" t="s">
        <v>12</v>
      </c>
      <c r="C2" s="61"/>
      <c r="D2" s="61" t="s">
        <v>3</v>
      </c>
      <c r="E2" s="62" t="s">
        <v>4</v>
      </c>
      <c r="F2" s="62" t="s">
        <v>35</v>
      </c>
      <c r="G2" s="62" t="s">
        <v>36</v>
      </c>
      <c r="H2" s="15"/>
    </row>
    <row r="3" spans="1:8" s="1" customFormat="1" ht="16" customHeight="1">
      <c r="A3" s="13"/>
      <c r="B3" s="9" t="s">
        <v>90</v>
      </c>
      <c r="C3" s="9"/>
      <c r="D3" s="3" t="s">
        <v>91</v>
      </c>
      <c r="E3" s="63">
        <v>1200</v>
      </c>
      <c r="F3" s="64">
        <v>20.13</v>
      </c>
      <c r="G3" s="16">
        <f>E3*F3</f>
        <v>24156</v>
      </c>
      <c r="H3" s="9"/>
    </row>
    <row r="4" spans="1:8" s="1" customFormat="1" ht="16" customHeight="1">
      <c r="A4" s="13"/>
      <c r="B4" s="13"/>
      <c r="C4" s="14" t="s">
        <v>13</v>
      </c>
      <c r="D4"/>
      <c r="E4" s="9"/>
      <c r="F4" s="9"/>
      <c r="G4" s="10">
        <f>G3</f>
        <v>24156</v>
      </c>
      <c r="H4" s="9"/>
    </row>
    <row r="5" spans="1:8" s="1" customFormat="1" ht="16" customHeight="1">
      <c r="A5" s="13"/>
      <c r="B5" s="65" t="s">
        <v>14</v>
      </c>
      <c r="C5" s="65"/>
      <c r="D5" s="61" t="s">
        <v>3</v>
      </c>
      <c r="E5" s="62" t="s">
        <v>4</v>
      </c>
      <c r="F5" s="62" t="s">
        <v>35</v>
      </c>
      <c r="G5" s="62" t="s">
        <v>36</v>
      </c>
      <c r="H5" s="15"/>
    </row>
    <row r="6" spans="1:8" s="1" customFormat="1" ht="16" customHeight="1">
      <c r="A6" s="13"/>
      <c r="B6" s="9" t="s">
        <v>37</v>
      </c>
      <c r="C6" s="9"/>
      <c r="D6" s="3" t="s">
        <v>84</v>
      </c>
      <c r="E6" s="63">
        <v>7.0140000000000002</v>
      </c>
      <c r="F6" s="64">
        <v>124.8</v>
      </c>
      <c r="G6" s="10">
        <f>E6*F6</f>
        <v>875.34720000000004</v>
      </c>
      <c r="H6" s="9"/>
    </row>
    <row r="7" spans="1:8" s="1" customFormat="1" ht="16" customHeight="1">
      <c r="A7" s="13"/>
      <c r="B7" s="9" t="s">
        <v>38</v>
      </c>
      <c r="C7" s="9"/>
      <c r="D7" s="3"/>
      <c r="E7" s="66"/>
      <c r="F7" s="67"/>
      <c r="G7" s="10"/>
      <c r="H7" s="9"/>
    </row>
    <row r="8" spans="1:8" s="1" customFormat="1" ht="16" customHeight="1">
      <c r="A8" s="13"/>
      <c r="B8" s="9"/>
      <c r="C8" s="9" t="s">
        <v>39</v>
      </c>
      <c r="D8" s="3" t="s">
        <v>8</v>
      </c>
      <c r="E8" s="63">
        <v>30</v>
      </c>
      <c r="F8" s="64">
        <v>0.45</v>
      </c>
      <c r="G8" s="10">
        <f>E8*F8</f>
        <v>13.5</v>
      </c>
      <c r="H8" s="9"/>
    </row>
    <row r="9" spans="1:8" s="1" customFormat="1" ht="16" customHeight="1">
      <c r="A9" s="13"/>
      <c r="B9" s="9"/>
      <c r="C9" s="9" t="s">
        <v>40</v>
      </c>
      <c r="D9" s="3" t="s">
        <v>8</v>
      </c>
      <c r="E9" s="63">
        <v>80</v>
      </c>
      <c r="F9" s="64">
        <v>0.45</v>
      </c>
      <c r="G9" s="10">
        <f>E9*F9</f>
        <v>36</v>
      </c>
      <c r="H9" s="9"/>
    </row>
    <row r="10" spans="1:8" s="1" customFormat="1" ht="16" customHeight="1">
      <c r="A10" s="13"/>
      <c r="B10" s="9"/>
      <c r="C10" s="9" t="s">
        <v>43</v>
      </c>
      <c r="D10" s="3" t="s">
        <v>8</v>
      </c>
      <c r="E10" s="63">
        <v>200</v>
      </c>
      <c r="F10" s="64">
        <v>0.55000000000000004</v>
      </c>
      <c r="G10" s="10">
        <f>E10*F10</f>
        <v>110.00000000000001</v>
      </c>
      <c r="H10" s="9"/>
    </row>
    <row r="11" spans="1:8" s="1" customFormat="1" ht="16" customHeight="1">
      <c r="A11" s="13"/>
      <c r="B11" s="9"/>
      <c r="C11" s="9" t="s">
        <v>44</v>
      </c>
      <c r="D11" s="3" t="s">
        <v>8</v>
      </c>
      <c r="E11" s="63">
        <v>175</v>
      </c>
      <c r="F11" s="64">
        <v>0.38</v>
      </c>
      <c r="G11" s="10">
        <f>E11*F11</f>
        <v>66.5</v>
      </c>
      <c r="H11" s="9"/>
    </row>
    <row r="12" spans="1:8" s="1" customFormat="1" ht="16" customHeight="1">
      <c r="A12" s="13"/>
      <c r="B12" s="9"/>
      <c r="C12" s="9" t="s">
        <v>45</v>
      </c>
      <c r="D12" s="3" t="s">
        <v>7</v>
      </c>
      <c r="E12" s="63">
        <v>0.5</v>
      </c>
      <c r="F12" s="64">
        <v>30</v>
      </c>
      <c r="G12" s="10">
        <f>E12*F12</f>
        <v>15</v>
      </c>
      <c r="H12" s="9"/>
    </row>
    <row r="13" spans="1:8" s="1" customFormat="1" ht="16" customHeight="1">
      <c r="A13" s="13"/>
      <c r="B13" s="9" t="s">
        <v>51</v>
      </c>
      <c r="C13" s="9"/>
      <c r="D13" s="3"/>
      <c r="E13" s="66"/>
      <c r="F13" s="68"/>
      <c r="G13" s="10"/>
      <c r="H13" s="9"/>
    </row>
    <row r="14" spans="1:8" s="1" customFormat="1" ht="16" customHeight="1">
      <c r="A14" s="13"/>
      <c r="B14" s="9"/>
      <c r="C14" s="69" t="s">
        <v>92</v>
      </c>
      <c r="D14" s="70" t="s">
        <v>46</v>
      </c>
      <c r="E14" s="63">
        <v>1.25</v>
      </c>
      <c r="F14" s="64">
        <v>9</v>
      </c>
      <c r="G14" s="10">
        <f>E14*F14</f>
        <v>11.25</v>
      </c>
      <c r="H14" s="9"/>
    </row>
    <row r="15" spans="1:8" s="1" customFormat="1" ht="16" customHeight="1">
      <c r="A15" s="13"/>
      <c r="B15" s="9"/>
      <c r="C15" s="69" t="s">
        <v>93</v>
      </c>
      <c r="D15" s="70" t="s">
        <v>48</v>
      </c>
      <c r="E15" s="63">
        <v>64</v>
      </c>
      <c r="F15" s="64">
        <v>0.19</v>
      </c>
      <c r="G15" s="10">
        <f>E15*F15</f>
        <v>12.16</v>
      </c>
      <c r="H15" s="9"/>
    </row>
    <row r="16" spans="1:8" s="1" customFormat="1" ht="16" customHeight="1">
      <c r="A16" s="13"/>
      <c r="B16" s="9" t="s">
        <v>52</v>
      </c>
      <c r="C16" s="9"/>
      <c r="D16" s="3"/>
      <c r="E16" s="66"/>
      <c r="F16" s="68"/>
      <c r="G16" s="10"/>
      <c r="H16" s="9"/>
    </row>
    <row r="17" spans="1:11" s="1" customFormat="1" ht="16" customHeight="1">
      <c r="A17" s="13"/>
      <c r="B17" s="9"/>
      <c r="C17" s="69" t="s">
        <v>94</v>
      </c>
      <c r="D17" s="70" t="s">
        <v>8</v>
      </c>
      <c r="E17" s="63">
        <v>0.67</v>
      </c>
      <c r="F17" s="64">
        <v>7.05</v>
      </c>
      <c r="G17" s="10">
        <f t="shared" ref="G17:G23" si="0">E17*F17</f>
        <v>4.7235000000000005</v>
      </c>
      <c r="H17" s="9"/>
    </row>
    <row r="18" spans="1:11" s="1" customFormat="1" ht="16" customHeight="1">
      <c r="A18" s="13"/>
      <c r="B18" s="9"/>
      <c r="C18" s="69" t="s">
        <v>95</v>
      </c>
      <c r="D18" s="70" t="s">
        <v>48</v>
      </c>
      <c r="E18" s="63">
        <v>8</v>
      </c>
      <c r="F18" s="64">
        <v>6.41</v>
      </c>
      <c r="G18" s="10">
        <f t="shared" si="0"/>
        <v>51.28</v>
      </c>
      <c r="H18" s="9"/>
    </row>
    <row r="19" spans="1:11" s="1" customFormat="1" ht="16" customHeight="1">
      <c r="A19" s="13"/>
      <c r="B19" s="9"/>
      <c r="C19" s="69" t="s">
        <v>96</v>
      </c>
      <c r="D19" s="70" t="s">
        <v>48</v>
      </c>
      <c r="E19" s="63">
        <v>4</v>
      </c>
      <c r="F19" s="64">
        <v>1.48</v>
      </c>
      <c r="G19" s="10">
        <f t="shared" si="0"/>
        <v>5.92</v>
      </c>
      <c r="H19" s="9"/>
    </row>
    <row r="20" spans="1:11" s="1" customFormat="1" ht="16" customHeight="1">
      <c r="A20" s="13"/>
      <c r="B20" s="9"/>
      <c r="C20" s="69" t="s">
        <v>47</v>
      </c>
      <c r="D20" s="70" t="s">
        <v>49</v>
      </c>
      <c r="E20" s="63">
        <v>0</v>
      </c>
      <c r="F20" s="64">
        <v>0</v>
      </c>
      <c r="G20" s="10">
        <f t="shared" si="0"/>
        <v>0</v>
      </c>
      <c r="H20" s="9"/>
    </row>
    <row r="21" spans="1:11" s="1" customFormat="1" ht="16" customHeight="1">
      <c r="A21" s="13"/>
      <c r="B21" s="9" t="s">
        <v>53</v>
      </c>
      <c r="C21" s="9"/>
      <c r="D21" s="3"/>
      <c r="E21" s="66"/>
      <c r="F21" s="67"/>
      <c r="G21" s="10"/>
      <c r="H21" s="9"/>
    </row>
    <row r="22" spans="1:11" s="1" customFormat="1" ht="16" customHeight="1">
      <c r="A22" s="13"/>
      <c r="B22"/>
      <c r="C22" s="69" t="s">
        <v>97</v>
      </c>
      <c r="D22" s="70" t="s">
        <v>8</v>
      </c>
      <c r="E22" s="63">
        <v>4.5</v>
      </c>
      <c r="F22" s="64">
        <v>8.5</v>
      </c>
      <c r="G22" s="10">
        <f>E22*F22</f>
        <v>38.25</v>
      </c>
      <c r="H22" s="9"/>
    </row>
    <row r="23" spans="1:11" s="1" customFormat="1" ht="16" customHeight="1">
      <c r="A23" s="13"/>
      <c r="B23" s="9"/>
      <c r="C23" s="69" t="s">
        <v>50</v>
      </c>
      <c r="D23" s="70" t="s">
        <v>48</v>
      </c>
      <c r="E23" s="63">
        <v>18.600000000000001</v>
      </c>
      <c r="F23" s="64">
        <v>1.17</v>
      </c>
      <c r="G23" s="10">
        <f t="shared" si="0"/>
        <v>21.762</v>
      </c>
      <c r="H23" s="9"/>
    </row>
    <row r="24" spans="1:11" s="1" customFormat="1" ht="16" customHeight="1">
      <c r="A24" s="13"/>
      <c r="B24" s="9" t="s">
        <v>41</v>
      </c>
      <c r="C24" s="9"/>
      <c r="D24" s="3" t="s">
        <v>54</v>
      </c>
      <c r="E24" s="63">
        <v>1.2</v>
      </c>
      <c r="F24" s="64">
        <v>80.31</v>
      </c>
      <c r="G24" s="10">
        <f>E24*F24</f>
        <v>96.372</v>
      </c>
      <c r="H24" s="9"/>
    </row>
    <row r="25" spans="1:11" s="1" customFormat="1" ht="16" customHeight="1">
      <c r="A25" s="13"/>
      <c r="B25" s="9" t="s">
        <v>55</v>
      </c>
      <c r="C25" s="9"/>
      <c r="D25" s="3" t="s">
        <v>54</v>
      </c>
      <c r="E25" s="63">
        <v>1.8</v>
      </c>
      <c r="F25" s="64">
        <v>179.95</v>
      </c>
      <c r="G25" s="10">
        <f>E25*F25</f>
        <v>323.90999999999997</v>
      </c>
      <c r="H25" s="9"/>
    </row>
    <row r="26" spans="1:11" s="1" customFormat="1" ht="16" customHeight="1">
      <c r="A26" s="13"/>
      <c r="B26" s="9" t="s">
        <v>98</v>
      </c>
      <c r="C26" s="9"/>
      <c r="D26" s="3" t="s">
        <v>5</v>
      </c>
      <c r="E26" s="63">
        <v>1200</v>
      </c>
      <c r="F26" s="64">
        <v>1.35</v>
      </c>
      <c r="G26" s="10">
        <f>E26*F26</f>
        <v>1620</v>
      </c>
      <c r="H26" s="9"/>
      <c r="J26" s="2"/>
      <c r="K26" s="2"/>
    </row>
    <row r="27" spans="1:11" s="1" customFormat="1" ht="16" customHeight="1">
      <c r="A27" s="13"/>
      <c r="B27" s="9" t="s">
        <v>42</v>
      </c>
      <c r="C27" s="9"/>
      <c r="D27" s="3"/>
      <c r="E27" s="66"/>
      <c r="F27" s="9"/>
      <c r="G27" s="10"/>
      <c r="H27" s="9"/>
      <c r="J27" s="2"/>
      <c r="K27" s="2"/>
    </row>
    <row r="28" spans="1:11" s="1" customFormat="1" ht="16" customHeight="1">
      <c r="A28" s="13"/>
      <c r="B28" s="9"/>
      <c r="C28" s="71" t="s">
        <v>112</v>
      </c>
      <c r="D28" s="3" t="s">
        <v>58</v>
      </c>
      <c r="E28" s="72">
        <f>F67</f>
        <v>7.338000000000001</v>
      </c>
      <c r="F28" s="64">
        <v>18</v>
      </c>
      <c r="G28" s="10">
        <f t="shared" ref="G28:G33" si="1">E28*F28</f>
        <v>132.084</v>
      </c>
      <c r="H28" s="9"/>
      <c r="J28" s="2"/>
      <c r="K28" s="2"/>
    </row>
    <row r="29" spans="1:11" s="1" customFormat="1" ht="16" customHeight="1">
      <c r="A29" s="13"/>
      <c r="B29" s="9"/>
      <c r="C29" s="9" t="s">
        <v>56</v>
      </c>
      <c r="D29" s="3" t="s">
        <v>58</v>
      </c>
      <c r="E29" s="63">
        <v>25</v>
      </c>
      <c r="F29" s="64">
        <v>18</v>
      </c>
      <c r="G29" s="10">
        <f t="shared" si="1"/>
        <v>450</v>
      </c>
      <c r="H29" s="9"/>
      <c r="J29" s="2"/>
      <c r="K29" s="2"/>
    </row>
    <row r="30" spans="1:11" s="1" customFormat="1" ht="16" customHeight="1">
      <c r="A30" s="13"/>
      <c r="B30"/>
      <c r="C30" s="9" t="s">
        <v>107</v>
      </c>
      <c r="D30" s="3" t="s">
        <v>58</v>
      </c>
      <c r="E30" s="63">
        <v>125</v>
      </c>
      <c r="F30" s="64">
        <v>18</v>
      </c>
      <c r="G30" s="10">
        <f t="shared" si="1"/>
        <v>2250</v>
      </c>
      <c r="H30" s="9"/>
      <c r="J30" s="2"/>
      <c r="K30" s="2"/>
    </row>
    <row r="31" spans="1:11" s="1" customFormat="1" ht="16" customHeight="1">
      <c r="A31" s="13"/>
      <c r="B31"/>
      <c r="C31" s="9" t="s">
        <v>106</v>
      </c>
      <c r="D31" s="3" t="s">
        <v>58</v>
      </c>
      <c r="E31" s="63">
        <v>170</v>
      </c>
      <c r="F31" s="64">
        <v>18</v>
      </c>
      <c r="G31" s="10">
        <f t="shared" si="1"/>
        <v>3060</v>
      </c>
      <c r="H31" s="9"/>
      <c r="J31" s="2"/>
      <c r="K31" s="2"/>
    </row>
    <row r="32" spans="1:11" s="1" customFormat="1" ht="16" customHeight="1">
      <c r="A32" s="13"/>
      <c r="B32"/>
      <c r="C32" s="9" t="s">
        <v>57</v>
      </c>
      <c r="D32" s="3" t="s">
        <v>58</v>
      </c>
      <c r="E32" s="63">
        <v>18</v>
      </c>
      <c r="F32" s="64">
        <v>18</v>
      </c>
      <c r="G32" s="10">
        <f t="shared" si="1"/>
        <v>324</v>
      </c>
      <c r="H32" s="9"/>
      <c r="J32" s="2"/>
      <c r="K32" s="2"/>
    </row>
    <row r="33" spans="1:11" s="1" customFormat="1" ht="16" customHeight="1">
      <c r="A33" s="13"/>
      <c r="B33" s="9"/>
      <c r="C33" s="9" t="s">
        <v>47</v>
      </c>
      <c r="D33" s="3" t="s">
        <v>58</v>
      </c>
      <c r="E33" s="63">
        <v>5</v>
      </c>
      <c r="F33" s="64">
        <v>18</v>
      </c>
      <c r="G33" s="10">
        <f t="shared" si="1"/>
        <v>90</v>
      </c>
      <c r="H33" s="9"/>
      <c r="J33" s="2"/>
      <c r="K33" s="2"/>
    </row>
    <row r="34" spans="1:11" s="1" customFormat="1" ht="16" customHeight="1">
      <c r="A34" s="13"/>
      <c r="B34" s="114" t="s">
        <v>59</v>
      </c>
      <c r="C34" s="114"/>
      <c r="D34" s="3" t="s">
        <v>6</v>
      </c>
      <c r="E34" s="66"/>
      <c r="F34" s="68"/>
      <c r="G34" s="10">
        <f>G67</f>
        <v>207.14523127884945</v>
      </c>
      <c r="H34" s="9"/>
      <c r="J34" s="2"/>
      <c r="K34" s="2"/>
    </row>
    <row r="35" spans="1:11" s="1" customFormat="1" ht="16" customHeight="1">
      <c r="A35" s="13"/>
      <c r="B35" s="114" t="s">
        <v>128</v>
      </c>
      <c r="C35" s="114"/>
      <c r="D35" s="3" t="s">
        <v>120</v>
      </c>
      <c r="E35" s="63">
        <v>0</v>
      </c>
      <c r="F35" s="64">
        <v>0</v>
      </c>
      <c r="G35" s="10">
        <f>F35*E35</f>
        <v>0</v>
      </c>
      <c r="H35" s="9"/>
      <c r="J35" s="2"/>
      <c r="K35" s="2"/>
    </row>
    <row r="36" spans="1:11" s="1" customFormat="1" ht="16" customHeight="1">
      <c r="A36" s="13"/>
      <c r="B36" s="114" t="s">
        <v>60</v>
      </c>
      <c r="C36" s="114"/>
      <c r="D36" s="3" t="s">
        <v>58</v>
      </c>
      <c r="E36" s="63">
        <v>90</v>
      </c>
      <c r="F36" s="64">
        <v>0.49</v>
      </c>
      <c r="G36" s="10">
        <f>E36*F36</f>
        <v>44.1</v>
      </c>
      <c r="H36" s="9"/>
      <c r="J36" s="2"/>
      <c r="K36" s="2"/>
    </row>
    <row r="37" spans="1:11" s="1" customFormat="1" ht="16" customHeight="1">
      <c r="A37" s="13"/>
      <c r="B37" s="9" t="s">
        <v>61</v>
      </c>
      <c r="C37" s="9"/>
      <c r="D37" s="3" t="s">
        <v>6</v>
      </c>
      <c r="E37" s="66"/>
      <c r="F37" s="68"/>
      <c r="G37" s="10">
        <f>H77</f>
        <v>271.15999999999997</v>
      </c>
      <c r="H37" s="9"/>
      <c r="J37" s="2"/>
      <c r="K37" s="2"/>
    </row>
    <row r="38" spans="1:11" s="1" customFormat="1" ht="16" customHeight="1">
      <c r="A38" s="13"/>
      <c r="B38" s="9" t="s">
        <v>62</v>
      </c>
      <c r="C38" s="9"/>
      <c r="D38" s="73" t="s">
        <v>30</v>
      </c>
      <c r="E38" s="66">
        <f>G4</f>
        <v>24156</v>
      </c>
      <c r="F38" s="74">
        <v>0.1</v>
      </c>
      <c r="G38" s="10">
        <f>E38*F38</f>
        <v>2415.6</v>
      </c>
      <c r="H38" s="9"/>
    </row>
    <row r="39" spans="1:11" s="1" customFormat="1" ht="16" customHeight="1">
      <c r="B39" s="71" t="s">
        <v>31</v>
      </c>
      <c r="C39" s="11"/>
      <c r="D39" s="3" t="s">
        <v>9</v>
      </c>
      <c r="E39" s="63">
        <v>6</v>
      </c>
      <c r="F39" s="75">
        <v>7.7499999999999999E-2</v>
      </c>
      <c r="G39" s="16">
        <f>(SUM(G6:G38))*F39*E39/12</f>
        <v>486.15997733705541</v>
      </c>
      <c r="H39" s="9"/>
    </row>
    <row r="40" spans="1:11" ht="16" customHeight="1">
      <c r="C40" s="78" t="s">
        <v>15</v>
      </c>
      <c r="D40" s="79"/>
      <c r="E40" s="80"/>
      <c r="F40" s="81"/>
      <c r="G40" s="82">
        <f>SUM(G6:G39)</f>
        <v>13032.223908615906</v>
      </c>
      <c r="H40" s="82"/>
    </row>
    <row r="41" spans="1:11" ht="16" customHeight="1">
      <c r="B41" s="83" t="s">
        <v>16</v>
      </c>
      <c r="C41" s="83"/>
      <c r="D41" s="84" t="s">
        <v>3</v>
      </c>
      <c r="E41" s="85"/>
      <c r="F41" s="85"/>
      <c r="G41" s="85" t="s">
        <v>85</v>
      </c>
      <c r="H41" s="86"/>
    </row>
    <row r="42" spans="1:11" ht="16" customHeight="1">
      <c r="B42" s="81" t="s">
        <v>63</v>
      </c>
      <c r="C42" s="81"/>
      <c r="D42" s="79" t="s">
        <v>6</v>
      </c>
      <c r="E42" s="81"/>
      <c r="F42" s="81"/>
      <c r="G42" s="87">
        <v>185</v>
      </c>
      <c r="H42" s="81"/>
    </row>
    <row r="43" spans="1:11" ht="16" customHeight="1">
      <c r="B43" s="81" t="s">
        <v>64</v>
      </c>
      <c r="C43" s="81"/>
      <c r="D43" s="79" t="s">
        <v>6</v>
      </c>
      <c r="E43" s="81"/>
      <c r="F43" s="81"/>
      <c r="G43" s="82">
        <f>H67</f>
        <v>88.216198482337489</v>
      </c>
      <c r="H43" s="81"/>
    </row>
    <row r="44" spans="1:11" ht="16" customHeight="1">
      <c r="B44" s="81" t="s">
        <v>111</v>
      </c>
      <c r="C44" s="81"/>
      <c r="D44" s="79" t="s">
        <v>6</v>
      </c>
      <c r="E44" s="81"/>
      <c r="F44" s="81"/>
      <c r="G44" s="129">
        <f>E77</f>
        <v>251.16000000000003</v>
      </c>
    </row>
    <row r="45" spans="1:11" ht="16" customHeight="1">
      <c r="C45" s="78" t="s">
        <v>17</v>
      </c>
      <c r="E45" s="81"/>
      <c r="F45" s="81"/>
      <c r="G45" s="82">
        <f>SUM(G42:G44)</f>
        <v>524.37619848233749</v>
      </c>
      <c r="H45" s="81"/>
    </row>
    <row r="46" spans="1:11" ht="16" customHeight="1">
      <c r="B46" s="88"/>
      <c r="C46" s="78" t="s">
        <v>10</v>
      </c>
      <c r="D46" s="88"/>
      <c r="E46" s="81"/>
      <c r="F46" s="81"/>
      <c r="G46" s="82">
        <f>G40+G45</f>
        <v>13556.600107098244</v>
      </c>
      <c r="H46" s="82"/>
    </row>
    <row r="47" spans="1:11" ht="16" customHeight="1">
      <c r="B47" s="115" t="s">
        <v>18</v>
      </c>
      <c r="C47" s="115"/>
      <c r="D47" s="115"/>
      <c r="E47" s="89"/>
      <c r="F47" s="89"/>
      <c r="G47" s="90">
        <f>G4-G40</f>
        <v>11123.776091384094</v>
      </c>
      <c r="H47" s="82"/>
    </row>
    <row r="48" spans="1:11" ht="16" customHeight="1">
      <c r="B48" s="117" t="s">
        <v>127</v>
      </c>
      <c r="C48" s="117"/>
      <c r="D48" s="117"/>
      <c r="E48" s="81"/>
      <c r="F48" s="81"/>
      <c r="G48" s="82">
        <f>G4-(G46-(G42+SUM(G28:G33)))</f>
        <v>17090.483892901757</v>
      </c>
      <c r="H48" s="82"/>
    </row>
    <row r="49" spans="1:8" ht="16" customHeight="1" thickBot="1">
      <c r="B49" s="116" t="s">
        <v>11</v>
      </c>
      <c r="C49" s="116"/>
      <c r="D49" s="116"/>
      <c r="E49" s="91"/>
      <c r="F49" s="91"/>
      <c r="G49" s="92">
        <f>G4-G46</f>
        <v>10599.399892901756</v>
      </c>
      <c r="H49" s="82"/>
    </row>
    <row r="50" spans="1:8" ht="16" thickTop="1">
      <c r="B50" s="156" t="s">
        <v>114</v>
      </c>
      <c r="C50" s="156"/>
      <c r="D50" s="156"/>
      <c r="E50" s="156"/>
      <c r="F50" s="156"/>
      <c r="G50" s="156"/>
      <c r="H50" s="93"/>
    </row>
    <row r="51" spans="1:8" ht="16" customHeight="1">
      <c r="B51" s="155" t="s">
        <v>115</v>
      </c>
      <c r="C51" s="155"/>
      <c r="D51" s="155"/>
      <c r="E51" s="155"/>
      <c r="F51" s="155"/>
      <c r="G51" s="155"/>
    </row>
    <row r="52" spans="1:8" ht="16" customHeight="1">
      <c r="C52" s="94"/>
    </row>
    <row r="53" spans="1:8" ht="16" customHeight="1">
      <c r="A53"/>
      <c r="B53" s="88" t="s">
        <v>132</v>
      </c>
      <c r="C53" s="88"/>
      <c r="D53" s="88"/>
      <c r="E53" s="88"/>
      <c r="F53" s="95"/>
      <c r="G53" s="95"/>
      <c r="H53" s="88"/>
    </row>
    <row r="54" spans="1:8" ht="16" customHeight="1">
      <c r="A54"/>
      <c r="C54" s="77" t="s">
        <v>65</v>
      </c>
      <c r="D54" s="77" t="s">
        <v>76</v>
      </c>
      <c r="E54" s="96" t="s">
        <v>66</v>
      </c>
      <c r="F54" s="97" t="s">
        <v>42</v>
      </c>
      <c r="G54" s="97" t="s">
        <v>116</v>
      </c>
      <c r="H54" s="96" t="s">
        <v>117</v>
      </c>
    </row>
    <row r="55" spans="1:8" ht="16" customHeight="1">
      <c r="A55"/>
      <c r="B55" s="88"/>
      <c r="C55" s="88"/>
      <c r="D55" s="88"/>
      <c r="E55" s="88"/>
      <c r="F55" s="98" t="s">
        <v>82</v>
      </c>
      <c r="G55" s="98" t="s">
        <v>67</v>
      </c>
      <c r="H55" s="99" t="s">
        <v>67</v>
      </c>
    </row>
    <row r="56" spans="1:8" ht="16" customHeight="1">
      <c r="A56"/>
      <c r="C56" s="100" t="s">
        <v>69</v>
      </c>
      <c r="D56" s="100" t="s">
        <v>68</v>
      </c>
      <c r="E56" s="100">
        <v>2</v>
      </c>
      <c r="F56" s="101">
        <v>0.19800000000000001</v>
      </c>
      <c r="G56" s="102">
        <v>12.02</v>
      </c>
      <c r="H56" s="102">
        <v>3.68</v>
      </c>
    </row>
    <row r="57" spans="1:8" ht="16" customHeight="1">
      <c r="A57"/>
      <c r="C57" s="100" t="s">
        <v>99</v>
      </c>
      <c r="D57" s="100" t="s">
        <v>68</v>
      </c>
      <c r="E57" s="100">
        <v>1</v>
      </c>
      <c r="F57" s="100">
        <v>0.08</v>
      </c>
      <c r="G57" s="103">
        <v>1.93</v>
      </c>
      <c r="H57" s="103">
        <v>0.83</v>
      </c>
    </row>
    <row r="58" spans="1:8" ht="16" customHeight="1">
      <c r="A58"/>
      <c r="C58" s="100" t="s">
        <v>100</v>
      </c>
      <c r="D58" s="100" t="s">
        <v>68</v>
      </c>
      <c r="E58" s="100">
        <v>2</v>
      </c>
      <c r="F58" s="100">
        <v>0.14000000000000001</v>
      </c>
      <c r="G58" s="103">
        <v>3.67</v>
      </c>
      <c r="H58" s="103">
        <v>1.69</v>
      </c>
    </row>
    <row r="59" spans="1:8" ht="16" customHeight="1">
      <c r="A59"/>
      <c r="C59" s="100" t="s">
        <v>70</v>
      </c>
      <c r="D59" s="100" t="s">
        <v>68</v>
      </c>
      <c r="E59" s="100">
        <v>1</v>
      </c>
      <c r="F59" s="104">
        <v>1.0780000000000001</v>
      </c>
      <c r="G59" s="105">
        <v>31.000336410940687</v>
      </c>
      <c r="H59" s="102">
        <v>15.253742637815803</v>
      </c>
    </row>
    <row r="60" spans="1:8" ht="16" customHeight="1">
      <c r="A60"/>
      <c r="C60" s="100" t="s">
        <v>71</v>
      </c>
      <c r="D60" s="100" t="s">
        <v>68</v>
      </c>
      <c r="E60" s="100">
        <v>7</v>
      </c>
      <c r="F60" s="101">
        <v>6.2E-2</v>
      </c>
      <c r="G60" s="102">
        <v>1.2321278382726819</v>
      </c>
      <c r="H60" s="102">
        <v>0.51749369207452656</v>
      </c>
    </row>
    <row r="61" spans="1:8" ht="16" customHeight="1">
      <c r="A61"/>
      <c r="C61" s="100" t="s">
        <v>101</v>
      </c>
      <c r="D61" s="100" t="s">
        <v>68</v>
      </c>
      <c r="E61" s="100">
        <v>1</v>
      </c>
      <c r="F61" s="101">
        <v>1.59</v>
      </c>
      <c r="G61" s="102">
        <v>42.57</v>
      </c>
      <c r="H61" s="102">
        <v>22.94</v>
      </c>
    </row>
    <row r="62" spans="1:8" ht="16" customHeight="1">
      <c r="A62"/>
      <c r="C62" s="100" t="s">
        <v>102</v>
      </c>
      <c r="D62" s="100" t="s">
        <v>68</v>
      </c>
      <c r="E62" s="100">
        <v>2</v>
      </c>
      <c r="F62" s="101">
        <v>0.6</v>
      </c>
      <c r="G62" s="102">
        <v>8.11</v>
      </c>
      <c r="H62" s="102">
        <v>3.09</v>
      </c>
    </row>
    <row r="63" spans="1:8" ht="16" customHeight="1">
      <c r="A63"/>
      <c r="C63" s="100" t="s">
        <v>103</v>
      </c>
      <c r="D63" s="100" t="s">
        <v>68</v>
      </c>
      <c r="E63" s="100">
        <v>7</v>
      </c>
      <c r="F63" s="101">
        <v>0.19</v>
      </c>
      <c r="G63" s="102">
        <v>5.35</v>
      </c>
      <c r="H63" s="102">
        <v>2.5299999999999998</v>
      </c>
    </row>
    <row r="64" spans="1:8" ht="16" customHeight="1">
      <c r="A64"/>
      <c r="C64" s="100" t="s">
        <v>130</v>
      </c>
      <c r="D64" s="100" t="s">
        <v>68</v>
      </c>
      <c r="E64" s="100">
        <v>1</v>
      </c>
      <c r="F64" s="101">
        <v>0.19</v>
      </c>
      <c r="G64" s="102">
        <v>5.41</v>
      </c>
      <c r="H64" s="102">
        <v>2.58</v>
      </c>
    </row>
    <row r="65" spans="1:9" ht="16" customHeight="1">
      <c r="A65"/>
      <c r="C65" s="100" t="s">
        <v>104</v>
      </c>
      <c r="D65" s="100" t="s">
        <v>68</v>
      </c>
      <c r="E65" s="100">
        <v>1</v>
      </c>
      <c r="F65" s="101">
        <v>0.17</v>
      </c>
      <c r="G65" s="102">
        <v>18.54</v>
      </c>
      <c r="H65" s="102">
        <v>1.64</v>
      </c>
    </row>
    <row r="66" spans="1:9" ht="16" customHeight="1">
      <c r="A66"/>
      <c r="B66" s="88"/>
      <c r="C66" s="106" t="s">
        <v>105</v>
      </c>
      <c r="D66" s="106" t="s">
        <v>68</v>
      </c>
      <c r="E66" s="106">
        <v>1</v>
      </c>
      <c r="F66" s="107">
        <v>0.59</v>
      </c>
      <c r="G66" s="108">
        <v>14.02</v>
      </c>
      <c r="H66" s="108">
        <v>6.72</v>
      </c>
    </row>
    <row r="67" spans="1:9" ht="16" customHeight="1">
      <c r="A67"/>
      <c r="E67" s="96" t="s">
        <v>80</v>
      </c>
      <c r="F67" s="109">
        <f>SUMPRODUCT($E$56:$E$66,F56:F66)</f>
        <v>7.338000000000001</v>
      </c>
      <c r="G67" s="110">
        <f>SUMPRODUCT($E$56:$E$66,G56:G66)</f>
        <v>207.14523127884945</v>
      </c>
      <c r="H67" s="110">
        <f>SUMPRODUCT($E$56:$E$66,H56:H66)</f>
        <v>88.216198482337489</v>
      </c>
    </row>
    <row r="68" spans="1:9" ht="16" customHeight="1">
      <c r="A68"/>
      <c r="C68" s="111" t="s">
        <v>118</v>
      </c>
      <c r="F68" s="109"/>
      <c r="G68" s="110"/>
      <c r="H68" s="110"/>
    </row>
    <row r="69" spans="1:9" ht="16" customHeight="1">
      <c r="A69"/>
      <c r="C69" s="111" t="s">
        <v>119</v>
      </c>
      <c r="F69" s="109"/>
      <c r="G69" s="110"/>
      <c r="H69" s="110"/>
    </row>
    <row r="70" spans="1:9" ht="16" customHeight="1">
      <c r="A70"/>
    </row>
    <row r="71" spans="1:9" ht="16" customHeight="1">
      <c r="A71"/>
      <c r="B71" s="88" t="s">
        <v>86</v>
      </c>
      <c r="C71" s="88"/>
    </row>
    <row r="72" spans="1:9" ht="28.5">
      <c r="A72"/>
      <c r="C72" s="77" t="s">
        <v>65</v>
      </c>
      <c r="D72" s="112" t="s">
        <v>77</v>
      </c>
      <c r="E72" s="133" t="s">
        <v>125</v>
      </c>
      <c r="F72" s="113" t="s">
        <v>79</v>
      </c>
      <c r="G72" s="113" t="s">
        <v>78</v>
      </c>
      <c r="H72" s="113" t="s">
        <v>81</v>
      </c>
      <c r="I72" s="113" t="s">
        <v>72</v>
      </c>
    </row>
    <row r="73" spans="1:9" ht="16" customHeight="1">
      <c r="A73"/>
      <c r="B73" s="88"/>
      <c r="C73" s="88"/>
      <c r="D73" s="99" t="s">
        <v>73</v>
      </c>
      <c r="E73" s="99" t="s">
        <v>124</v>
      </c>
      <c r="F73" s="99" t="s">
        <v>74</v>
      </c>
      <c r="G73" s="99" t="s">
        <v>75</v>
      </c>
      <c r="H73" s="99" t="s">
        <v>9</v>
      </c>
      <c r="I73" s="99" t="s">
        <v>9</v>
      </c>
    </row>
    <row r="74" spans="1:9" ht="16" customHeight="1">
      <c r="A74"/>
      <c r="C74" s="118" t="s">
        <v>121</v>
      </c>
      <c r="D74" s="119">
        <v>3029</v>
      </c>
      <c r="E74" s="130">
        <v>0.2</v>
      </c>
      <c r="F74" s="120">
        <v>5</v>
      </c>
      <c r="G74" s="121">
        <v>0</v>
      </c>
      <c r="H74" s="121">
        <v>0.04</v>
      </c>
      <c r="I74" s="122">
        <v>7.7499999999999999E-2</v>
      </c>
    </row>
    <row r="75" spans="1:9" ht="16" customHeight="1">
      <c r="A75"/>
      <c r="C75" s="123" t="s">
        <v>122</v>
      </c>
      <c r="D75" s="102">
        <v>400</v>
      </c>
      <c r="E75" s="131">
        <v>1</v>
      </c>
      <c r="F75" s="100">
        <v>5</v>
      </c>
      <c r="G75" s="124">
        <v>0</v>
      </c>
      <c r="H75" s="124">
        <v>0</v>
      </c>
      <c r="I75" s="125">
        <v>7.7499999999999999E-2</v>
      </c>
    </row>
    <row r="76" spans="1:9" ht="16" customHeight="1">
      <c r="A76"/>
      <c r="B76" s="88"/>
      <c r="C76" s="126" t="s">
        <v>123</v>
      </c>
      <c r="D76" s="108">
        <v>30000</v>
      </c>
      <c r="E76" s="132">
        <v>0.05</v>
      </c>
      <c r="F76" s="106">
        <v>30</v>
      </c>
      <c r="G76" s="127">
        <v>0</v>
      </c>
      <c r="H76" s="127">
        <v>0.01</v>
      </c>
      <c r="I76" s="128">
        <v>7.7499999999999999E-2</v>
      </c>
    </row>
    <row r="77" spans="1:9" ht="16" customHeight="1">
      <c r="A77"/>
      <c r="C77" s="6" t="s">
        <v>129</v>
      </c>
      <c r="D77" s="134"/>
      <c r="E77" s="139">
        <f>((D74*E74)/F74+(D75*E75)/F75+(D76*E76)/F76)</f>
        <v>251.16000000000003</v>
      </c>
      <c r="F77" s="135"/>
      <c r="G77" s="136"/>
      <c r="H77" s="134">
        <f>((D74+(D74*G74)/2))*H74+((D75+(D75*G75)/2))*H75+((D76+(D76*G76))/2)*H76</f>
        <v>271.15999999999997</v>
      </c>
      <c r="I77" s="137"/>
    </row>
    <row r="78" spans="1:9" ht="32" customHeight="1">
      <c r="C78" s="154" t="s">
        <v>126</v>
      </c>
      <c r="D78" s="154"/>
      <c r="E78" s="154"/>
      <c r="F78" s="154"/>
      <c r="G78" s="154"/>
      <c r="H78" s="154"/>
      <c r="I78" s="154"/>
    </row>
    <row r="79" spans="1:9"/>
  </sheetData>
  <sheetProtection sheet="1" objects="1" scenarios="1"/>
  <protectedRanges>
    <protectedRange sqref="D74:I76" name="Table 2 irrigation"/>
    <protectedRange sqref="C56:H66" name="Table 1 machinery"/>
    <protectedRange sqref="F28:F33 E29:E33" name="Labor block"/>
    <protectedRange sqref="F28:F33" name="Labor"/>
    <protectedRange sqref="E3:F3" name="Sales"/>
    <protectedRange sqref="E6:F6" name="Plants"/>
    <protectedRange sqref="E8:F12" name="Range5"/>
    <protectedRange sqref="C14:F15" name="Range6"/>
    <protectedRange sqref="C17:F20" name="insecticide"/>
    <protectedRange sqref="C22:F23" name="Fungicide"/>
    <protectedRange sqref="E24:F26" name="Drip tape block"/>
    <protectedRange sqref="E35:F36" name="Irrigation"/>
    <protectedRange sqref="F38" name="marketing"/>
    <protectedRange sqref="E39:F39" name="interest on operating capital"/>
    <protectedRange sqref="G42" name="Land"/>
  </protectedRanges>
  <mergeCells count="4">
    <mergeCell ref="C78:I78"/>
    <mergeCell ref="B51:G51"/>
    <mergeCell ref="B50:G50"/>
    <mergeCell ref="B1:G1"/>
  </mergeCells>
  <conditionalFormatting sqref="E2">
    <cfRule type="expression" dxfId="3" priority="2">
      <formula>#REF!="no"</formula>
    </cfRule>
  </conditionalFormatting>
  <conditionalFormatting sqref="E5">
    <cfRule type="expression" dxfId="2" priority="1">
      <formula>#REF!="no"</formula>
    </cfRule>
  </conditionalFormatting>
  <hyperlinks>
    <hyperlink ref="B51:G51" r:id="rId1" display="Access online at muext.us/MissouriAgBudgets. " xr:uid="{DD673375-E66F-4941-B822-1C01512D19B1}"/>
  </hyperlinks>
  <pageMargins left="0.7" right="0.7" top="0.75" bottom="0.75" header="0.3" footer="0.3"/>
  <pageSetup scale="81" orientation="portrait" r:id="rId2"/>
  <ignoredErrors>
    <ignoredError sqref="E3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workbookViewId="0">
      <selection activeCell="B15" sqref="B15:K15"/>
    </sheetView>
  </sheetViews>
  <sheetFormatPr defaultColWidth="0" defaultRowHeight="14.5" zeroHeight="1"/>
  <cols>
    <col min="1" max="1" width="3" customWidth="1"/>
    <col min="2" max="2" width="8.5" customWidth="1"/>
    <col min="3" max="3" width="10" customWidth="1"/>
    <col min="4" max="4" width="10.33203125" customWidth="1"/>
    <col min="5" max="5" width="11.83203125" customWidth="1"/>
    <col min="6" max="6" width="9.58203125" bestFit="1" customWidth="1"/>
    <col min="7" max="7" width="9" bestFit="1" customWidth="1"/>
    <col min="8" max="8" width="9.83203125" customWidth="1"/>
    <col min="9" max="9" width="11" customWidth="1"/>
    <col min="10" max="10" width="10" bestFit="1" customWidth="1"/>
    <col min="11" max="11" width="10" customWidth="1"/>
    <col min="12" max="12" width="3" customWidth="1"/>
    <col min="13" max="16384" width="8.5" hidden="1"/>
  </cols>
  <sheetData>
    <row r="1" spans="1:12" ht="16">
      <c r="A1" s="6"/>
      <c r="B1" s="160" t="s">
        <v>133</v>
      </c>
      <c r="C1" s="160"/>
      <c r="D1" s="160"/>
      <c r="E1" s="160"/>
      <c r="F1" s="160"/>
      <c r="G1" s="160"/>
      <c r="H1" s="160"/>
      <c r="I1" s="160"/>
      <c r="J1" s="160"/>
      <c r="K1" s="160"/>
      <c r="L1" s="6"/>
    </row>
    <row r="2" spans="1:12" ht="52" customHeight="1">
      <c r="A2" s="6"/>
      <c r="B2" s="169" t="s">
        <v>135</v>
      </c>
      <c r="C2" s="169"/>
      <c r="D2" s="169"/>
      <c r="E2" s="169"/>
      <c r="F2" s="169"/>
      <c r="G2" s="169"/>
      <c r="H2" s="169"/>
      <c r="I2" s="169"/>
      <c r="J2" s="169"/>
      <c r="K2" s="169"/>
      <c r="L2" s="6"/>
    </row>
    <row r="3" spans="1:12" ht="16.5" customHeight="1">
      <c r="A3" s="6"/>
      <c r="B3" s="29"/>
      <c r="C3" s="30"/>
      <c r="D3" s="41"/>
      <c r="E3" s="165" t="s">
        <v>109</v>
      </c>
      <c r="F3" s="165"/>
      <c r="G3" s="165"/>
      <c r="H3" s="165"/>
      <c r="I3" s="165"/>
      <c r="J3" s="165"/>
      <c r="K3" s="166"/>
      <c r="L3" s="6"/>
    </row>
    <row r="4" spans="1:12" ht="16.5" customHeight="1">
      <c r="A4" s="6"/>
      <c r="B4" s="31"/>
      <c r="C4" s="32"/>
      <c r="D4" s="42"/>
      <c r="E4" s="33" t="s">
        <v>29</v>
      </c>
      <c r="F4" s="33" t="s">
        <v>28</v>
      </c>
      <c r="G4" s="33" t="s">
        <v>24</v>
      </c>
      <c r="H4" s="33" t="s">
        <v>22</v>
      </c>
      <c r="I4" s="33" t="s">
        <v>20</v>
      </c>
      <c r="J4" s="33" t="s">
        <v>26</v>
      </c>
      <c r="K4" s="34" t="s">
        <v>27</v>
      </c>
      <c r="L4" s="6"/>
    </row>
    <row r="5" spans="1:12" ht="16.5" customHeight="1">
      <c r="A5" s="6"/>
      <c r="B5" s="43"/>
      <c r="C5" s="44"/>
      <c r="D5" s="18"/>
      <c r="E5" s="19">
        <f>H5*70%</f>
        <v>840</v>
      </c>
      <c r="F5" s="19">
        <f>H5*80%</f>
        <v>960</v>
      </c>
      <c r="G5" s="19">
        <f>H5*90%</f>
        <v>1080</v>
      </c>
      <c r="H5" s="140">
        <f>Budget!E3</f>
        <v>1200</v>
      </c>
      <c r="I5" s="19">
        <f>H5*110%</f>
        <v>1320</v>
      </c>
      <c r="J5" s="19">
        <f>H5*120%</f>
        <v>1440</v>
      </c>
      <c r="K5" s="36">
        <f>H5*130%</f>
        <v>1560</v>
      </c>
      <c r="L5" s="6"/>
    </row>
    <row r="6" spans="1:12" ht="16.5" customHeight="1">
      <c r="A6" s="6"/>
      <c r="B6" s="162" t="s">
        <v>110</v>
      </c>
      <c r="C6" s="37" t="s">
        <v>25</v>
      </c>
      <c r="D6" s="26">
        <f>D9*85%</f>
        <v>17.110499999999998</v>
      </c>
      <c r="E6" s="45">
        <f>(D6*$E$5)-Budget!$G$46</f>
        <v>816.21989290175406</v>
      </c>
      <c r="F6" s="46">
        <f>(D6*$F$5)-Budget!$G$46</f>
        <v>2869.4798929017543</v>
      </c>
      <c r="G6" s="46">
        <f>(D6*$G$5)-Budget!$G$46</f>
        <v>4922.7398929017527</v>
      </c>
      <c r="H6" s="46">
        <f>(D6*$H$5)-Budget!$G$46</f>
        <v>6975.9998929017547</v>
      </c>
      <c r="I6" s="46">
        <f>(D6*$I$5)-Budget!$G$46</f>
        <v>9029.2598929017531</v>
      </c>
      <c r="J6" s="46">
        <f>(D6*$J$5)-Budget!$G$46</f>
        <v>11082.519892901755</v>
      </c>
      <c r="K6" s="47">
        <f>(D6*$K$5)-Budget!$G$46</f>
        <v>13135.779892901754</v>
      </c>
      <c r="L6" s="6"/>
    </row>
    <row r="7" spans="1:12" ht="16.5" customHeight="1">
      <c r="A7" s="6"/>
      <c r="B7" s="162"/>
      <c r="C7" s="37" t="s">
        <v>24</v>
      </c>
      <c r="D7" s="26">
        <f>D9*90%</f>
        <v>18.117000000000001</v>
      </c>
      <c r="E7" s="48">
        <f>(D7*$E$5)-Budget!$G$46</f>
        <v>1661.6798929017568</v>
      </c>
      <c r="F7" s="49">
        <f>(D7*$F$5)-Budget!$G$46</f>
        <v>3835.7198929017559</v>
      </c>
      <c r="G7" s="49">
        <f>(D7*$G$5)-Budget!$G$46</f>
        <v>6009.7598929017568</v>
      </c>
      <c r="H7" s="49">
        <f>(D7*$H$5)-Budget!$G$46</f>
        <v>8183.7998929017576</v>
      </c>
      <c r="I7" s="49">
        <f>(D7*$I$5)-Budget!$G$46</f>
        <v>10357.839892901759</v>
      </c>
      <c r="J7" s="49">
        <f>(D7*$J$5)-Budget!$G$46</f>
        <v>12531.879892901756</v>
      </c>
      <c r="K7" s="50">
        <f>(D7*$K$5)-Budget!$G$46</f>
        <v>14705.919892901757</v>
      </c>
      <c r="L7" s="6"/>
    </row>
    <row r="8" spans="1:12" ht="16.5" customHeight="1" thickBot="1">
      <c r="A8" s="6"/>
      <c r="B8" s="162"/>
      <c r="C8" s="38" t="s">
        <v>23</v>
      </c>
      <c r="D8" s="26">
        <f>D9*0.95</f>
        <v>19.123499999999996</v>
      </c>
      <c r="E8" s="48">
        <f>(D8*$E$5)-Budget!$G$46</f>
        <v>2507.1398929017523</v>
      </c>
      <c r="F8" s="49">
        <f>(D8*$F$5)-Budget!$G$46</f>
        <v>4801.9598929017538</v>
      </c>
      <c r="G8" s="49">
        <f>(D8*$G$5)-Budget!$G$46</f>
        <v>7096.7798929017536</v>
      </c>
      <c r="H8" s="49">
        <f>(D8*$H$5)-Budget!$G$46</f>
        <v>9391.5998929017533</v>
      </c>
      <c r="I8" s="49">
        <f>(D8*$I$5)-Budget!$G$46</f>
        <v>11686.419892901753</v>
      </c>
      <c r="J8" s="49">
        <f>(D8*$J$5)-Budget!$G$46</f>
        <v>13981.239892901753</v>
      </c>
      <c r="K8" s="50">
        <f>(D8*$K$5)-Budget!$G$46</f>
        <v>16276.059892901749</v>
      </c>
      <c r="L8" s="6"/>
    </row>
    <row r="9" spans="1:12" ht="16.5" customHeight="1" thickBot="1">
      <c r="A9" s="6"/>
      <c r="B9" s="162"/>
      <c r="C9" s="37" t="s">
        <v>22</v>
      </c>
      <c r="D9" s="141">
        <f>Budget!F3</f>
        <v>20.13</v>
      </c>
      <c r="E9" s="48">
        <f>(D9*$E$5)-Budget!$G$46</f>
        <v>3352.5998929017569</v>
      </c>
      <c r="F9" s="49">
        <f>(D9*$F$5)-Budget!$G$46</f>
        <v>5768.1998929017554</v>
      </c>
      <c r="G9" s="49">
        <f>(D9*$G$5)-Budget!$G$46</f>
        <v>8183.799892901754</v>
      </c>
      <c r="H9" s="51">
        <f>(D9*$H$5)-Budget!$G$46</f>
        <v>10599.399892901756</v>
      </c>
      <c r="I9" s="49">
        <f>(D9*$I$5)-Budget!$G$46</f>
        <v>13014.999892901755</v>
      </c>
      <c r="J9" s="49">
        <f>(D9*$J$5)-Budget!$G$46</f>
        <v>15430.599892901753</v>
      </c>
      <c r="K9" s="50">
        <f>(D9*$K$5)-Budget!$G$46</f>
        <v>17846.199892901757</v>
      </c>
      <c r="L9" s="6"/>
    </row>
    <row r="10" spans="1:12" ht="16.5" customHeight="1">
      <c r="A10" s="6"/>
      <c r="B10" s="162"/>
      <c r="C10" s="37" t="s">
        <v>21</v>
      </c>
      <c r="D10" s="26">
        <f>D9*105%</f>
        <v>21.136500000000002</v>
      </c>
      <c r="E10" s="48">
        <f>(D10*$E$5)-Budget!$G$46</f>
        <v>4198.059892901756</v>
      </c>
      <c r="F10" s="49">
        <f>(D10*$F$5)-Budget!$G$46</f>
        <v>6734.439892901757</v>
      </c>
      <c r="G10" s="49">
        <f>(D10*$G$5)-Budget!$G$46</f>
        <v>9270.8198929017581</v>
      </c>
      <c r="H10" s="49">
        <f>(D10*$H$5)-Budget!$G$46</f>
        <v>11807.199892901759</v>
      </c>
      <c r="I10" s="49">
        <f>(D10*$I$5)-Budget!$G$46</f>
        <v>14343.57989290176</v>
      </c>
      <c r="J10" s="49">
        <f>(D10*$J$5)-Budget!$G$46</f>
        <v>16879.959892901759</v>
      </c>
      <c r="K10" s="50">
        <f>(D10*$K$5)-Budget!$G$46</f>
        <v>19416.339892901757</v>
      </c>
      <c r="L10" s="6"/>
    </row>
    <row r="11" spans="1:12" ht="16.5" customHeight="1">
      <c r="A11" s="6"/>
      <c r="B11" s="162"/>
      <c r="C11" s="37" t="s">
        <v>20</v>
      </c>
      <c r="D11" s="26">
        <f>D9*110%</f>
        <v>22.143000000000001</v>
      </c>
      <c r="E11" s="48">
        <f>(D11*$E$5)-Budget!$G$46</f>
        <v>5043.5198929017552</v>
      </c>
      <c r="F11" s="49">
        <f>(D11*$F$5)-Budget!$G$46</f>
        <v>7700.679892901755</v>
      </c>
      <c r="G11" s="49">
        <f>(D11*$G$5)-Budget!$G$46</f>
        <v>10357.839892901759</v>
      </c>
      <c r="H11" s="49">
        <f>(D11*$H$5)-Budget!$G$46</f>
        <v>13014.999892901758</v>
      </c>
      <c r="I11" s="49">
        <f>(D11*$I$5)-Budget!$G$46</f>
        <v>15672.159892901758</v>
      </c>
      <c r="J11" s="49">
        <f>(D11*$J$5)-Budget!$G$46</f>
        <v>18329.31989290176</v>
      </c>
      <c r="K11" s="50">
        <f>(D11*$K$5)-Budget!$G$46</f>
        <v>20986.479892901756</v>
      </c>
      <c r="L11" s="6"/>
    </row>
    <row r="12" spans="1:12" ht="16.5" customHeight="1">
      <c r="A12" s="6"/>
      <c r="B12" s="163"/>
      <c r="C12" s="39" t="s">
        <v>19</v>
      </c>
      <c r="D12" s="40">
        <f>D9*115%</f>
        <v>23.149499999999996</v>
      </c>
      <c r="E12" s="52">
        <f>(D12*$E$5)-Budget!$G$46</f>
        <v>5888.9798929017543</v>
      </c>
      <c r="F12" s="53">
        <f>(D12*$F$5)-Budget!$G$46</f>
        <v>8666.919892901753</v>
      </c>
      <c r="G12" s="53">
        <f>(D12*$G$5)-Budget!$G$46</f>
        <v>11444.859892901752</v>
      </c>
      <c r="H12" s="53">
        <f>(D12*$H$5)-Budget!$G$46</f>
        <v>14222.79989290175</v>
      </c>
      <c r="I12" s="53">
        <f>(D12*$I$5)-Budget!$G$46</f>
        <v>17000.739892901751</v>
      </c>
      <c r="J12" s="53">
        <f>(D12*$J$5)-Budget!$G$46</f>
        <v>19778.679892901746</v>
      </c>
      <c r="K12" s="54">
        <f>(D12*$K$5)-Budget!$G$46</f>
        <v>22556.619892901748</v>
      </c>
      <c r="L12" s="6"/>
    </row>
    <row r="13" spans="1:12" s="6" customFormat="1" ht="16.5" customHeight="1">
      <c r="B13" s="8"/>
      <c r="C13" s="8"/>
      <c r="D13" s="8"/>
      <c r="E13" s="8"/>
      <c r="F13" s="8"/>
      <c r="G13" s="8"/>
      <c r="H13" s="8"/>
      <c r="I13" s="8"/>
      <c r="J13" s="8"/>
      <c r="K13" s="8"/>
    </row>
    <row r="14" spans="1:12" s="6" customFormat="1" ht="16.5" customHeight="1">
      <c r="B14" s="160" t="s">
        <v>134</v>
      </c>
      <c r="C14" s="160"/>
      <c r="D14" s="160"/>
      <c r="E14" s="160"/>
      <c r="F14" s="160"/>
      <c r="G14" s="160"/>
      <c r="H14" s="160"/>
      <c r="I14" s="160"/>
      <c r="J14" s="160"/>
      <c r="K14" s="160"/>
    </row>
    <row r="15" spans="1:12" s="6" customFormat="1" ht="16">
      <c r="B15" s="169" t="s">
        <v>108</v>
      </c>
      <c r="C15" s="169"/>
      <c r="D15" s="169"/>
      <c r="E15" s="169"/>
      <c r="F15" s="169"/>
      <c r="G15" s="169"/>
      <c r="H15" s="169"/>
      <c r="I15" s="169"/>
      <c r="J15" s="169"/>
      <c r="K15" s="169"/>
    </row>
    <row r="16" spans="1:12" ht="16.5" customHeight="1">
      <c r="A16" s="6"/>
      <c r="B16" s="29"/>
      <c r="C16" s="57"/>
      <c r="D16" s="57"/>
      <c r="E16" s="164" t="s">
        <v>2</v>
      </c>
      <c r="F16" s="165"/>
      <c r="G16" s="165"/>
      <c r="H16" s="165"/>
      <c r="I16" s="165"/>
      <c r="J16" s="165"/>
      <c r="K16" s="166"/>
      <c r="L16" s="6"/>
    </row>
    <row r="17" spans="1:12" ht="16.5" customHeight="1">
      <c r="A17" s="6"/>
      <c r="B17" s="35"/>
      <c r="C17" s="17"/>
      <c r="D17" s="20"/>
      <c r="E17" s="55" t="s">
        <v>25</v>
      </c>
      <c r="F17" s="21" t="s">
        <v>24</v>
      </c>
      <c r="G17" s="21" t="s">
        <v>23</v>
      </c>
      <c r="H17" s="21" t="s">
        <v>22</v>
      </c>
      <c r="I17" s="21" t="s">
        <v>21</v>
      </c>
      <c r="J17" s="21" t="s">
        <v>20</v>
      </c>
      <c r="K17" s="56" t="s">
        <v>19</v>
      </c>
      <c r="L17" s="6"/>
    </row>
    <row r="18" spans="1:12" ht="16.5" customHeight="1">
      <c r="A18" s="6"/>
      <c r="B18" s="167" t="s">
        <v>14</v>
      </c>
      <c r="C18" s="22"/>
      <c r="D18" s="23" t="s">
        <v>25</v>
      </c>
      <c r="E18" s="45">
        <f>(Budget!G4*0.85)-(Budget!G40*0.85)-Budget!G45</f>
        <v>8930.8334791941415</v>
      </c>
      <c r="F18" s="46">
        <f>(Budget!G4*0.9)-(Budget!G40*0.85)-Budget!G45</f>
        <v>10138.633479194144</v>
      </c>
      <c r="G18" s="46">
        <f>(Budget!G4*0.95)-(Budget!G40*0.85)-Budget!G45</f>
        <v>11346.433479194144</v>
      </c>
      <c r="H18" s="46">
        <f>Budget!G4-(Budget!G40*0.85)-Budget!G45</f>
        <v>12554.233479194143</v>
      </c>
      <c r="I18" s="46">
        <f>(Budget!G4*1.05)-(Budget!G40*0.85)-Budget!G45</f>
        <v>13762.033479194142</v>
      </c>
      <c r="J18" s="46">
        <f>(Budget!G4*1.1)-(Budget!G40*0.85)-Budget!G45</f>
        <v>14969.833479194145</v>
      </c>
      <c r="K18" s="47">
        <f>(Budget!G4*1.15)-(Budget!G40*0.85)-Budget!G45</f>
        <v>16177.633479194139</v>
      </c>
      <c r="L18" s="6"/>
    </row>
    <row r="19" spans="1:12" ht="16.5" customHeight="1">
      <c r="A19" s="6"/>
      <c r="B19" s="167"/>
      <c r="C19" s="22"/>
      <c r="D19" s="23" t="s">
        <v>24</v>
      </c>
      <c r="E19" s="48">
        <f>(Budget!G4*0.85)-(Budget!G40*0.9)-Budget!G45</f>
        <v>8279.2222837633453</v>
      </c>
      <c r="F19" s="49">
        <f>(Budget!G4*0.9)-(Budget!G40*0.9)-Budget!G45</f>
        <v>9487.0222837633482</v>
      </c>
      <c r="G19" s="49">
        <f>(Budget!G4*0.95)-(Budget!G40*0.9)-Budget!G45</f>
        <v>10694.822283763348</v>
      </c>
      <c r="H19" s="49">
        <f>Budget!G4-(Budget!G40*0.9)-Budget!G45</f>
        <v>11902.622283763347</v>
      </c>
      <c r="I19" s="49">
        <f>(Budget!G4*1.05)-(Budget!G40*0.9)-Budget!G45</f>
        <v>13110.422283763346</v>
      </c>
      <c r="J19" s="49">
        <f>(Budget!G4*1.1)-(Budget!G40*0.9)-Budget!G45</f>
        <v>14318.222283763349</v>
      </c>
      <c r="K19" s="50">
        <f>(Budget!G4*1.15)-(Budget!G40*0.9)-Budget!G45</f>
        <v>15526.022283763345</v>
      </c>
      <c r="L19" s="6"/>
    </row>
    <row r="20" spans="1:12" ht="16.5" customHeight="1" thickBot="1">
      <c r="A20" s="6"/>
      <c r="B20" s="167"/>
      <c r="C20" s="22"/>
      <c r="D20" s="23" t="s">
        <v>23</v>
      </c>
      <c r="E20" s="48">
        <f>(Budget!G4*0.85)-(Budget!G40*0.95)-Budget!G45</f>
        <v>7627.6110883325509</v>
      </c>
      <c r="F20" s="49">
        <f>(Budget!G4*0.9)-(Budget!G40*0.95)-Budget!G45</f>
        <v>8835.4110883325538</v>
      </c>
      <c r="G20" s="49">
        <f>(Budget!G4*0.95)-(Budget!G40*0.95)-Budget!G45</f>
        <v>10043.211088332553</v>
      </c>
      <c r="H20" s="49">
        <f>Budget!G4-(Budget!G40*0.95)-Budget!G45</f>
        <v>11251.011088332552</v>
      </c>
      <c r="I20" s="49">
        <f>(Budget!G4*1.05)-(Budget!G40*0.95)-Budget!G45</f>
        <v>12458.811088332552</v>
      </c>
      <c r="J20" s="49">
        <f>(Budget!G4*1.1)-(Budget!G40*0.95)-Budget!G45</f>
        <v>13666.611088332555</v>
      </c>
      <c r="K20" s="50">
        <f>(Budget!G4*1.15)-(Budget!G40*0.95)-Budget!G45</f>
        <v>14874.41108833255</v>
      </c>
      <c r="L20" s="6"/>
    </row>
    <row r="21" spans="1:12" ht="16.5" customHeight="1" thickBot="1">
      <c r="A21" s="6"/>
      <c r="B21" s="167"/>
      <c r="C21" s="22"/>
      <c r="D21" s="23" t="s">
        <v>22</v>
      </c>
      <c r="E21" s="48">
        <f>(Budget!G4*0.85)-Budget!G40-Budget!GG45</f>
        <v>7500.3760913840924</v>
      </c>
      <c r="F21" s="49">
        <f>(Budget!G4*0.9)-(Budget!G40)-Budget!G45</f>
        <v>8183.7998929017576</v>
      </c>
      <c r="G21" s="49">
        <f>(Budget!G4*0.95)-(Budget!G40)-Budget!G45</f>
        <v>9391.5998929017569</v>
      </c>
      <c r="H21" s="51">
        <f>Budget!G4-(Budget!G40)-Budget!G45</f>
        <v>10599.399892901756</v>
      </c>
      <c r="I21" s="49">
        <f>(Budget!G4*1.05)-(Budget!G40)-Budget!G45</f>
        <v>11807.199892901755</v>
      </c>
      <c r="J21" s="49">
        <f>(Budget!G4*1.1)-(Budget!G40)-Budget!G45</f>
        <v>13014.999892901758</v>
      </c>
      <c r="K21" s="50">
        <f>(Budget!G4*1.15)-(Budget!G40)-Budget!G45</f>
        <v>14222.799892901754</v>
      </c>
      <c r="L21" s="6"/>
    </row>
    <row r="22" spans="1:12" ht="16.5" customHeight="1">
      <c r="A22" s="6"/>
      <c r="B22" s="167"/>
      <c r="C22" s="22"/>
      <c r="D22" s="23" t="s">
        <v>21</v>
      </c>
      <c r="E22" s="48">
        <f>(Budget!G4*0.85)-(Budget!G40*1.05)-Budget!G45</f>
        <v>6324.3886974709585</v>
      </c>
      <c r="F22" s="49">
        <f>(Budget!G4*0.9)-(Budget!G40*1.05)-Budget!G45</f>
        <v>7532.1886974709614</v>
      </c>
      <c r="G22" s="49">
        <f>(Budget!G4*0.95)-(Budget!G40*1.05)-Budget!G45</f>
        <v>8739.9886974709607</v>
      </c>
      <c r="H22" s="49">
        <f>Budget!G4-(Budget!G40*1.05)-Budget!G45</f>
        <v>9947.78869747096</v>
      </c>
      <c r="I22" s="49">
        <f>(Budget!G4*1.05)-(Budget!G40*1.05)-Budget!G45</f>
        <v>11155.588697470959</v>
      </c>
      <c r="J22" s="49">
        <f>(Budget!G4*1.1)-(Budget!G40*1.05)-Budget!G45</f>
        <v>12363.388697470962</v>
      </c>
      <c r="K22" s="50">
        <f>(Budget!G4*1.15)-(Budget!G40*1.05)-Budget!G45</f>
        <v>13571.188697470958</v>
      </c>
      <c r="L22" s="6"/>
    </row>
    <row r="23" spans="1:12" ht="16.5" customHeight="1">
      <c r="A23" s="6"/>
      <c r="B23" s="167"/>
      <c r="C23" s="22"/>
      <c r="D23" s="23" t="s">
        <v>20</v>
      </c>
      <c r="E23" s="48">
        <f>(Budget!G4*0.85)-(Budget!G40*1.1)-Budget!G45</f>
        <v>5672.7775020401623</v>
      </c>
      <c r="F23" s="49">
        <f>(Budget!G4*0.9)-(Budget!G40*1.1)-Budget!G45</f>
        <v>6880.5775020401652</v>
      </c>
      <c r="G23" s="49">
        <f>(Budget!G4*0.95)-(Budget!G40*1.1)-Budget!G45</f>
        <v>8088.3775020401645</v>
      </c>
      <c r="H23" s="49">
        <f>Budget!G4-(Budget!G40*1.1)-Budget!G45</f>
        <v>9296.1775020401637</v>
      </c>
      <c r="I23" s="49">
        <f>(Budget!G4*1.05)-(Budget!G40*1.1)-Budget!G45</f>
        <v>10503.977502040163</v>
      </c>
      <c r="J23" s="49">
        <f>(Budget!G4*1.1)-(Budget!G40*1.1)-Budget!G45</f>
        <v>11711.777502040166</v>
      </c>
      <c r="K23" s="50">
        <f>(Budget!G4*1.15)-(Budget!G40*1.1)-Budget!G45</f>
        <v>12919.577502040162</v>
      </c>
      <c r="L23" s="6"/>
    </row>
    <row r="24" spans="1:12" ht="16.5" customHeight="1">
      <c r="A24" s="6"/>
      <c r="B24" s="168"/>
      <c r="C24" s="58"/>
      <c r="D24" s="59" t="s">
        <v>19</v>
      </c>
      <c r="E24" s="52">
        <f>(Budget!G4*0.85)-(Budget!G40*1.15)-Budget!G45</f>
        <v>5021.1663066093697</v>
      </c>
      <c r="F24" s="53">
        <f>(Budget!G4*0.9)-(Budget!G40*1.15)-Budget!G45</f>
        <v>6228.9663066093726</v>
      </c>
      <c r="G24" s="53">
        <f>(Budget!G4*0.95)-(Budget!G40*1.15)-Budget!G45</f>
        <v>7436.7663066093719</v>
      </c>
      <c r="H24" s="53">
        <f>Budget!G4-(Budget!G40*1.15)-Budget!G45</f>
        <v>8644.5663066093712</v>
      </c>
      <c r="I24" s="53">
        <f>(Budget!G4*1.05)-(Budget!G40*1.15)-Budget!G45</f>
        <v>9852.3663066093704</v>
      </c>
      <c r="J24" s="53">
        <f>(Budget!G4*1.1)-(Budget!G40*1.15)-Budget!G45</f>
        <v>11060.166306609373</v>
      </c>
      <c r="K24" s="54">
        <f>(Budget!G4*1.15)-(Budget!G40*1.15)-Budget!G45</f>
        <v>12267.966306609369</v>
      </c>
      <c r="L24" s="6"/>
    </row>
    <row r="25" spans="1:12" ht="9" hidden="1" customHeight="1">
      <c r="A25" s="6"/>
      <c r="B25" s="9"/>
      <c r="C25" s="9"/>
      <c r="D25" s="9"/>
      <c r="E25" s="9"/>
      <c r="F25" s="9"/>
      <c r="G25" s="9"/>
      <c r="H25" s="9"/>
      <c r="I25" s="9"/>
      <c r="J25" s="9"/>
      <c r="K25" s="9"/>
    </row>
    <row r="26" spans="1:12" ht="14.5" hidden="1" customHeight="1">
      <c r="B26" s="6"/>
      <c r="C26" s="6"/>
      <c r="D26" s="6"/>
      <c r="E26" s="6"/>
      <c r="F26" s="6"/>
      <c r="G26" s="6"/>
      <c r="H26" s="6"/>
      <c r="I26" s="6"/>
      <c r="J26" s="6"/>
      <c r="K26" s="6"/>
    </row>
    <row r="28" spans="1:12" ht="32.25" hidden="1" customHeight="1"/>
    <row r="29" spans="1:12" ht="16" hidden="1">
      <c r="B29" s="161"/>
      <c r="C29" s="161"/>
      <c r="D29" s="161"/>
      <c r="E29" s="161"/>
      <c r="F29" s="161"/>
      <c r="G29" s="161"/>
      <c r="H29" s="161"/>
      <c r="I29" s="161"/>
      <c r="J29" s="161"/>
      <c r="K29" s="161"/>
    </row>
    <row r="30" spans="1:12" ht="16" hidden="1">
      <c r="B30" s="161"/>
      <c r="C30" s="161"/>
      <c r="D30" s="161"/>
      <c r="E30" s="161"/>
      <c r="F30" s="161"/>
      <c r="G30" s="161"/>
      <c r="H30" s="161"/>
      <c r="I30" s="161"/>
      <c r="J30" s="161"/>
      <c r="K30" s="161"/>
    </row>
    <row r="31" spans="1:12" ht="16" hidden="1">
      <c r="B31" s="11"/>
      <c r="C31" s="11"/>
      <c r="D31" s="11"/>
      <c r="E31" s="11"/>
      <c r="F31" s="11"/>
      <c r="G31" s="11"/>
      <c r="H31" s="11"/>
      <c r="I31" s="11"/>
      <c r="J31" s="11"/>
      <c r="K31" s="11"/>
    </row>
    <row r="32" spans="1:12" ht="16" hidden="1">
      <c r="G32" s="9"/>
      <c r="H32" s="9"/>
      <c r="I32" s="9"/>
      <c r="J32" s="9"/>
      <c r="K32" s="9"/>
    </row>
    <row r="33" spans="7:11" ht="16" hidden="1">
      <c r="G33" s="9"/>
      <c r="H33" s="9"/>
      <c r="I33" s="9"/>
      <c r="J33" s="9"/>
      <c r="K33" s="9"/>
    </row>
    <row r="34" spans="7:11" ht="16" hidden="1">
      <c r="G34" s="9"/>
      <c r="H34" s="9"/>
      <c r="I34" s="9"/>
      <c r="J34" s="9"/>
      <c r="K34" s="9"/>
    </row>
    <row r="35" spans="7:11" ht="16" hidden="1">
      <c r="G35" s="9"/>
      <c r="H35" s="9"/>
      <c r="I35" s="9"/>
      <c r="J35" s="9"/>
      <c r="K35" s="9"/>
    </row>
    <row r="36" spans="7:11" ht="16" hidden="1">
      <c r="G36" s="9"/>
      <c r="H36" s="9"/>
      <c r="I36" s="9"/>
      <c r="J36" s="9"/>
      <c r="K36" s="9"/>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B050A646-DD64-4298-B5EA-A9AD03094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2025-08-08T12:53:59Z</cp:lastPrinted>
  <dcterms:created xsi:type="dcterms:W3CDTF">2020-07-30T17:48:44Z</dcterms:created>
  <dcterms:modified xsi:type="dcterms:W3CDTF">2025-10-13T21:18:03Z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