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ilmissouri-my.sharepoint.com/personal/milhollinr_umsystem_edu/Documents/Beef/Beef Budgets/2025/"/>
    </mc:Choice>
  </mc:AlternateContent>
  <xr:revisionPtr revIDLastSave="69" documentId="8_{107997EC-B5F1-443B-99F8-612D839E47C4}" xr6:coauthVersionLast="47" xr6:coauthVersionMax="47" xr10:uidLastSave="{AFEBC6C3-F99C-4E54-9991-4CBDE79C81E6}"/>
  <bookViews>
    <workbookView xWindow="-120" yWindow="-120" windowWidth="29040" windowHeight="15720" tabRatio="521" activeTab="2" xr2:uid="{00000000-000D-0000-FFFF-FFFF00000000}"/>
  </bookViews>
  <sheets>
    <sheet name="Introduction" sheetId="7" r:id="rId1"/>
    <sheet name="Inputs" sheetId="5" r:id="rId2"/>
    <sheet name="Cow-calf (Fall)" sheetId="6" r:id="rId3"/>
    <sheet name="Cow-calf (Spr)" sheetId="1" r:id="rId4"/>
    <sheet name="Heifer" sheetId="2" r:id="rId5"/>
    <sheet name="Background" sheetId="3" r:id="rId6"/>
    <sheet name="Yearling steer" sheetId="8" r:id="rId7"/>
  </sheets>
  <definedNames>
    <definedName name="_xlnm.Print_Area" localSheetId="3">'Cow-calf (Spr)'!$1:$42</definedName>
    <definedName name="solver_adj" localSheetId="1" hidden="1">Inputs!#REF!</definedName>
    <definedName name="solver_cvg" localSheetId="1" hidden="1">0.001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hs1" localSheetId="1" hidden="1">Inputs!#REF!</definedName>
    <definedName name="solver_lhs2" localSheetId="1" hidden="1">Inputs!#REF!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Inputs!#REF!</definedName>
    <definedName name="solver_pre" localSheetId="1" hidden="1">0.000001</definedName>
    <definedName name="solver_rel1" localSheetId="1" hidden="1">2</definedName>
    <definedName name="solver_rel2" localSheetId="1" hidden="1">2</definedName>
    <definedName name="solver_rhs1" localSheetId="1" hidden="1">Inputs!#REF!</definedName>
    <definedName name="solver_rhs2" localSheetId="1" hidden="1">Inputs!#REF!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8" l="1"/>
  <c r="H6" i="2" l="1"/>
  <c r="H7" i="2"/>
  <c r="C5" i="2" l="1"/>
  <c r="F48" i="8"/>
  <c r="S51" i="3"/>
  <c r="R51" i="3"/>
  <c r="H52" i="3"/>
  <c r="G52" i="3"/>
  <c r="F46" i="8" l="1"/>
  <c r="E63" i="3"/>
  <c r="G56" i="6" l="1"/>
  <c r="I48" i="1"/>
  <c r="I50" i="1" l="1"/>
  <c r="G22" i="1"/>
  <c r="E58" i="8"/>
  <c r="D60" i="8"/>
  <c r="P64" i="3"/>
  <c r="E65" i="3"/>
  <c r="H76" i="6"/>
  <c r="H78" i="6" s="1"/>
  <c r="I78" i="6" s="1"/>
  <c r="H76" i="1"/>
  <c r="H78" i="1" s="1"/>
  <c r="I78" i="1" s="1"/>
  <c r="D55" i="2"/>
  <c r="H15" i="2" s="1"/>
  <c r="F74" i="8"/>
  <c r="H74" i="8" s="1"/>
  <c r="F73" i="8"/>
  <c r="H73" i="8" s="1"/>
  <c r="O66" i="3"/>
  <c r="S65" i="3"/>
  <c r="R65" i="3"/>
  <c r="S64" i="3"/>
  <c r="R64" i="3"/>
  <c r="S62" i="3"/>
  <c r="R63" i="3"/>
  <c r="S63" i="3"/>
  <c r="R62" i="3"/>
  <c r="R61" i="3"/>
  <c r="R60" i="3"/>
  <c r="S61" i="3"/>
  <c r="S60" i="3"/>
  <c r="G35" i="8"/>
  <c r="G75" i="8"/>
  <c r="G76" i="8"/>
  <c r="G77" i="8"/>
  <c r="H76" i="8"/>
  <c r="G17" i="8"/>
  <c r="G14" i="8"/>
  <c r="E82" i="8"/>
  <c r="G26" i="8" s="1"/>
  <c r="G7" i="8"/>
  <c r="H75" i="8"/>
  <c r="H77" i="8"/>
  <c r="H64" i="3"/>
  <c r="G64" i="3"/>
  <c r="H18" i="2"/>
  <c r="C18" i="2"/>
  <c r="G93" i="2"/>
  <c r="H93" i="2" s="1"/>
  <c r="J93" i="2" s="1"/>
  <c r="G94" i="2"/>
  <c r="H94" i="2" s="1"/>
  <c r="J94" i="2" s="1"/>
  <c r="G95" i="2"/>
  <c r="H95" i="2" s="1"/>
  <c r="J95" i="2" s="1"/>
  <c r="C17" i="6"/>
  <c r="C17" i="1"/>
  <c r="H39" i="8"/>
  <c r="G19" i="8"/>
  <c r="G18" i="8"/>
  <c r="G20" i="8"/>
  <c r="G11" i="8"/>
  <c r="G5" i="8"/>
  <c r="G6" i="8" s="1"/>
  <c r="E59" i="8"/>
  <c r="E57" i="8"/>
  <c r="E56" i="8"/>
  <c r="E55" i="8"/>
  <c r="E62" i="8"/>
  <c r="G13" i="8" s="1"/>
  <c r="G54" i="8"/>
  <c r="G56" i="8" s="1"/>
  <c r="G58" i="8"/>
  <c r="F49" i="8"/>
  <c r="E105" i="6"/>
  <c r="H105" i="6" s="1"/>
  <c r="I48" i="6"/>
  <c r="I50" i="6" s="1"/>
  <c r="F65" i="1"/>
  <c r="F65" i="2"/>
  <c r="H12" i="2" s="1"/>
  <c r="S49" i="3"/>
  <c r="R49" i="3"/>
  <c r="H49" i="3"/>
  <c r="G49" i="3"/>
  <c r="C6" i="2"/>
  <c r="S41" i="3"/>
  <c r="R41" i="3"/>
  <c r="H41" i="3"/>
  <c r="G41" i="3"/>
  <c r="H5" i="2"/>
  <c r="R79" i="3"/>
  <c r="S79" i="3"/>
  <c r="R80" i="3"/>
  <c r="S80" i="3" s="1"/>
  <c r="R81" i="3"/>
  <c r="S81" i="3" s="1"/>
  <c r="R78" i="3"/>
  <c r="S78" i="3" s="1"/>
  <c r="G80" i="3"/>
  <c r="H80" i="3" s="1"/>
  <c r="G81" i="3"/>
  <c r="H81" i="3" s="1"/>
  <c r="G82" i="3"/>
  <c r="H82" i="3" s="1"/>
  <c r="G79" i="3"/>
  <c r="H79" i="3" s="1"/>
  <c r="N13" i="3"/>
  <c r="N12" i="3"/>
  <c r="C12" i="3"/>
  <c r="C13" i="3"/>
  <c r="C22" i="6"/>
  <c r="S33" i="3"/>
  <c r="H33" i="3"/>
  <c r="G33" i="3"/>
  <c r="R33" i="3"/>
  <c r="P61" i="3"/>
  <c r="E62" i="3"/>
  <c r="S32" i="3"/>
  <c r="R32" i="3"/>
  <c r="H32" i="3"/>
  <c r="G32" i="3"/>
  <c r="G9" i="6"/>
  <c r="H9" i="6" s="1"/>
  <c r="G9" i="1"/>
  <c r="H9" i="1" s="1"/>
  <c r="H8" i="3"/>
  <c r="G8" i="3"/>
  <c r="S8" i="3"/>
  <c r="R8" i="3"/>
  <c r="C26" i="2"/>
  <c r="I9" i="1"/>
  <c r="D20" i="5"/>
  <c r="J42" i="6" s="1"/>
  <c r="N7" i="3"/>
  <c r="C7" i="3"/>
  <c r="N6" i="3"/>
  <c r="N5" i="3"/>
  <c r="C5" i="3"/>
  <c r="C6" i="3"/>
  <c r="C6" i="6"/>
  <c r="C7" i="6"/>
  <c r="C8" i="6"/>
  <c r="C8" i="1"/>
  <c r="C7" i="1"/>
  <c r="C6" i="1"/>
  <c r="G83" i="1"/>
  <c r="G77" i="1"/>
  <c r="G71" i="1"/>
  <c r="I7" i="6"/>
  <c r="H7" i="6"/>
  <c r="G7" i="6"/>
  <c r="I6" i="6"/>
  <c r="H6" i="6"/>
  <c r="G6" i="6"/>
  <c r="H88" i="1"/>
  <c r="H82" i="6"/>
  <c r="H83" i="6" s="1"/>
  <c r="G82" i="6"/>
  <c r="G85" i="6" s="1"/>
  <c r="G77" i="6"/>
  <c r="H7" i="1"/>
  <c r="I7" i="1"/>
  <c r="G7" i="1"/>
  <c r="H6" i="1"/>
  <c r="I6" i="1"/>
  <c r="G6" i="1"/>
  <c r="D58" i="2"/>
  <c r="H17" i="2" s="1"/>
  <c r="D57" i="2"/>
  <c r="D56" i="2"/>
  <c r="D54" i="2"/>
  <c r="H14" i="2" s="1"/>
  <c r="P65" i="3"/>
  <c r="N27" i="3"/>
  <c r="C27" i="3"/>
  <c r="C26" i="6"/>
  <c r="H23" i="1"/>
  <c r="I23" i="1"/>
  <c r="G23" i="1"/>
  <c r="C22" i="1"/>
  <c r="G21" i="6"/>
  <c r="S31" i="3"/>
  <c r="R31" i="3"/>
  <c r="G31" i="3"/>
  <c r="R26" i="3"/>
  <c r="R24" i="3"/>
  <c r="R20" i="3"/>
  <c r="S13" i="3"/>
  <c r="R12" i="3"/>
  <c r="R5" i="3"/>
  <c r="S6" i="3"/>
  <c r="H31" i="3"/>
  <c r="G22" i="3"/>
  <c r="G20" i="3"/>
  <c r="H13" i="3"/>
  <c r="G12" i="3"/>
  <c r="H6" i="3"/>
  <c r="H7" i="3" s="1"/>
  <c r="G5" i="3"/>
  <c r="G70" i="3" s="1"/>
  <c r="G21" i="3" s="1"/>
  <c r="H30" i="2"/>
  <c r="H23" i="2"/>
  <c r="H21" i="2"/>
  <c r="C8" i="2"/>
  <c r="H25" i="2"/>
  <c r="H24" i="2"/>
  <c r="E66" i="3"/>
  <c r="H108" i="6"/>
  <c r="H108" i="1"/>
  <c r="G88" i="6"/>
  <c r="H69" i="1"/>
  <c r="I69" i="1" s="1"/>
  <c r="H64" i="1"/>
  <c r="H65" i="1" s="1"/>
  <c r="I65" i="1" s="1"/>
  <c r="H25" i="6"/>
  <c r="I25" i="6"/>
  <c r="G25" i="6"/>
  <c r="H24" i="6"/>
  <c r="I24" i="6"/>
  <c r="G24" i="6"/>
  <c r="H23" i="6"/>
  <c r="I23" i="6"/>
  <c r="G23" i="6"/>
  <c r="H21" i="6"/>
  <c r="I21" i="6"/>
  <c r="H18" i="6"/>
  <c r="G18" i="6"/>
  <c r="I18" i="6"/>
  <c r="H17" i="6"/>
  <c r="G112" i="6"/>
  <c r="G30" i="6" s="1"/>
  <c r="G56" i="1"/>
  <c r="H56" i="1" s="1"/>
  <c r="G57" i="1"/>
  <c r="H57" i="1" s="1"/>
  <c r="G58" i="1"/>
  <c r="H58" i="1" s="1"/>
  <c r="G64" i="1"/>
  <c r="G66" i="1" s="1"/>
  <c r="G82" i="1"/>
  <c r="G85" i="1" s="1"/>
  <c r="H82" i="1"/>
  <c r="I82" i="1" s="1"/>
  <c r="G88" i="1"/>
  <c r="H17" i="1"/>
  <c r="H18" i="1"/>
  <c r="E105" i="1"/>
  <c r="H105" i="1"/>
  <c r="H106" i="1"/>
  <c r="H107" i="1"/>
  <c r="I20" i="1" s="1"/>
  <c r="H21" i="1"/>
  <c r="G48" i="2"/>
  <c r="H24" i="1"/>
  <c r="H25" i="1"/>
  <c r="G112" i="1"/>
  <c r="G30" i="1" s="1"/>
  <c r="H48" i="2"/>
  <c r="H61" i="2" s="1"/>
  <c r="H19" i="2"/>
  <c r="E92" i="2"/>
  <c r="G92" i="2" s="1"/>
  <c r="J58" i="2"/>
  <c r="J56" i="2"/>
  <c r="J55" i="2"/>
  <c r="J54" i="2"/>
  <c r="P63" i="3"/>
  <c r="R14" i="3" s="1"/>
  <c r="P60" i="3"/>
  <c r="P62" i="3"/>
  <c r="S17" i="3" s="1"/>
  <c r="P54" i="3"/>
  <c r="S19" i="3" s="1"/>
  <c r="R22" i="3"/>
  <c r="R25" i="3"/>
  <c r="E64" i="3"/>
  <c r="G14" i="3" s="1"/>
  <c r="E61" i="3"/>
  <c r="E55" i="3"/>
  <c r="H19" i="3" s="1"/>
  <c r="G24" i="3"/>
  <c r="G25" i="3"/>
  <c r="G26" i="3"/>
  <c r="G64" i="6"/>
  <c r="G66" i="6" s="1"/>
  <c r="H64" i="6"/>
  <c r="I64" i="6" s="1"/>
  <c r="G69" i="6"/>
  <c r="H69" i="6"/>
  <c r="H70" i="6" s="1"/>
  <c r="G58" i="6"/>
  <c r="H58" i="6" s="1"/>
  <c r="I8" i="6" s="1"/>
  <c r="H106" i="6"/>
  <c r="H107" i="6"/>
  <c r="H56" i="6"/>
  <c r="G57" i="6"/>
  <c r="H57" i="6" s="1"/>
  <c r="H88" i="6"/>
  <c r="I88" i="6" s="1"/>
  <c r="I4" i="6"/>
  <c r="H4" i="6"/>
  <c r="G4" i="6"/>
  <c r="I18" i="1"/>
  <c r="I21" i="1"/>
  <c r="I24" i="1"/>
  <c r="I25" i="1"/>
  <c r="G18" i="1"/>
  <c r="G21" i="1"/>
  <c r="G24" i="1"/>
  <c r="G25" i="1"/>
  <c r="I4" i="1"/>
  <c r="H4" i="1"/>
  <c r="G4" i="1"/>
  <c r="G60" i="3"/>
  <c r="G66" i="3" s="1"/>
  <c r="H60" i="3"/>
  <c r="H61" i="3" s="1"/>
  <c r="S22" i="3"/>
  <c r="S24" i="3"/>
  <c r="S25" i="3"/>
  <c r="S26" i="3"/>
  <c r="S20" i="3"/>
  <c r="H22" i="3"/>
  <c r="H24" i="3"/>
  <c r="H25" i="3"/>
  <c r="H26" i="3"/>
  <c r="H20" i="3"/>
  <c r="J50" i="2"/>
  <c r="H31" i="2"/>
  <c r="J57" i="2"/>
  <c r="G17" i="6"/>
  <c r="I17" i="6"/>
  <c r="G69" i="1"/>
  <c r="G70" i="1"/>
  <c r="G73" i="1" s="1"/>
  <c r="H30" i="6"/>
  <c r="G32" i="6"/>
  <c r="G71" i="6"/>
  <c r="G78" i="6"/>
  <c r="G83" i="6"/>
  <c r="G70" i="6"/>
  <c r="G84" i="6"/>
  <c r="G76" i="6"/>
  <c r="G65" i="6"/>
  <c r="G72" i="6"/>
  <c r="G17" i="1"/>
  <c r="I17" i="1"/>
  <c r="G76" i="1"/>
  <c r="G79" i="1" s="1"/>
  <c r="I88" i="1"/>
  <c r="G72" i="1"/>
  <c r="G65" i="1"/>
  <c r="G84" i="1"/>
  <c r="I30" i="1"/>
  <c r="G78" i="1"/>
  <c r="H30" i="1"/>
  <c r="I22" i="1"/>
  <c r="H22" i="1"/>
  <c r="D67" i="3"/>
  <c r="H20" i="1" l="1"/>
  <c r="G20" i="1"/>
  <c r="S18" i="3"/>
  <c r="R18" i="3"/>
  <c r="H22" i="2"/>
  <c r="H92" i="2"/>
  <c r="G96" i="2"/>
  <c r="R15" i="3"/>
  <c r="S23" i="3"/>
  <c r="G65" i="3"/>
  <c r="G61" i="3"/>
  <c r="G16" i="3" s="1"/>
  <c r="G63" i="3"/>
  <c r="G17" i="3" s="1"/>
  <c r="H23" i="3"/>
  <c r="S82" i="3"/>
  <c r="R23" i="3"/>
  <c r="H83" i="3"/>
  <c r="G23" i="3"/>
  <c r="H62" i="3"/>
  <c r="H15" i="3" s="1"/>
  <c r="S16" i="3"/>
  <c r="H63" i="3"/>
  <c r="H17" i="3" s="1"/>
  <c r="H65" i="3"/>
  <c r="H66" i="3"/>
  <c r="H96" i="2"/>
  <c r="C16" i="2"/>
  <c r="C17" i="2"/>
  <c r="G32" i="1"/>
  <c r="H32" i="1"/>
  <c r="H109" i="1"/>
  <c r="I32" i="1"/>
  <c r="G79" i="6"/>
  <c r="H32" i="6"/>
  <c r="I32" i="6"/>
  <c r="G73" i="6"/>
  <c r="I30" i="6"/>
  <c r="H109" i="6"/>
  <c r="G20" i="6"/>
  <c r="I20" i="6"/>
  <c r="G27" i="8"/>
  <c r="G28" i="8" s="1"/>
  <c r="G25" i="8"/>
  <c r="G74" i="8"/>
  <c r="H78" i="8"/>
  <c r="G16" i="8" s="1"/>
  <c r="G73" i="8"/>
  <c r="G55" i="8"/>
  <c r="G59" i="8"/>
  <c r="G57" i="8"/>
  <c r="G8" i="8"/>
  <c r="G15" i="8" s="1"/>
  <c r="H65" i="6"/>
  <c r="I65" i="6" s="1"/>
  <c r="I66" i="6" s="1"/>
  <c r="G13" i="6" s="1"/>
  <c r="S14" i="3"/>
  <c r="H83" i="1"/>
  <c r="I83" i="1" s="1"/>
  <c r="G18" i="3"/>
  <c r="I9" i="6"/>
  <c r="H14" i="3"/>
  <c r="I64" i="1"/>
  <c r="I66" i="1" s="1"/>
  <c r="I13" i="1" s="1"/>
  <c r="G34" i="3"/>
  <c r="I33" i="1"/>
  <c r="R19" i="3"/>
  <c r="R7" i="3"/>
  <c r="R9" i="3" s="1"/>
  <c r="S7" i="3"/>
  <c r="S9" i="3" s="1"/>
  <c r="H9" i="3"/>
  <c r="H70" i="3"/>
  <c r="H21" i="3" s="1"/>
  <c r="G7" i="3"/>
  <c r="G9" i="3" s="1"/>
  <c r="H8" i="2"/>
  <c r="H9" i="2" s="1"/>
  <c r="H22" i="6"/>
  <c r="H84" i="1"/>
  <c r="I84" i="1" s="1"/>
  <c r="I76" i="1"/>
  <c r="C15" i="2"/>
  <c r="R16" i="3"/>
  <c r="H77" i="1"/>
  <c r="I77" i="1" s="1"/>
  <c r="C14" i="2"/>
  <c r="C13" i="2"/>
  <c r="H13" i="2"/>
  <c r="H20" i="2"/>
  <c r="H16" i="3"/>
  <c r="G62" i="3"/>
  <c r="G15" i="3" s="1"/>
  <c r="G22" i="6"/>
  <c r="G31" i="1"/>
  <c r="I82" i="6"/>
  <c r="S69" i="3"/>
  <c r="S21" i="3" s="1"/>
  <c r="R34" i="3"/>
  <c r="I19" i="6"/>
  <c r="C12" i="2"/>
  <c r="J92" i="2"/>
  <c r="J96" i="2" s="1"/>
  <c r="H20" i="6"/>
  <c r="H34" i="3"/>
  <c r="S34" i="3"/>
  <c r="R69" i="3"/>
  <c r="R21" i="3" s="1"/>
  <c r="I22" i="6"/>
  <c r="G8" i="6"/>
  <c r="G19" i="6" s="1"/>
  <c r="H8" i="6"/>
  <c r="H19" i="6" s="1"/>
  <c r="I10" i="6"/>
  <c r="I8" i="1"/>
  <c r="I10" i="1" s="1"/>
  <c r="H8" i="1"/>
  <c r="H10" i="1" s="1"/>
  <c r="G8" i="1"/>
  <c r="H32" i="2"/>
  <c r="H33" i="2" s="1"/>
  <c r="I31" i="1"/>
  <c r="H31" i="1"/>
  <c r="G33" i="1"/>
  <c r="H33" i="1"/>
  <c r="G19" i="3"/>
  <c r="H77" i="6"/>
  <c r="I77" i="6" s="1"/>
  <c r="I76" i="6"/>
  <c r="I83" i="6"/>
  <c r="H84" i="6"/>
  <c r="I84" i="6" s="1"/>
  <c r="R17" i="3"/>
  <c r="H16" i="2"/>
  <c r="H70" i="1"/>
  <c r="I70" i="1" s="1"/>
  <c r="S15" i="3"/>
  <c r="I69" i="6"/>
  <c r="I70" i="6"/>
  <c r="H71" i="6"/>
  <c r="I71" i="6" s="1"/>
  <c r="H72" i="6"/>
  <c r="I72" i="6" s="1"/>
  <c r="J42" i="1"/>
  <c r="U45" i="3"/>
  <c r="J44" i="2"/>
  <c r="J45" i="3"/>
  <c r="F15" i="3" l="1"/>
  <c r="I85" i="1"/>
  <c r="I16" i="1" s="1"/>
  <c r="H18" i="3"/>
  <c r="H27" i="3" s="1"/>
  <c r="H28" i="3" s="1"/>
  <c r="H38" i="3" s="1"/>
  <c r="G78" i="8"/>
  <c r="G36" i="8"/>
  <c r="I79" i="6"/>
  <c r="H15" i="6" s="1"/>
  <c r="G42" i="3"/>
  <c r="I13" i="6"/>
  <c r="H13" i="1"/>
  <c r="H13" i="6"/>
  <c r="G13" i="1"/>
  <c r="H19" i="1"/>
  <c r="H10" i="6"/>
  <c r="I34" i="1"/>
  <c r="I79" i="1"/>
  <c r="G15" i="1" s="1"/>
  <c r="G34" i="1"/>
  <c r="G27" i="3"/>
  <c r="G28" i="3" s="1"/>
  <c r="G36" i="3" s="1"/>
  <c r="H34" i="1"/>
  <c r="R42" i="3"/>
  <c r="H72" i="1"/>
  <c r="I72" i="1" s="1"/>
  <c r="R27" i="3"/>
  <c r="R28" i="3" s="1"/>
  <c r="R36" i="3" s="1"/>
  <c r="I85" i="6"/>
  <c r="H16" i="6" s="1"/>
  <c r="G33" i="6"/>
  <c r="H33" i="6"/>
  <c r="I33" i="6"/>
  <c r="I31" i="6"/>
  <c r="H31" i="6"/>
  <c r="G31" i="6"/>
  <c r="G10" i="6"/>
  <c r="I19" i="1"/>
  <c r="G19" i="1"/>
  <c r="G10" i="1"/>
  <c r="H71" i="1"/>
  <c r="I71" i="1" s="1"/>
  <c r="S42" i="3"/>
  <c r="S27" i="3"/>
  <c r="S28" i="3" s="1"/>
  <c r="I73" i="6"/>
  <c r="H26" i="2"/>
  <c r="H27" i="2" s="1"/>
  <c r="G16" i="1" l="1"/>
  <c r="H16" i="1"/>
  <c r="G15" i="6"/>
  <c r="I15" i="6"/>
  <c r="H42" i="3"/>
  <c r="G21" i="8"/>
  <c r="G22" i="8" s="1"/>
  <c r="G30" i="8" s="1"/>
  <c r="G37" i="8" s="1"/>
  <c r="I15" i="1"/>
  <c r="H15" i="1"/>
  <c r="G38" i="3"/>
  <c r="H36" i="3"/>
  <c r="H43" i="3" s="1"/>
  <c r="I16" i="6"/>
  <c r="G16" i="6"/>
  <c r="I73" i="1"/>
  <c r="I14" i="1" s="1"/>
  <c r="I26" i="1" s="1"/>
  <c r="I27" i="1" s="1"/>
  <c r="I40" i="1" s="1"/>
  <c r="R38" i="3"/>
  <c r="H34" i="6"/>
  <c r="G34" i="6"/>
  <c r="I34" i="6"/>
  <c r="S38" i="3"/>
  <c r="S36" i="3"/>
  <c r="I14" i="6"/>
  <c r="G14" i="6"/>
  <c r="H14" i="6"/>
  <c r="H26" i="6" s="1"/>
  <c r="H27" i="6" s="1"/>
  <c r="R39" i="3"/>
  <c r="R43" i="3"/>
  <c r="G39" i="3"/>
  <c r="G43" i="3"/>
  <c r="H35" i="2"/>
  <c r="H37" i="2"/>
  <c r="H40" i="6" l="1"/>
  <c r="H38" i="6"/>
  <c r="I38" i="1"/>
  <c r="G26" i="6"/>
  <c r="G27" i="6" s="1"/>
  <c r="G40" i="6" s="1"/>
  <c r="I26" i="6"/>
  <c r="I27" i="6" s="1"/>
  <c r="I40" i="6" s="1"/>
  <c r="G32" i="8"/>
  <c r="G33" i="8"/>
  <c r="H39" i="3"/>
  <c r="G14" i="1"/>
  <c r="G26" i="1" s="1"/>
  <c r="G27" i="1" s="1"/>
  <c r="G40" i="1" s="1"/>
  <c r="H14" i="1"/>
  <c r="H26" i="1" s="1"/>
  <c r="H27" i="1" s="1"/>
  <c r="H40" i="1" s="1"/>
  <c r="I36" i="1"/>
  <c r="I39" i="1" s="1"/>
  <c r="S39" i="3"/>
  <c r="S43" i="3"/>
  <c r="H36" i="6"/>
  <c r="H39" i="6" s="1"/>
  <c r="H38" i="2"/>
  <c r="H42" i="2"/>
  <c r="H40" i="2"/>
  <c r="H41" i="2"/>
  <c r="I36" i="6" l="1"/>
  <c r="I39" i="6" s="1"/>
  <c r="G36" i="6"/>
  <c r="G39" i="6" s="1"/>
  <c r="H36" i="1"/>
  <c r="H39" i="1" s="1"/>
  <c r="G38" i="1"/>
  <c r="I38" i="6"/>
  <c r="G36" i="1"/>
  <c r="G39" i="1" s="1"/>
  <c r="G38" i="6"/>
  <c r="H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Milhollin, Ryan K.</author>
  </authors>
  <commentList>
    <comment ref="I91" authorId="0" shapeId="0" xr:uid="{00000000-0006-0000-0200-000001000000}">
      <text>
        <r>
          <rPr>
            <sz val="9"/>
            <color indexed="81"/>
            <rFont val="Tahoma"/>
            <family val="2"/>
          </rPr>
          <t>Under 40 cows, 14 hours
40-80 cows, 11 hours
80-120 cows, 8 hours
Over 120 cows, 5 hours</t>
        </r>
      </text>
    </comment>
  </commentList>
</comments>
</file>

<file path=xl/sharedStrings.xml><?xml version="1.0" encoding="utf-8"?>
<sst xmlns="http://schemas.openxmlformats.org/spreadsheetml/2006/main" count="1011" uniqueCount="284">
  <si>
    <t>Veterinary, drugs, and supplies</t>
  </si>
  <si>
    <t>Grain</t>
  </si>
  <si>
    <t>Total</t>
  </si>
  <si>
    <t xml:space="preserve">               </t>
  </si>
  <si>
    <t>Useful life</t>
  </si>
  <si>
    <t>Marketing costs</t>
  </si>
  <si>
    <t>Low</t>
  </si>
  <si>
    <t>High</t>
  </si>
  <si>
    <t>Average daily gain</t>
  </si>
  <si>
    <t>Death loss</t>
  </si>
  <si>
    <t>Professional fees (legal, accounting, etc.)</t>
  </si>
  <si>
    <t>Weight</t>
  </si>
  <si>
    <t>Percent</t>
  </si>
  <si>
    <t>Corn</t>
  </si>
  <si>
    <t>Weaning Percentage</t>
  </si>
  <si>
    <t>Pasture</t>
  </si>
  <si>
    <t>Cow and Calf</t>
  </si>
  <si>
    <t>Bull</t>
  </si>
  <si>
    <t>Harvested Forage</t>
  </si>
  <si>
    <t>Cow (Dry)</t>
  </si>
  <si>
    <t>Cow (Lact.)</t>
  </si>
  <si>
    <t>Lbs/day</t>
  </si>
  <si>
    <t>Days</t>
  </si>
  <si>
    <t>Total Pasture Per Cow Unit</t>
  </si>
  <si>
    <t>Total Equivalent Cow Unit</t>
  </si>
  <si>
    <t>Cow</t>
  </si>
  <si>
    <t>Cow Unit</t>
  </si>
  <si>
    <t>Protein Supplement</t>
  </si>
  <si>
    <t>Salt and Mineral Mix</t>
  </si>
  <si>
    <t>$/cwt</t>
  </si>
  <si>
    <t>Number of cows in herd</t>
  </si>
  <si>
    <t>Feed</t>
  </si>
  <si>
    <t>Miscellaneous</t>
  </si>
  <si>
    <t>Per Cow</t>
  </si>
  <si>
    <t>Weaning percentage</t>
  </si>
  <si>
    <t>Average</t>
  </si>
  <si>
    <t xml:space="preserve">  1. Steers:  </t>
  </si>
  <si>
    <t xml:space="preserve">  2. Heifers:  </t>
  </si>
  <si>
    <t>Cull cows</t>
  </si>
  <si>
    <t>$/Head</t>
  </si>
  <si>
    <t>$/Cow Unit</t>
  </si>
  <si>
    <t>Other income</t>
  </si>
  <si>
    <t>Steers</t>
  </si>
  <si>
    <t>Heifers</t>
  </si>
  <si>
    <t>Farm total</t>
  </si>
  <si>
    <t>Life, years</t>
  </si>
  <si>
    <t>Value of breeding stock/cow unit</t>
  </si>
  <si>
    <t>Total investment in buildings/facilities</t>
  </si>
  <si>
    <t>May to Oct</t>
  </si>
  <si>
    <t>(weaning)</t>
  </si>
  <si>
    <t>Beginning weight</t>
  </si>
  <si>
    <t>Ending weight</t>
  </si>
  <si>
    <t>/ton</t>
  </si>
  <si>
    <t>Inputs used across all budgets</t>
  </si>
  <si>
    <t>/bu</t>
  </si>
  <si>
    <t>Yearling heifer</t>
  </si>
  <si>
    <t>Cull heifer</t>
  </si>
  <si>
    <t>* Includes processing charge</t>
  </si>
  <si>
    <t>Investment</t>
  </si>
  <si>
    <t>Salvage value</t>
  </si>
  <si>
    <t>($/head)</t>
  </si>
  <si>
    <t>(years)</t>
  </si>
  <si>
    <t>(%)</t>
  </si>
  <si>
    <t>Buildings and facilities</t>
  </si>
  <si>
    <t>Labor, hours</t>
  </si>
  <si>
    <t>/hr</t>
  </si>
  <si>
    <t>Spring heifer</t>
  </si>
  <si>
    <t>Heifer</t>
  </si>
  <si>
    <t>Steer</t>
  </si>
  <si>
    <t>Days on feed</t>
  </si>
  <si>
    <t>Feed conversion (as fed)</t>
  </si>
  <si>
    <t>Purchase price</t>
  </si>
  <si>
    <t>Sale price, $/cwt</t>
  </si>
  <si>
    <t>Ration:</t>
  </si>
  <si>
    <t>Hauling</t>
  </si>
  <si>
    <t>Total pasture AUMs*</t>
  </si>
  <si>
    <t>* Total AUMs are based on the days on pasture and average weight (1 AUM = 1,000 lbs for 30 days)</t>
  </si>
  <si>
    <t>/lb</t>
  </si>
  <si>
    <t>Buildings and facilities --- tax rate</t>
  </si>
  <si>
    <t>Buildings and facilities --- insurance rate</t>
  </si>
  <si>
    <t>Truck</t>
  </si>
  <si>
    <t>Tractor (105 MFWD)</t>
  </si>
  <si>
    <t>Total Cost</t>
  </si>
  <si>
    <t>Livestock Trailer</t>
  </si>
  <si>
    <t>% fixed costs attributed to cow/calf operation</t>
  </si>
  <si>
    <t>Oct to Dec</t>
  </si>
  <si>
    <t>Nov to May</t>
  </si>
  <si>
    <t>Livestock --- tax rate</t>
  </si>
  <si>
    <t>Livestock --- insurance rate</t>
  </si>
  <si>
    <t>Buildings, facilities, &amp; equipment</t>
  </si>
  <si>
    <t>Average number of pasture backgrounded calves</t>
  </si>
  <si>
    <t>Average number of drylot backgrounded calves</t>
  </si>
  <si>
    <t>Calf</t>
  </si>
  <si>
    <t>% fixed costs attributed to heifer operation</t>
  </si>
  <si>
    <t xml:space="preserve"> 1. Steers:  </t>
  </si>
  <si>
    <t xml:space="preserve"> 2. Heifers:  </t>
  </si>
  <si>
    <t>Pasture (rental rate)</t>
  </si>
  <si>
    <t>Hay and forage</t>
  </si>
  <si>
    <t>Labor</t>
  </si>
  <si>
    <t>Livestock facility repairs</t>
  </si>
  <si>
    <t>Depreciation on livestock facilities</t>
  </si>
  <si>
    <t>Interest on livestock facilities</t>
  </si>
  <si>
    <t>Insurance and taxes on capital items</t>
  </si>
  <si>
    <t>Marketing</t>
  </si>
  <si>
    <t>Total cost per pound of gain*</t>
  </si>
  <si>
    <t xml:space="preserve">  3. Cull cows:  </t>
  </si>
  <si>
    <t xml:space="preserve">      a. Capital replacement (</t>
  </si>
  <si>
    <t xml:space="preserve">20. Interest on 1/2 operating costs @ </t>
  </si>
  <si>
    <t xml:space="preserve"> 3. Cull cows:  </t>
  </si>
  <si>
    <t>ATV (4-wheeler)</t>
  </si>
  <si>
    <t>Breeding costs</t>
  </si>
  <si>
    <t>INCOME OVER TOTAL COSTS</t>
  </si>
  <si>
    <t>Total cost per head per day (excluding calf price)</t>
  </si>
  <si>
    <t>Salt, minerals, limestone</t>
  </si>
  <si>
    <t>Salt, mineral, limestone</t>
  </si>
  <si>
    <t>Protein and minerals</t>
  </si>
  <si>
    <t>Interest on breeding stock</t>
  </si>
  <si>
    <t>Interest on facilities and equipment</t>
  </si>
  <si>
    <t>Depreciation on facilities and equipment</t>
  </si>
  <si>
    <t xml:space="preserve">Operating interest </t>
  </si>
  <si>
    <t>Other Input Assumptions:</t>
  </si>
  <si>
    <t>Returns per Cow:</t>
  </si>
  <si>
    <t>Veterinary, drugs, and supplies, $/head</t>
  </si>
  <si>
    <t xml:space="preserve">  Corn</t>
  </si>
  <si>
    <t xml:space="preserve">  Limestone</t>
  </si>
  <si>
    <t>Date prepared</t>
  </si>
  <si>
    <t>Salt/Mineral Mix</t>
  </si>
  <si>
    <t>Building and Machinery Expenses:</t>
  </si>
  <si>
    <t>Feed Per Cow Unit:</t>
  </si>
  <si>
    <t>Factors Used in Cost-Return Budget:</t>
  </si>
  <si>
    <t>Factors Used in Cow-Calf Budget:</t>
  </si>
  <si>
    <t xml:space="preserve">                                                                                          </t>
  </si>
  <si>
    <t>Missouri Pasture Beef Backgrounding</t>
  </si>
  <si>
    <t>Missouri Winter Beef Backgrounding (Drylot)</t>
  </si>
  <si>
    <t>Other income, $ per cow</t>
  </si>
  <si>
    <t xml:space="preserve">  Protein supplement</t>
  </si>
  <si>
    <t>Protein supplement</t>
  </si>
  <si>
    <t xml:space="preserve">  Mixed hay </t>
  </si>
  <si>
    <t>Mixed hay</t>
  </si>
  <si>
    <t>Insurance and taxes on breeding stock &amp; capital items</t>
  </si>
  <si>
    <t>Other Costs:</t>
  </si>
  <si>
    <t>Hours</t>
  </si>
  <si>
    <t>Per Heifer</t>
  </si>
  <si>
    <t>Per Operation</t>
  </si>
  <si>
    <t>Machinery and utilities</t>
  </si>
  <si>
    <t>Breakeven price per pound</t>
  </si>
  <si>
    <t>Feed cost per pound gain</t>
  </si>
  <si>
    <t>Sale weight, pounds</t>
  </si>
  <si>
    <t>Purchase weight, pounds</t>
  </si>
  <si>
    <t>Per heifer sold</t>
  </si>
  <si>
    <t>Your farm</t>
  </si>
  <si>
    <t>Missouri Replacement Beef Heifers</t>
  </si>
  <si>
    <t>Yearling heifer sales (0.075 head)</t>
  </si>
  <si>
    <t>Operating costs</t>
  </si>
  <si>
    <t>Income</t>
  </si>
  <si>
    <t>Total income</t>
  </si>
  <si>
    <t>Heifers per head</t>
  </si>
  <si>
    <t>Ownership costs</t>
  </si>
  <si>
    <t>Total operating costs</t>
  </si>
  <si>
    <t>Total ownership costs</t>
  </si>
  <si>
    <t>Total costs</t>
  </si>
  <si>
    <t>INCOME OVER OPERATING COSTS</t>
  </si>
  <si>
    <t>Bred heifer break-even price, per head</t>
  </si>
  <si>
    <t>*Represents cost per pound of bred heifer sold after adjusting for cull income and death loss.</t>
  </si>
  <si>
    <t>Missouri Beef Cow-Calf, Purchased Replacements, Fall Calving</t>
  </si>
  <si>
    <t>Missouri Beef Cow-Calf, Purchased Replacements, Spring Calving</t>
  </si>
  <si>
    <t>Per cow</t>
  </si>
  <si>
    <t>Pounds of gain</t>
  </si>
  <si>
    <t>AUMS</t>
  </si>
  <si>
    <t>Total AUMS</t>
  </si>
  <si>
    <t>$/AUM</t>
  </si>
  <si>
    <t>AUM</t>
  </si>
  <si>
    <t>Total AUM</t>
  </si>
  <si>
    <t>/AUM</t>
  </si>
  <si>
    <t>Bull replacement charge or AI charge</t>
  </si>
  <si>
    <t>Missouri Beef Budget Tool</t>
  </si>
  <si>
    <t>Developed by:</t>
  </si>
  <si>
    <t>University of Missouri Extension</t>
  </si>
  <si>
    <t>This worksheet is for educational purposes only and the user assumes all risks associated with its use.</t>
  </si>
  <si>
    <t xml:space="preserve">Income </t>
  </si>
  <si>
    <t>Total per head</t>
  </si>
  <si>
    <t>Utilities</t>
  </si>
  <si>
    <t>Operating interest</t>
  </si>
  <si>
    <t xml:space="preserve">Total operating costs </t>
  </si>
  <si>
    <t>Salt and minerals</t>
  </si>
  <si>
    <t>Machinery</t>
  </si>
  <si>
    <t>Facility and equipment repair</t>
  </si>
  <si>
    <t>Professional fees</t>
  </si>
  <si>
    <t>Missouri Yearling Steer Finishing</t>
  </si>
  <si>
    <t>___________</t>
  </si>
  <si>
    <t>Feed cost per pound of gain</t>
  </si>
  <si>
    <t>Farmers can develop custom enterprise budget by using the Missouri Beef Enterprise spreadsheet. This tool allows users to make an enterprise budget for a cow-calf (spring or fall calving), heifer, backgrounding (drylot or pasture) or yearling steer operation.</t>
  </si>
  <si>
    <t>Value</t>
  </si>
  <si>
    <t>Unit</t>
  </si>
  <si>
    <t>Dollars/AUM</t>
  </si>
  <si>
    <t>Dollars/ton</t>
  </si>
  <si>
    <t xml:space="preserve">Fescue hay </t>
  </si>
  <si>
    <t>Alfalfa hay (big round bale Missouri alfalfa)</t>
  </si>
  <si>
    <t>Corn silage</t>
  </si>
  <si>
    <t>Dollars/bushel</t>
  </si>
  <si>
    <t>Dried distillers grains</t>
  </si>
  <si>
    <t>Dollars/cwt.</t>
  </si>
  <si>
    <t>Processing cost for grain</t>
  </si>
  <si>
    <t>Limestone</t>
  </si>
  <si>
    <t>Dollars/hour</t>
  </si>
  <si>
    <t>Date</t>
  </si>
  <si>
    <t>Interest rate for operating costs and cattle</t>
  </si>
  <si>
    <t>Interest rate for long-term investments</t>
  </si>
  <si>
    <t>Cows</t>
  </si>
  <si>
    <t>Cows per bull</t>
  </si>
  <si>
    <t>Dollars/head</t>
  </si>
  <si>
    <t>Heifers retained for replacement</t>
  </si>
  <si>
    <t xml:space="preserve">Cow-to-bull ratio </t>
  </si>
  <si>
    <t>Value of breeding cow</t>
  </si>
  <si>
    <t>Value of replacement heifer</t>
  </si>
  <si>
    <t>Value of bull</t>
  </si>
  <si>
    <t>Insurance on breeding herd</t>
  </si>
  <si>
    <t>Price/Cwt</t>
  </si>
  <si>
    <t>$/Ton</t>
  </si>
  <si>
    <t>Total Lbs</t>
  </si>
  <si>
    <t>$/Cwt</t>
  </si>
  <si>
    <t>Dollars per cow</t>
  </si>
  <si>
    <t>Hours per cow</t>
  </si>
  <si>
    <t xml:space="preserve">Marketing cost </t>
  </si>
  <si>
    <t>% of total sales</t>
  </si>
  <si>
    <t>Facilities and equipment repairs</t>
  </si>
  <si>
    <t>Annual bull cost</t>
  </si>
  <si>
    <t>A.I. charge (Suggested cost if used = $30)</t>
  </si>
  <si>
    <t>Hrs/Day</t>
  </si>
  <si>
    <t>$/Hr</t>
  </si>
  <si>
    <t>Lbs/Day</t>
  </si>
  <si>
    <t>Days/Year</t>
  </si>
  <si>
    <t>Life, Years</t>
  </si>
  <si>
    <t>Salvage Value</t>
  </si>
  <si>
    <t>Factors Used for Beef Replacement Beef Heifer Budget:</t>
  </si>
  <si>
    <t>Pounds (Feedstuffs) or Days (Pasture)</t>
  </si>
  <si>
    <t>Mineral and salt</t>
  </si>
  <si>
    <t>Corn*</t>
  </si>
  <si>
    <t>$/head</t>
  </si>
  <si>
    <t>Beginning value</t>
  </si>
  <si>
    <t>Yearling heifer value</t>
  </si>
  <si>
    <t>Springer heifer value</t>
  </si>
  <si>
    <t>Average replacement heifers per year</t>
  </si>
  <si>
    <t>Other Income Assumptions:</t>
  </si>
  <si>
    <t>Hours per head</t>
  </si>
  <si>
    <t>Dollars per head</t>
  </si>
  <si>
    <t>Facility and equipment repairs</t>
  </si>
  <si>
    <t>Breeding cost (AI)</t>
  </si>
  <si>
    <t>Purchase weight</t>
  </si>
  <si>
    <t>Sale weight</t>
  </si>
  <si>
    <t>Sale price</t>
  </si>
  <si>
    <t>Pounds</t>
  </si>
  <si>
    <t>Ratio</t>
  </si>
  <si>
    <t>Days on farm</t>
  </si>
  <si>
    <t xml:space="preserve">  Summer pasture</t>
  </si>
  <si>
    <t xml:space="preserve">  Pasture</t>
  </si>
  <si>
    <t xml:space="preserve">  Salt/mineral</t>
  </si>
  <si>
    <t>Steers per head</t>
  </si>
  <si>
    <t>Factors Used for Yearling Steer Finishing Budget:</t>
  </si>
  <si>
    <r>
      <t xml:space="preserve"> </t>
    </r>
    <r>
      <rPr>
        <i/>
        <u/>
        <sz val="11"/>
        <rFont val="Segoe UI"/>
        <family val="2"/>
        <scheme val="minor"/>
      </rPr>
      <t>Factors Used for Winter Backgrounding Budget</t>
    </r>
    <r>
      <rPr>
        <u/>
        <sz val="11"/>
        <rFont val="Segoe UI"/>
        <family val="2"/>
        <scheme val="minor"/>
      </rPr>
      <t>:</t>
    </r>
  </si>
  <si>
    <r>
      <t xml:space="preserve"> </t>
    </r>
    <r>
      <rPr>
        <i/>
        <u/>
        <sz val="11"/>
        <rFont val="Segoe UI"/>
        <family val="2"/>
        <scheme val="minor"/>
      </rPr>
      <t>Factors Used for Pasture Backgrounding Budget</t>
    </r>
    <r>
      <rPr>
        <u/>
        <sz val="11"/>
        <rFont val="Segoe UI"/>
        <family val="2"/>
        <scheme val="minor"/>
      </rPr>
      <t>:</t>
    </r>
  </si>
  <si>
    <t>Average number of fed steers</t>
  </si>
  <si>
    <t>Market steer sales</t>
  </si>
  <si>
    <t>Less death loss</t>
  </si>
  <si>
    <t>Purchased steer calf</t>
  </si>
  <si>
    <t>Purchased feed</t>
  </si>
  <si>
    <t>Machinery and feed preparation</t>
  </si>
  <si>
    <t>Feed Per Head Unit:</t>
  </si>
  <si>
    <t xml:space="preserve">Mixed hay </t>
  </si>
  <si>
    <t>hours per head</t>
  </si>
  <si>
    <t>Stock trailer</t>
  </si>
  <si>
    <t>Pickup</t>
  </si>
  <si>
    <t>Lb feed/gain</t>
  </si>
  <si>
    <t>Total pounds</t>
  </si>
  <si>
    <t>Ration</t>
  </si>
  <si>
    <t>Veterinary, drugs and supplies</t>
  </si>
  <si>
    <t>Lbs per day</t>
  </si>
  <si>
    <t>Supplement Feeding</t>
  </si>
  <si>
    <t>Grinder/Mixer Wagon</t>
  </si>
  <si>
    <t>Protein supplement (DDG)</t>
  </si>
  <si>
    <t>Cull heifer value (pre-breeding)</t>
  </si>
  <si>
    <t>RETURN TO LAND AND LABOR</t>
  </si>
  <si>
    <t>Adauto Rocha, Wesley Tucker and Zachary Erwin</t>
  </si>
  <si>
    <t>Updated: 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</si>
</sst>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0.0"/>
    <numFmt numFmtId="166" formatCode="0.0;[Red]\-0.0"/>
    <numFmt numFmtId="167" formatCode="[$$-409]#,##0.00;[Red]\-[$$-409]#,##0.00"/>
    <numFmt numFmtId="168" formatCode="0.00;[Red]\-0.00"/>
    <numFmt numFmtId="169" formatCode="0.00%;[Red]\-0.00%"/>
    <numFmt numFmtId="170" formatCode="0.0%"/>
    <numFmt numFmtId="171" formatCode="&quot;$&quot;#,##0"/>
    <numFmt numFmtId="172" formatCode="0.000"/>
    <numFmt numFmtId="173" formatCode=";;;"/>
    <numFmt numFmtId="174" formatCode="&quot;$&quot;#,##0.00"/>
    <numFmt numFmtId="175" formatCode="#,##0.0"/>
    <numFmt numFmtId="176" formatCode="#,##0.00;[Red]#,##0.00"/>
    <numFmt numFmtId="177" formatCode="#,##0;[Red]#,##0"/>
    <numFmt numFmtId="178" formatCode="#,##0.0;[Red]#,##0.0"/>
    <numFmt numFmtId="179" formatCode="0.00000%"/>
    <numFmt numFmtId="180" formatCode="[$$-409]#,##0.00;[Red][$$-409]#,##0.00"/>
    <numFmt numFmtId="181" formatCode="0.00_)"/>
    <numFmt numFmtId="182" formatCode="0.00_);[Red]\(0.00\)"/>
  </numFmts>
  <fonts count="70">
    <font>
      <sz val="12"/>
      <name val="Arial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1"/>
      <name val="Arial"/>
      <family val="2"/>
    </font>
    <font>
      <sz val="11"/>
      <color indexed="12"/>
      <name val="Arial"/>
      <family val="2"/>
    </font>
    <font>
      <u/>
      <sz val="11"/>
      <color indexed="8"/>
      <name val="Arial"/>
      <family val="2"/>
    </font>
    <font>
      <i/>
      <sz val="11"/>
      <color indexed="8"/>
      <name val="Arial"/>
      <family val="2"/>
    </font>
    <font>
      <sz val="9"/>
      <color indexed="81"/>
      <name val="Tahoma"/>
      <family val="2"/>
    </font>
    <font>
      <sz val="11"/>
      <color indexed="9"/>
      <name val="Arial"/>
      <family val="2"/>
    </font>
    <font>
      <sz val="12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 MT"/>
    </font>
    <font>
      <b/>
      <sz val="11"/>
      <color rgb="FF3F3F3F"/>
      <name val="Segoe UI"/>
      <family val="2"/>
      <scheme val="minor"/>
    </font>
    <font>
      <sz val="10"/>
      <name val="TimesNewRomanPS"/>
    </font>
    <font>
      <b/>
      <sz val="14"/>
      <color rgb="FFF1B82D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2"/>
      <color theme="1"/>
      <name val="Segoe UI"/>
      <family val="2"/>
    </font>
    <font>
      <b/>
      <sz val="10"/>
      <color rgb="FF3F3F3F"/>
      <name val="Segoe UI"/>
      <family val="2"/>
    </font>
    <font>
      <sz val="12"/>
      <name val="Segoe UI"/>
      <family val="2"/>
      <scheme val="minor"/>
    </font>
    <font>
      <sz val="10"/>
      <name val="Segoe UI"/>
      <family val="2"/>
      <scheme val="minor"/>
    </font>
    <font>
      <sz val="11"/>
      <name val="Segoe UI"/>
      <family val="2"/>
      <scheme val="minor"/>
    </font>
    <font>
      <b/>
      <sz val="11"/>
      <name val="Segoe UI"/>
      <family val="2"/>
      <scheme val="minor"/>
    </font>
    <font>
      <sz val="11"/>
      <color indexed="8"/>
      <name val="Segoe UI"/>
      <family val="2"/>
      <scheme val="minor"/>
    </font>
    <font>
      <u/>
      <sz val="11"/>
      <color indexed="8"/>
      <name val="Segoe UI"/>
      <family val="2"/>
      <scheme val="minor"/>
    </font>
    <font>
      <i/>
      <sz val="11"/>
      <color indexed="8"/>
      <name val="Segoe UI"/>
      <family val="2"/>
      <scheme val="minor"/>
    </font>
    <font>
      <i/>
      <u/>
      <sz val="11"/>
      <color indexed="8"/>
      <name val="Segoe UI"/>
      <family val="2"/>
      <scheme val="minor"/>
    </font>
    <font>
      <sz val="11"/>
      <color indexed="12"/>
      <name val="Segoe UI"/>
      <family val="2"/>
      <scheme val="minor"/>
    </font>
    <font>
      <u/>
      <sz val="11"/>
      <name val="Segoe UI"/>
      <family val="2"/>
      <scheme val="minor"/>
    </font>
    <font>
      <b/>
      <sz val="12"/>
      <name val="Segoe UI"/>
      <family val="2"/>
      <scheme val="minor"/>
    </font>
    <font>
      <sz val="12"/>
      <color indexed="8"/>
      <name val="Segoe UI"/>
      <family val="2"/>
      <scheme val="minor"/>
    </font>
    <font>
      <b/>
      <sz val="12"/>
      <color indexed="8"/>
      <name val="Segoe UI"/>
      <family val="2"/>
      <scheme val="minor"/>
    </font>
    <font>
      <u/>
      <sz val="12"/>
      <color indexed="8"/>
      <name val="Segoe UI"/>
      <family val="2"/>
      <scheme val="minor"/>
    </font>
    <font>
      <i/>
      <sz val="12"/>
      <color indexed="8"/>
      <name val="Segoe UI"/>
      <family val="2"/>
      <scheme val="minor"/>
    </font>
    <font>
      <i/>
      <u/>
      <sz val="12"/>
      <color indexed="8"/>
      <name val="Segoe UI"/>
      <family val="2"/>
      <scheme val="minor"/>
    </font>
    <font>
      <vertAlign val="superscript"/>
      <sz val="12"/>
      <color indexed="8"/>
      <name val="Segoe UI"/>
      <family val="2"/>
      <scheme val="minor"/>
    </font>
    <font>
      <sz val="9"/>
      <color indexed="8"/>
      <name val="Segoe UI"/>
      <family val="2"/>
      <scheme val="minor"/>
    </font>
    <font>
      <sz val="9"/>
      <name val="Segoe UI"/>
      <family val="2"/>
      <scheme val="minor"/>
    </font>
    <font>
      <sz val="8.5"/>
      <name val="Segoe UI"/>
      <family val="2"/>
      <scheme val="minor"/>
    </font>
    <font>
      <b/>
      <sz val="14"/>
      <color rgb="FFF1B82D"/>
      <name val="Segoe UI Black"/>
      <family val="2"/>
    </font>
    <font>
      <b/>
      <sz val="14"/>
      <color rgb="FFF1B82D"/>
      <name val="Segoe UI Black"/>
      <family val="2"/>
      <scheme val="major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b/>
      <sz val="14"/>
      <color rgb="FFF1B82D"/>
      <name val="Segoe UI"/>
      <family val="2"/>
      <scheme val="minor"/>
    </font>
    <font>
      <sz val="10"/>
      <color indexed="8"/>
      <name val="Segoe UI"/>
      <family val="2"/>
      <scheme val="minor"/>
    </font>
    <font>
      <i/>
      <u/>
      <sz val="11"/>
      <name val="Segoe UI"/>
      <family val="2"/>
      <scheme val="minor"/>
    </font>
    <font>
      <b/>
      <sz val="11"/>
      <color indexed="8"/>
      <name val="Segoe UI"/>
      <family val="2"/>
      <scheme val="minor"/>
    </font>
    <font>
      <i/>
      <sz val="9"/>
      <color indexed="8"/>
      <name val="Segoe UI"/>
      <family val="2"/>
      <scheme val="minor"/>
    </font>
    <font>
      <i/>
      <sz val="9"/>
      <name val="Segoe UI"/>
      <family val="2"/>
      <scheme val="minor"/>
    </font>
    <font>
      <i/>
      <sz val="11"/>
      <name val="Segoe UI"/>
      <family val="2"/>
      <scheme val="minor"/>
    </font>
    <font>
      <sz val="11"/>
      <color indexed="8"/>
      <name val="Segoe UI"/>
      <family val="2"/>
    </font>
    <font>
      <b/>
      <sz val="11"/>
      <color indexed="8"/>
      <name val="Segoe UI"/>
      <family val="2"/>
    </font>
    <font>
      <b/>
      <sz val="11"/>
      <name val="Segoe UI"/>
      <family val="2"/>
    </font>
    <font>
      <i/>
      <u/>
      <sz val="1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sz val="11"/>
      <color indexed="12"/>
      <name val="Segoe UI"/>
      <family val="2"/>
    </font>
    <font>
      <i/>
      <sz val="11"/>
      <name val="Segoe UI"/>
      <family val="2"/>
    </font>
    <font>
      <u/>
      <sz val="11"/>
      <color indexed="8"/>
      <name val="Segoe UI"/>
      <family val="2"/>
    </font>
    <font>
      <sz val="9"/>
      <name val="Segoe UI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4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181" fontId="19" fillId="0" borderId="0"/>
    <xf numFmtId="0" fontId="20" fillId="2" borderId="4" applyNumberFormat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  <xf numFmtId="43" fontId="68" fillId="0" borderId="0" applyFont="0" applyFill="0" applyBorder="0" applyAlignment="0" applyProtection="0"/>
    <xf numFmtId="0" fontId="69" fillId="0" borderId="0" applyNumberFormat="0" applyFill="0" applyBorder="0" applyAlignment="0" applyProtection="0"/>
  </cellStyleXfs>
  <cellXfs count="415">
    <xf numFmtId="0" fontId="0" fillId="0" borderId="0" xfId="0"/>
    <xf numFmtId="0" fontId="5" fillId="0" borderId="0" xfId="0" applyFont="1"/>
    <xf numFmtId="0" fontId="6" fillId="0" borderId="0" xfId="0" applyFont="1"/>
    <xf numFmtId="167" fontId="5" fillId="0" borderId="0" xfId="0" applyNumberFormat="1" applyFont="1"/>
    <xf numFmtId="173" fontId="5" fillId="0" borderId="0" xfId="0" quotePrefix="1" applyNumberFormat="1" applyFont="1"/>
    <xf numFmtId="0" fontId="5" fillId="0" borderId="0" xfId="0" quotePrefix="1" applyFont="1"/>
    <xf numFmtId="0" fontId="7" fillId="0" borderId="0" xfId="0" applyFont="1" applyAlignment="1">
      <alignment horizontal="right"/>
    </xf>
    <xf numFmtId="0" fontId="8" fillId="0" borderId="0" xfId="0" applyFont="1"/>
    <xf numFmtId="168" fontId="8" fillId="0" borderId="0" xfId="0" quotePrefix="1" applyNumberFormat="1" applyFont="1"/>
    <xf numFmtId="169" fontId="5" fillId="0" borderId="0" xfId="0" applyNumberFormat="1" applyFont="1"/>
    <xf numFmtId="3" fontId="5" fillId="0" borderId="0" xfId="0" applyNumberFormat="1" applyFont="1"/>
    <xf numFmtId="0" fontId="6" fillId="0" borderId="0" xfId="0" applyFont="1" applyAlignment="1">
      <alignment horizontal="right"/>
    </xf>
    <xf numFmtId="3" fontId="11" fillId="0" borderId="0" xfId="0" applyNumberFormat="1" applyFont="1" applyProtection="1">
      <protection locked="0"/>
    </xf>
    <xf numFmtId="4" fontId="5" fillId="0" borderId="0" xfId="0" applyNumberFormat="1" applyFont="1"/>
    <xf numFmtId="174" fontId="11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Alignment="1">
      <alignment horizontal="right"/>
    </xf>
    <xf numFmtId="176" fontId="11" fillId="0" borderId="1" xfId="0" applyNumberFormat="1" applyFont="1" applyBorder="1" applyProtection="1">
      <protection locked="0"/>
    </xf>
    <xf numFmtId="9" fontId="11" fillId="0" borderId="0" xfId="0" applyNumberFormat="1" applyFont="1" applyProtection="1">
      <protection locked="0"/>
    </xf>
    <xf numFmtId="170" fontId="11" fillId="0" borderId="0" xfId="0" applyNumberFormat="1" applyFont="1" applyProtection="1">
      <protection locked="0"/>
    </xf>
    <xf numFmtId="174" fontId="11" fillId="0" borderId="0" xfId="0" applyNumberFormat="1" applyFont="1" applyProtection="1">
      <protection locked="0"/>
    </xf>
    <xf numFmtId="174" fontId="11" fillId="0" borderId="0" xfId="0" applyNumberFormat="1" applyFont="1"/>
    <xf numFmtId="175" fontId="11" fillId="0" borderId="0" xfId="0" applyNumberFormat="1" applyFont="1"/>
    <xf numFmtId="0" fontId="11" fillId="0" borderId="0" xfId="0" applyFont="1" applyProtection="1">
      <protection locked="0"/>
    </xf>
    <xf numFmtId="0" fontId="12" fillId="0" borderId="0" xfId="0" applyFont="1" applyAlignment="1">
      <alignment horizontal="right"/>
    </xf>
    <xf numFmtId="0" fontId="12" fillId="0" borderId="0" xfId="0" applyFont="1"/>
    <xf numFmtId="174" fontId="8" fillId="0" borderId="0" xfId="0" applyNumberFormat="1" applyFont="1"/>
    <xf numFmtId="164" fontId="5" fillId="0" borderId="0" xfId="0" applyNumberFormat="1" applyFont="1"/>
    <xf numFmtId="0" fontId="13" fillId="0" borderId="0" xfId="0" applyFont="1"/>
    <xf numFmtId="173" fontId="8" fillId="0" borderId="0" xfId="0" applyNumberFormat="1" applyFont="1"/>
    <xf numFmtId="9" fontId="8" fillId="0" borderId="0" xfId="0" applyNumberFormat="1" applyFont="1"/>
    <xf numFmtId="172" fontId="11" fillId="0" borderId="0" xfId="0" applyNumberFormat="1" applyFont="1" applyProtection="1">
      <protection locked="0"/>
    </xf>
    <xf numFmtId="0" fontId="10" fillId="0" borderId="0" xfId="0" applyFont="1"/>
    <xf numFmtId="0" fontId="15" fillId="0" borderId="0" xfId="0" applyFont="1"/>
    <xf numFmtId="0" fontId="4" fillId="0" borderId="0" xfId="0" applyFont="1"/>
    <xf numFmtId="174" fontId="16" fillId="0" borderId="0" xfId="0" applyNumberFormat="1" applyFont="1" applyProtection="1">
      <protection locked="0"/>
    </xf>
    <xf numFmtId="40" fontId="8" fillId="0" borderId="0" xfId="0" quotePrefix="1" applyNumberFormat="1" applyFont="1"/>
    <xf numFmtId="40" fontId="6" fillId="0" borderId="0" xfId="0" applyNumberFormat="1" applyFont="1"/>
    <xf numFmtId="40" fontId="9" fillId="0" borderId="0" xfId="0" applyNumberFormat="1" applyFont="1"/>
    <xf numFmtId="0" fontId="2" fillId="0" borderId="0" xfId="5"/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 wrapText="1"/>
    </xf>
    <xf numFmtId="0" fontId="23" fillId="0" borderId="0" xfId="5" applyFont="1"/>
    <xf numFmtId="0" fontId="24" fillId="0" borderId="0" xfId="5" applyFont="1"/>
    <xf numFmtId="0" fontId="24" fillId="0" borderId="0" xfId="5" applyFont="1" applyAlignment="1">
      <alignment horizontal="left" indent="4"/>
    </xf>
    <xf numFmtId="0" fontId="25" fillId="0" borderId="0" xfId="5" applyFont="1" applyAlignment="1">
      <alignment wrapText="1"/>
    </xf>
    <xf numFmtId="0" fontId="26" fillId="2" borderId="4" xfId="4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164" fontId="29" fillId="0" borderId="0" xfId="0" applyNumberFormat="1" applyFont="1"/>
    <xf numFmtId="0" fontId="31" fillId="0" borderId="0" xfId="0" applyFont="1"/>
    <xf numFmtId="4" fontId="31" fillId="0" borderId="0" xfId="0" applyNumberFormat="1" applyFont="1"/>
    <xf numFmtId="0" fontId="32" fillId="0" borderId="0" xfId="0" applyFont="1" applyAlignment="1">
      <alignment horizontal="right"/>
    </xf>
    <xf numFmtId="167" fontId="31" fillId="0" borderId="0" xfId="0" applyNumberFormat="1" applyFont="1"/>
    <xf numFmtId="0" fontId="33" fillId="0" borderId="0" xfId="0" applyFont="1"/>
    <xf numFmtId="0" fontId="30" fillId="0" borderId="0" xfId="0" applyFont="1"/>
    <xf numFmtId="0" fontId="32" fillId="0" borderId="0" xfId="0" applyFont="1"/>
    <xf numFmtId="9" fontId="35" fillId="0" borderId="0" xfId="0" applyNumberFormat="1" applyFont="1" applyProtection="1">
      <protection locked="0"/>
    </xf>
    <xf numFmtId="3" fontId="35" fillId="0" borderId="0" xfId="0" applyNumberFormat="1" applyFont="1" applyProtection="1">
      <protection locked="0"/>
    </xf>
    <xf numFmtId="3" fontId="31" fillId="0" borderId="0" xfId="0" applyNumberFormat="1" applyFont="1"/>
    <xf numFmtId="3" fontId="29" fillId="0" borderId="0" xfId="0" applyNumberFormat="1" applyFont="1"/>
    <xf numFmtId="0" fontId="36" fillId="0" borderId="0" xfId="0" applyFont="1" applyAlignment="1">
      <alignment horizontal="right"/>
    </xf>
    <xf numFmtId="0" fontId="35" fillId="0" borderId="0" xfId="0" applyFont="1"/>
    <xf numFmtId="0" fontId="34" fillId="0" borderId="0" xfId="0" applyFont="1"/>
    <xf numFmtId="4" fontId="31" fillId="0" borderId="0" xfId="0" quotePrefix="1" applyNumberFormat="1" applyFont="1"/>
    <xf numFmtId="174" fontId="35" fillId="0" borderId="0" xfId="0" applyNumberFormat="1" applyFont="1" applyProtection="1">
      <protection locked="0"/>
    </xf>
    <xf numFmtId="167" fontId="31" fillId="0" borderId="0" xfId="0" quotePrefix="1" applyNumberFormat="1" applyFont="1"/>
    <xf numFmtId="167" fontId="35" fillId="0" borderId="0" xfId="0" applyNumberFormat="1" applyFont="1" applyProtection="1">
      <protection locked="0"/>
    </xf>
    <xf numFmtId="175" fontId="29" fillId="0" borderId="0" xfId="0" applyNumberFormat="1" applyFont="1"/>
    <xf numFmtId="4" fontId="29" fillId="0" borderId="0" xfId="0" applyNumberFormat="1" applyFont="1"/>
    <xf numFmtId="0" fontId="31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178" fontId="31" fillId="0" borderId="0" xfId="0" applyNumberFormat="1" applyFont="1"/>
    <xf numFmtId="4" fontId="32" fillId="0" borderId="0" xfId="0" applyNumberFormat="1" applyFont="1" applyAlignment="1">
      <alignment horizontal="right"/>
    </xf>
    <xf numFmtId="165" fontId="29" fillId="0" borderId="0" xfId="0" applyNumberFormat="1" applyFont="1"/>
    <xf numFmtId="4" fontId="29" fillId="0" borderId="0" xfId="0" applyNumberFormat="1" applyFont="1" applyProtection="1">
      <protection locked="0"/>
    </xf>
    <xf numFmtId="177" fontId="31" fillId="0" borderId="0" xfId="0" applyNumberFormat="1" applyFont="1"/>
    <xf numFmtId="180" fontId="31" fillId="0" borderId="0" xfId="0" applyNumberFormat="1" applyFont="1"/>
    <xf numFmtId="0" fontId="29" fillId="0" borderId="0" xfId="0" quotePrefix="1" applyFont="1"/>
    <xf numFmtId="174" fontId="29" fillId="0" borderId="0" xfId="0" applyNumberFormat="1" applyFont="1"/>
    <xf numFmtId="171" fontId="35" fillId="0" borderId="0" xfId="0" applyNumberFormat="1" applyFont="1" applyProtection="1">
      <protection locked="0"/>
    </xf>
    <xf numFmtId="174" fontId="35" fillId="0" borderId="0" xfId="0" applyNumberFormat="1" applyFont="1"/>
    <xf numFmtId="9" fontId="31" fillId="0" borderId="0" xfId="0" applyNumberFormat="1" applyFont="1"/>
    <xf numFmtId="0" fontId="29" fillId="0" borderId="0" xfId="0" applyFont="1" applyAlignment="1">
      <alignment horizontal="right"/>
    </xf>
    <xf numFmtId="174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29" fillId="4" borderId="0" xfId="0" applyFont="1" applyFill="1" applyProtection="1">
      <protection locked="0"/>
    </xf>
    <xf numFmtId="9" fontId="29" fillId="4" borderId="0" xfId="0" applyNumberFormat="1" applyFont="1" applyFill="1" applyProtection="1">
      <protection locked="0"/>
    </xf>
    <xf numFmtId="3" fontId="29" fillId="4" borderId="0" xfId="0" applyNumberFormat="1" applyFont="1" applyFill="1" applyProtection="1">
      <protection locked="0"/>
    </xf>
    <xf numFmtId="0" fontId="36" fillId="0" borderId="0" xfId="0" applyFont="1"/>
    <xf numFmtId="0" fontId="27" fillId="0" borderId="8" xfId="0" applyFont="1" applyBorder="1"/>
    <xf numFmtId="0" fontId="38" fillId="0" borderId="13" xfId="0" applyFont="1" applyBorder="1" applyAlignment="1">
      <alignment horizontal="right"/>
    </xf>
    <xf numFmtId="0" fontId="38" fillId="0" borderId="14" xfId="0" applyFont="1" applyBorder="1"/>
    <xf numFmtId="0" fontId="38" fillId="0" borderId="1" xfId="0" applyFont="1" applyBorder="1"/>
    <xf numFmtId="9" fontId="39" fillId="0" borderId="1" xfId="0" applyNumberFormat="1" applyFont="1" applyBorder="1"/>
    <xf numFmtId="0" fontId="37" fillId="0" borderId="15" xfId="0" applyFont="1" applyBorder="1" applyAlignment="1">
      <alignment horizontal="right"/>
    </xf>
    <xf numFmtId="0" fontId="39" fillId="0" borderId="8" xfId="0" applyFont="1" applyBorder="1"/>
    <xf numFmtId="0" fontId="38" fillId="0" borderId="0" xfId="0" applyFont="1"/>
    <xf numFmtId="0" fontId="38" fillId="0" borderId="13" xfId="0" applyFont="1" applyBorder="1"/>
    <xf numFmtId="173" fontId="38" fillId="0" borderId="8" xfId="0" applyNumberFormat="1" applyFont="1" applyBorder="1"/>
    <xf numFmtId="0" fontId="40" fillId="0" borderId="13" xfId="0" applyFont="1" applyBorder="1" applyAlignment="1">
      <alignment horizontal="right"/>
    </xf>
    <xf numFmtId="4" fontId="38" fillId="0" borderId="1" xfId="0" applyNumberFormat="1" applyFont="1" applyBorder="1"/>
    <xf numFmtId="0" fontId="38" fillId="0" borderId="8" xfId="0" applyFont="1" applyBorder="1"/>
    <xf numFmtId="0" fontId="42" fillId="0" borderId="13" xfId="0" applyFont="1" applyBorder="1" applyAlignment="1">
      <alignment horizontal="right"/>
    </xf>
    <xf numFmtId="0" fontId="41" fillId="0" borderId="8" xfId="0" applyFont="1" applyBorder="1"/>
    <xf numFmtId="173" fontId="38" fillId="0" borderId="8" xfId="0" quotePrefix="1" applyNumberFormat="1" applyFont="1" applyBorder="1"/>
    <xf numFmtId="40" fontId="38" fillId="0" borderId="1" xfId="0" quotePrefix="1" applyNumberFormat="1" applyFont="1" applyBorder="1"/>
    <xf numFmtId="0" fontId="40" fillId="0" borderId="15" xfId="0" applyFont="1" applyBorder="1" applyAlignment="1">
      <alignment horizontal="right"/>
    </xf>
    <xf numFmtId="0" fontId="38" fillId="0" borderId="16" xfId="0" applyFont="1" applyBorder="1"/>
    <xf numFmtId="0" fontId="37" fillId="0" borderId="3" xfId="0" applyFont="1" applyBorder="1"/>
    <xf numFmtId="0" fontId="27" fillId="0" borderId="3" xfId="0" applyFont="1" applyBorder="1"/>
    <xf numFmtId="40" fontId="37" fillId="0" borderId="3" xfId="0" applyNumberFormat="1" applyFont="1" applyBorder="1"/>
    <xf numFmtId="0" fontId="40" fillId="0" borderId="17" xfId="0" applyFont="1" applyBorder="1" applyAlignment="1">
      <alignment horizontal="right"/>
    </xf>
    <xf numFmtId="0" fontId="38" fillId="0" borderId="18" xfId="0" applyFont="1" applyBorder="1"/>
    <xf numFmtId="0" fontId="37" fillId="0" borderId="2" xfId="0" applyFont="1" applyBorder="1"/>
    <xf numFmtId="0" fontId="27" fillId="0" borderId="2" xfId="0" applyFont="1" applyBorder="1"/>
    <xf numFmtId="40" fontId="37" fillId="0" borderId="2" xfId="0" applyNumberFormat="1" applyFont="1" applyBorder="1"/>
    <xf numFmtId="0" fontId="40" fillId="0" borderId="19" xfId="0" applyFont="1" applyBorder="1" applyAlignment="1">
      <alignment horizontal="right"/>
    </xf>
    <xf numFmtId="0" fontId="43" fillId="0" borderId="0" xfId="0" applyFont="1"/>
    <xf numFmtId="168" fontId="38" fillId="0" borderId="0" xfId="0" quotePrefix="1" applyNumberFormat="1" applyFont="1"/>
    <xf numFmtId="14" fontId="27" fillId="0" borderId="0" xfId="0" quotePrefix="1" applyNumberFormat="1" applyFont="1" applyAlignment="1">
      <alignment horizontal="right"/>
    </xf>
    <xf numFmtId="167" fontId="32" fillId="0" borderId="0" xfId="0" applyNumberFormat="1" applyFont="1" applyAlignment="1">
      <alignment horizontal="right"/>
    </xf>
    <xf numFmtId="4" fontId="29" fillId="4" borderId="0" xfId="0" applyNumberFormat="1" applyFont="1" applyFill="1" applyProtection="1">
      <protection locked="0"/>
    </xf>
    <xf numFmtId="176" fontId="29" fillId="4" borderId="0" xfId="0" applyNumberFormat="1" applyFont="1" applyFill="1" applyProtection="1">
      <protection locked="0"/>
    </xf>
    <xf numFmtId="165" fontId="29" fillId="4" borderId="0" xfId="0" applyNumberFormat="1" applyFont="1" applyFill="1" applyProtection="1">
      <protection locked="0"/>
    </xf>
    <xf numFmtId="1" fontId="29" fillId="4" borderId="0" xfId="0" applyNumberFormat="1" applyFont="1" applyFill="1" applyProtection="1">
      <protection locked="0"/>
    </xf>
    <xf numFmtId="2" fontId="29" fillId="4" borderId="0" xfId="0" applyNumberFormat="1" applyFont="1" applyFill="1" applyProtection="1">
      <protection locked="0"/>
    </xf>
    <xf numFmtId="10" fontId="29" fillId="4" borderId="0" xfId="0" applyNumberFormat="1" applyFont="1" applyFill="1" applyProtection="1">
      <protection locked="0"/>
    </xf>
    <xf numFmtId="0" fontId="44" fillId="0" borderId="0" xfId="0" applyFont="1"/>
    <xf numFmtId="0" fontId="45" fillId="0" borderId="0" xfId="0" applyFont="1"/>
    <xf numFmtId="0" fontId="46" fillId="0" borderId="0" xfId="0" applyFont="1"/>
    <xf numFmtId="172" fontId="29" fillId="4" borderId="0" xfId="0" applyNumberFormat="1" applyFont="1" applyFill="1" applyProtection="1">
      <protection locked="0"/>
    </xf>
    <xf numFmtId="0" fontId="47" fillId="3" borderId="10" xfId="5" applyFont="1" applyFill="1" applyBorder="1"/>
    <xf numFmtId="0" fontId="47" fillId="3" borderId="10" xfId="5" applyFont="1" applyFill="1" applyBorder="1" applyAlignment="1">
      <alignment horizontal="center"/>
    </xf>
    <xf numFmtId="40" fontId="38" fillId="0" borderId="1" xfId="0" applyNumberFormat="1" applyFont="1" applyBorder="1"/>
    <xf numFmtId="0" fontId="39" fillId="0" borderId="1" xfId="0" applyFont="1" applyBorder="1"/>
    <xf numFmtId="0" fontId="39" fillId="0" borderId="2" xfId="0" applyFont="1" applyBorder="1"/>
    <xf numFmtId="0" fontId="38" fillId="0" borderId="2" xfId="0" applyFont="1" applyBorder="1"/>
    <xf numFmtId="40" fontId="39" fillId="0" borderId="2" xfId="0" applyNumberFormat="1" applyFont="1" applyBorder="1"/>
    <xf numFmtId="0" fontId="49" fillId="0" borderId="0" xfId="0" applyFont="1"/>
    <xf numFmtId="169" fontId="49" fillId="0" borderId="0" xfId="0" applyNumberFormat="1" applyFont="1"/>
    <xf numFmtId="0" fontId="50" fillId="0" borderId="0" xfId="0" applyFont="1" applyAlignment="1">
      <alignment horizontal="right"/>
    </xf>
    <xf numFmtId="14" fontId="29" fillId="0" borderId="0" xfId="0" quotePrefix="1" applyNumberFormat="1" applyFont="1" applyAlignment="1">
      <alignment horizontal="right"/>
    </xf>
    <xf numFmtId="166" fontId="38" fillId="0" borderId="1" xfId="0" applyNumberFormat="1" applyFont="1" applyBorder="1"/>
    <xf numFmtId="166" fontId="39" fillId="0" borderId="1" xfId="0" applyNumberFormat="1" applyFont="1" applyBorder="1"/>
    <xf numFmtId="168" fontId="38" fillId="0" borderId="1" xfId="0" applyNumberFormat="1" applyFont="1" applyBorder="1"/>
    <xf numFmtId="40" fontId="39" fillId="0" borderId="1" xfId="0" quotePrefix="1" applyNumberFormat="1" applyFont="1" applyBorder="1"/>
    <xf numFmtId="0" fontId="52" fillId="0" borderId="0" xfId="0" applyFont="1"/>
    <xf numFmtId="0" fontId="37" fillId="0" borderId="8" xfId="0" applyFont="1" applyBorder="1"/>
    <xf numFmtId="0" fontId="39" fillId="0" borderId="14" xfId="0" applyFont="1" applyBorder="1"/>
    <xf numFmtId="167" fontId="39" fillId="0" borderId="13" xfId="0" applyNumberFormat="1" applyFont="1" applyBorder="1"/>
    <xf numFmtId="0" fontId="27" fillId="0" borderId="14" xfId="0" applyFont="1" applyBorder="1"/>
    <xf numFmtId="0" fontId="39" fillId="0" borderId="18" xfId="0" applyFont="1" applyBorder="1"/>
    <xf numFmtId="168" fontId="38" fillId="0" borderId="2" xfId="0" applyNumberFormat="1" applyFont="1" applyBorder="1"/>
    <xf numFmtId="39" fontId="38" fillId="0" borderId="2" xfId="0" quotePrefix="1" applyNumberFormat="1" applyFont="1" applyBorder="1"/>
    <xf numFmtId="175" fontId="31" fillId="0" borderId="0" xfId="0" applyNumberFormat="1" applyFont="1"/>
    <xf numFmtId="0" fontId="35" fillId="0" borderId="0" xfId="0" applyFont="1" applyProtection="1">
      <protection locked="0"/>
    </xf>
    <xf numFmtId="4" fontId="35" fillId="0" borderId="0" xfId="0" applyNumberFormat="1" applyFont="1" applyProtection="1">
      <protection locked="0"/>
    </xf>
    <xf numFmtId="180" fontId="29" fillId="0" borderId="0" xfId="0" applyNumberFormat="1" applyFont="1"/>
    <xf numFmtId="175" fontId="29" fillId="0" borderId="1" xfId="0" applyNumberFormat="1" applyFont="1" applyBorder="1"/>
    <xf numFmtId="4" fontId="31" fillId="0" borderId="1" xfId="0" applyNumberFormat="1" applyFont="1" applyBorder="1"/>
    <xf numFmtId="1" fontId="35" fillId="0" borderId="0" xfId="0" applyNumberFormat="1" applyFont="1" applyProtection="1">
      <protection locked="0"/>
    </xf>
    <xf numFmtId="3" fontId="29" fillId="0" borderId="1" xfId="0" applyNumberFormat="1" applyFont="1" applyBorder="1"/>
    <xf numFmtId="2" fontId="29" fillId="0" borderId="0" xfId="0" applyNumberFormat="1" applyFont="1"/>
    <xf numFmtId="2" fontId="29" fillId="0" borderId="1" xfId="0" applyNumberFormat="1" applyFont="1" applyBorder="1"/>
    <xf numFmtId="2" fontId="31" fillId="0" borderId="0" xfId="0" applyNumberFormat="1" applyFont="1"/>
    <xf numFmtId="2" fontId="35" fillId="0" borderId="0" xfId="0" applyNumberFormat="1" applyFont="1" applyProtection="1">
      <protection locked="0"/>
    </xf>
    <xf numFmtId="0" fontId="53" fillId="0" borderId="0" xfId="0" applyFont="1"/>
    <xf numFmtId="174" fontId="36" fillId="0" borderId="0" xfId="0" applyNumberFormat="1" applyFont="1" applyAlignment="1">
      <alignment horizontal="right"/>
    </xf>
    <xf numFmtId="0" fontId="31" fillId="0" borderId="0" xfId="0" applyFont="1" applyAlignment="1">
      <alignment horizontal="center"/>
    </xf>
    <xf numFmtId="167" fontId="31" fillId="0" borderId="0" xfId="0" applyNumberFormat="1" applyFont="1" applyAlignment="1">
      <alignment horizontal="center"/>
    </xf>
    <xf numFmtId="3" fontId="31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right"/>
    </xf>
    <xf numFmtId="3" fontId="35" fillId="0" borderId="0" xfId="0" applyNumberFormat="1" applyFont="1" applyAlignment="1">
      <alignment horizontal="right"/>
    </xf>
    <xf numFmtId="0" fontId="35" fillId="0" borderId="0" xfId="0" applyFont="1" applyAlignment="1">
      <alignment horizontal="right"/>
    </xf>
    <xf numFmtId="174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center"/>
    </xf>
    <xf numFmtId="174" fontId="35" fillId="0" borderId="0" xfId="0" applyNumberFormat="1" applyFont="1" applyAlignment="1" applyProtection="1">
      <alignment horizontal="right"/>
      <protection locked="0"/>
    </xf>
    <xf numFmtId="0" fontId="31" fillId="0" borderId="1" xfId="0" applyFont="1" applyBorder="1"/>
    <xf numFmtId="167" fontId="31" fillId="0" borderId="1" xfId="0" applyNumberFormat="1" applyFont="1" applyBorder="1"/>
    <xf numFmtId="0" fontId="29" fillId="0" borderId="1" xfId="0" applyFont="1" applyBorder="1"/>
    <xf numFmtId="170" fontId="35" fillId="0" borderId="0" xfId="0" applyNumberFormat="1" applyFont="1" applyProtection="1">
      <protection locked="0"/>
    </xf>
    <xf numFmtId="179" fontId="29" fillId="0" borderId="0" xfId="2" applyNumberFormat="1" applyFont="1" applyAlignment="1" applyProtection="1"/>
    <xf numFmtId="0" fontId="32" fillId="0" borderId="0" xfId="0" applyFont="1" applyAlignment="1">
      <alignment horizontal="center"/>
    </xf>
    <xf numFmtId="165" fontId="31" fillId="0" borderId="0" xfId="0" applyNumberFormat="1" applyFont="1"/>
    <xf numFmtId="0" fontId="44" fillId="0" borderId="0" xfId="0" quotePrefix="1" applyFont="1"/>
    <xf numFmtId="0" fontId="45" fillId="0" borderId="0" xfId="0" applyFont="1" applyAlignment="1">
      <alignment horizontal="left"/>
    </xf>
    <xf numFmtId="3" fontId="30" fillId="0" borderId="0" xfId="0" applyNumberFormat="1" applyFont="1"/>
    <xf numFmtId="3" fontId="54" fillId="0" borderId="0" xfId="0" applyNumberFormat="1" applyFont="1"/>
    <xf numFmtId="4" fontId="29" fillId="4" borderId="0" xfId="0" applyNumberFormat="1" applyFont="1" applyFill="1" applyAlignment="1" applyProtection="1">
      <alignment horizontal="right"/>
      <protection locked="0"/>
    </xf>
    <xf numFmtId="0" fontId="29" fillId="4" borderId="0" xfId="0" applyFont="1" applyFill="1" applyAlignment="1" applyProtection="1">
      <alignment horizontal="right"/>
      <protection locked="0"/>
    </xf>
    <xf numFmtId="0" fontId="56" fillId="0" borderId="0" xfId="0" quotePrefix="1" applyFont="1" applyAlignment="1">
      <alignment horizontal="center"/>
    </xf>
    <xf numFmtId="0" fontId="56" fillId="0" borderId="0" xfId="0" applyFont="1" applyAlignment="1">
      <alignment horizontal="center"/>
    </xf>
    <xf numFmtId="170" fontId="29" fillId="4" borderId="0" xfId="0" applyNumberFormat="1" applyFont="1" applyFill="1" applyProtection="1">
      <protection locked="0"/>
    </xf>
    <xf numFmtId="0" fontId="36" fillId="0" borderId="0" xfId="0" applyFont="1" applyAlignment="1">
      <alignment horizontal="left"/>
    </xf>
    <xf numFmtId="0" fontId="29" fillId="0" borderId="8" xfId="0" applyFont="1" applyBorder="1"/>
    <xf numFmtId="0" fontId="29" fillId="0" borderId="13" xfId="0" applyFont="1" applyBorder="1"/>
    <xf numFmtId="0" fontId="29" fillId="0" borderId="14" xfId="0" applyFont="1" applyBorder="1"/>
    <xf numFmtId="0" fontId="30" fillId="0" borderId="1" xfId="0" applyFont="1" applyBorder="1" applyAlignment="1">
      <alignment horizontal="centerContinuous" wrapText="1"/>
    </xf>
    <xf numFmtId="0" fontId="30" fillId="0" borderId="15" xfId="0" applyFont="1" applyBorder="1" applyAlignment="1">
      <alignment horizontal="right"/>
    </xf>
    <xf numFmtId="0" fontId="30" fillId="0" borderId="8" xfId="0" applyFont="1" applyBorder="1"/>
    <xf numFmtId="0" fontId="36" fillId="0" borderId="13" xfId="0" applyFont="1" applyBorder="1" applyAlignment="1">
      <alignment horizontal="right"/>
    </xf>
    <xf numFmtId="173" fontId="29" fillId="0" borderId="0" xfId="0" quotePrefix="1" applyNumberFormat="1" applyFont="1"/>
    <xf numFmtId="167" fontId="29" fillId="0" borderId="0" xfId="0" applyNumberFormat="1" applyFont="1"/>
    <xf numFmtId="0" fontId="36" fillId="0" borderId="15" xfId="0" applyFont="1" applyBorder="1" applyAlignment="1">
      <alignment horizontal="right"/>
    </xf>
    <xf numFmtId="40" fontId="31" fillId="0" borderId="1" xfId="0" quotePrefix="1" applyNumberFormat="1" applyFont="1" applyBorder="1"/>
    <xf numFmtId="40" fontId="31" fillId="0" borderId="1" xfId="0" applyNumberFormat="1" applyFont="1" applyBorder="1"/>
    <xf numFmtId="0" fontId="54" fillId="0" borderId="8" xfId="0" applyFont="1" applyBorder="1"/>
    <xf numFmtId="0" fontId="54" fillId="0" borderId="14" xfId="0" applyFont="1" applyBorder="1"/>
    <xf numFmtId="40" fontId="31" fillId="0" borderId="1" xfId="0" applyNumberFormat="1" applyFont="1" applyBorder="1" applyAlignment="1">
      <alignment horizontal="right"/>
    </xf>
    <xf numFmtId="0" fontId="31" fillId="0" borderId="8" xfId="0" applyFont="1" applyBorder="1"/>
    <xf numFmtId="0" fontId="31" fillId="0" borderId="14" xfId="0" applyFont="1" applyBorder="1"/>
    <xf numFmtId="0" fontId="54" fillId="0" borderId="1" xfId="0" quotePrefix="1" applyFont="1" applyBorder="1"/>
    <xf numFmtId="40" fontId="54" fillId="0" borderId="1" xfId="0" applyNumberFormat="1" applyFont="1" applyBorder="1"/>
    <xf numFmtId="40" fontId="54" fillId="0" borderId="1" xfId="0" applyNumberFormat="1" applyFont="1" applyBorder="1" applyAlignment="1">
      <alignment horizontal="right"/>
    </xf>
    <xf numFmtId="0" fontId="31" fillId="0" borderId="18" xfId="0" applyFont="1" applyBorder="1"/>
    <xf numFmtId="0" fontId="31" fillId="0" borderId="2" xfId="0" applyFont="1" applyBorder="1"/>
    <xf numFmtId="4" fontId="29" fillId="0" borderId="2" xfId="0" applyNumberFormat="1" applyFont="1" applyBorder="1"/>
    <xf numFmtId="0" fontId="29" fillId="0" borderId="2" xfId="0" applyFont="1" applyBorder="1"/>
    <xf numFmtId="0" fontId="36" fillId="0" borderId="19" xfId="0" applyFont="1" applyBorder="1" applyAlignment="1">
      <alignment horizontal="right"/>
    </xf>
    <xf numFmtId="169" fontId="29" fillId="0" borderId="0" xfId="0" applyNumberFormat="1" applyFont="1"/>
    <xf numFmtId="15" fontId="29" fillId="0" borderId="0" xfId="0" quotePrefix="1" applyNumberFormat="1" applyFont="1" applyAlignment="1">
      <alignment horizontal="right"/>
    </xf>
    <xf numFmtId="14" fontId="29" fillId="0" borderId="0" xfId="0" applyNumberFormat="1" applyFont="1"/>
    <xf numFmtId="0" fontId="29" fillId="0" borderId="1" xfId="0" applyFont="1" applyBorder="1" applyAlignment="1">
      <alignment horizontal="center"/>
    </xf>
    <xf numFmtId="167" fontId="29" fillId="0" borderId="1" xfId="0" applyNumberFormat="1" applyFont="1" applyBorder="1" applyAlignment="1">
      <alignment horizontal="center"/>
    </xf>
    <xf numFmtId="3" fontId="36" fillId="0" borderId="0" xfId="0" applyNumberFormat="1" applyFont="1" applyAlignment="1">
      <alignment horizontal="centerContinuous"/>
    </xf>
    <xf numFmtId="174" fontId="29" fillId="0" borderId="1" xfId="0" applyNumberFormat="1" applyFont="1" applyBorder="1"/>
    <xf numFmtId="0" fontId="29" fillId="0" borderId="1" xfId="0" quotePrefix="1" applyFont="1" applyBorder="1"/>
    <xf numFmtId="176" fontId="35" fillId="0" borderId="0" xfId="0" applyNumberFormat="1" applyFont="1" applyProtection="1">
      <protection locked="0"/>
    </xf>
    <xf numFmtId="0" fontId="57" fillId="0" borderId="1" xfId="0" applyFont="1" applyBorder="1"/>
    <xf numFmtId="170" fontId="31" fillId="0" borderId="0" xfId="0" applyNumberFormat="1" applyFont="1" applyProtection="1">
      <protection locked="0"/>
    </xf>
    <xf numFmtId="175" fontId="35" fillId="0" borderId="0" xfId="0" applyNumberFormat="1" applyFont="1"/>
    <xf numFmtId="4" fontId="31" fillId="0" borderId="0" xfId="0" applyNumberFormat="1" applyFont="1" applyProtection="1">
      <protection locked="0"/>
    </xf>
    <xf numFmtId="176" fontId="29" fillId="4" borderId="1" xfId="0" applyNumberFormat="1" applyFont="1" applyFill="1" applyBorder="1" applyProtection="1">
      <protection locked="0"/>
    </xf>
    <xf numFmtId="171" fontId="29" fillId="0" borderId="0" xfId="0" applyNumberFormat="1" applyFont="1"/>
    <xf numFmtId="174" fontId="45" fillId="0" borderId="0" xfId="0" quotePrefix="1" applyNumberFormat="1" applyFont="1"/>
    <xf numFmtId="174" fontId="45" fillId="0" borderId="0" xfId="0" applyNumberFormat="1" applyFont="1"/>
    <xf numFmtId="170" fontId="31" fillId="4" borderId="0" xfId="0" applyNumberFormat="1" applyFont="1" applyFill="1" applyProtection="1">
      <protection locked="0"/>
    </xf>
    <xf numFmtId="3" fontId="29" fillId="0" borderId="0" xfId="0" applyNumberFormat="1" applyFont="1" applyProtection="1">
      <protection locked="0"/>
    </xf>
    <xf numFmtId="4" fontId="62" fillId="4" borderId="0" xfId="0" applyNumberFormat="1" applyFont="1" applyFill="1" applyProtection="1">
      <protection locked="0"/>
    </xf>
    <xf numFmtId="0" fontId="62" fillId="4" borderId="0" xfId="0" applyFont="1" applyFill="1" applyProtection="1">
      <protection locked="0"/>
    </xf>
    <xf numFmtId="2" fontId="62" fillId="4" borderId="0" xfId="0" applyNumberFormat="1" applyFont="1" applyFill="1" applyProtection="1">
      <protection locked="0"/>
    </xf>
    <xf numFmtId="4" fontId="62" fillId="4" borderId="0" xfId="0" applyNumberFormat="1" applyFont="1" applyFill="1" applyAlignment="1" applyProtection="1">
      <alignment horizontal="right"/>
      <protection locked="0"/>
    </xf>
    <xf numFmtId="0" fontId="62" fillId="4" borderId="0" xfId="0" applyFont="1" applyFill="1" applyAlignment="1" applyProtection="1">
      <alignment horizontal="right"/>
      <protection locked="0"/>
    </xf>
    <xf numFmtId="9" fontId="62" fillId="4" borderId="0" xfId="0" applyNumberFormat="1" applyFont="1" applyFill="1" applyProtection="1">
      <protection locked="0"/>
    </xf>
    <xf numFmtId="9" fontId="62" fillId="4" borderId="0" xfId="2" applyFont="1" applyFill="1" applyAlignment="1" applyProtection="1">
      <alignment horizontal="right"/>
      <protection locked="0"/>
    </xf>
    <xf numFmtId="3" fontId="62" fillId="4" borderId="0" xfId="0" applyNumberFormat="1" applyFont="1" applyFill="1" applyAlignment="1" applyProtection="1">
      <alignment horizontal="right"/>
      <protection locked="0"/>
    </xf>
    <xf numFmtId="10" fontId="62" fillId="4" borderId="0" xfId="0" applyNumberFormat="1" applyFont="1" applyFill="1" applyProtection="1">
      <protection locked="0"/>
    </xf>
    <xf numFmtId="43" fontId="31" fillId="0" borderId="0" xfId="9" applyFont="1" applyProtection="1">
      <protection locked="0"/>
    </xf>
    <xf numFmtId="43" fontId="29" fillId="4" borderId="0" xfId="9" applyFont="1" applyFill="1" applyProtection="1">
      <protection locked="0"/>
    </xf>
    <xf numFmtId="43" fontId="29" fillId="0" borderId="0" xfId="9" applyFont="1" applyProtection="1">
      <protection locked="0"/>
    </xf>
    <xf numFmtId="10" fontId="62" fillId="4" borderId="0" xfId="2" applyNumberFormat="1" applyFont="1" applyFill="1" applyProtection="1">
      <protection locked="0"/>
    </xf>
    <xf numFmtId="40" fontId="38" fillId="0" borderId="0" xfId="0" applyNumberFormat="1" applyFont="1"/>
    <xf numFmtId="0" fontId="39" fillId="0" borderId="0" xfId="0" applyFont="1"/>
    <xf numFmtId="0" fontId="39" fillId="0" borderId="0" xfId="0" applyFont="1" applyAlignment="1">
      <alignment horizontal="right"/>
    </xf>
    <xf numFmtId="40" fontId="39" fillId="0" borderId="0" xfId="0" applyNumberFormat="1" applyFont="1"/>
    <xf numFmtId="167" fontId="39" fillId="0" borderId="0" xfId="0" applyNumberFormat="1" applyFont="1"/>
    <xf numFmtId="168" fontId="38" fillId="0" borderId="0" xfId="0" applyNumberFormat="1" applyFont="1"/>
    <xf numFmtId="167" fontId="38" fillId="0" borderId="0" xfId="0" applyNumberFormat="1" applyFont="1"/>
    <xf numFmtId="4" fontId="38" fillId="0" borderId="0" xfId="0" applyNumberFormat="1" applyFont="1"/>
    <xf numFmtId="40" fontId="38" fillId="0" borderId="0" xfId="0" quotePrefix="1" applyNumberFormat="1" applyFont="1"/>
    <xf numFmtId="40" fontId="39" fillId="0" borderId="0" xfId="0" quotePrefix="1" applyNumberFormat="1" applyFont="1"/>
    <xf numFmtId="39" fontId="38" fillId="0" borderId="0" xfId="0" quotePrefix="1" applyNumberFormat="1" applyFont="1"/>
    <xf numFmtId="0" fontId="27" fillId="0" borderId="23" xfId="0" applyFont="1" applyBorder="1"/>
    <xf numFmtId="0" fontId="27" fillId="0" borderId="10" xfId="0" applyFont="1" applyBorder="1"/>
    <xf numFmtId="164" fontId="27" fillId="0" borderId="24" xfId="0" applyNumberFormat="1" applyFont="1" applyBorder="1"/>
    <xf numFmtId="0" fontId="37" fillId="0" borderId="0" xfId="0" applyFont="1" applyAlignment="1">
      <alignment horizontal="centerContinuous"/>
    </xf>
    <xf numFmtId="0" fontId="39" fillId="0" borderId="0" xfId="0" applyFont="1" applyAlignment="1">
      <alignment horizontal="center"/>
    </xf>
    <xf numFmtId="4" fontId="39" fillId="0" borderId="0" xfId="0" applyNumberFormat="1" applyFont="1"/>
    <xf numFmtId="0" fontId="41" fillId="0" borderId="0" xfId="0" applyFont="1"/>
    <xf numFmtId="0" fontId="37" fillId="0" borderId="0" xfId="0" applyFont="1" applyAlignment="1">
      <alignment horizontal="right"/>
    </xf>
    <xf numFmtId="40" fontId="37" fillId="0" borderId="0" xfId="0" applyNumberFormat="1" applyFont="1"/>
    <xf numFmtId="0" fontId="37" fillId="0" borderId="0" xfId="0" applyFont="1"/>
    <xf numFmtId="40" fontId="27" fillId="0" borderId="0" xfId="0" applyNumberFormat="1" applyFont="1"/>
    <xf numFmtId="0" fontId="36" fillId="0" borderId="1" xfId="0" applyFont="1" applyBorder="1"/>
    <xf numFmtId="0" fontId="29" fillId="0" borderId="1" xfId="0" applyFont="1" applyBorder="1" applyAlignment="1">
      <alignment horizontal="centerContinuous"/>
    </xf>
    <xf numFmtId="0" fontId="29" fillId="0" borderId="15" xfId="0" applyFont="1" applyBorder="1"/>
    <xf numFmtId="0" fontId="30" fillId="0" borderId="1" xfId="0" applyFont="1" applyBorder="1" applyAlignment="1">
      <alignment horizontal="centerContinuous"/>
    </xf>
    <xf numFmtId="40" fontId="29" fillId="0" borderId="0" xfId="0" applyNumberFormat="1" applyFont="1"/>
    <xf numFmtId="0" fontId="30" fillId="0" borderId="0" xfId="0" applyFont="1" applyAlignment="1">
      <alignment horizontal="right"/>
    </xf>
    <xf numFmtId="40" fontId="30" fillId="0" borderId="0" xfId="0" applyNumberFormat="1" applyFont="1"/>
    <xf numFmtId="40" fontId="31" fillId="0" borderId="0" xfId="0" applyNumberFormat="1" applyFont="1"/>
    <xf numFmtId="168" fontId="29" fillId="0" borderId="0" xfId="0" applyNumberFormat="1" applyFont="1"/>
    <xf numFmtId="0" fontId="31" fillId="0" borderId="0" xfId="0" quotePrefix="1" applyFont="1"/>
    <xf numFmtId="40" fontId="54" fillId="0" borderId="0" xfId="0" quotePrefix="1" applyNumberFormat="1" applyFont="1"/>
    <xf numFmtId="40" fontId="31" fillId="0" borderId="0" xfId="0" quotePrefix="1" applyNumberFormat="1" applyFont="1"/>
    <xf numFmtId="40" fontId="54" fillId="0" borderId="0" xfId="0" applyNumberFormat="1" applyFont="1"/>
    <xf numFmtId="0" fontId="54" fillId="0" borderId="0" xfId="0" quotePrefix="1" applyFont="1"/>
    <xf numFmtId="8" fontId="54" fillId="0" borderId="0" xfId="0" applyNumberFormat="1" applyFont="1"/>
    <xf numFmtId="169" fontId="31" fillId="0" borderId="0" xfId="0" applyNumberFormat="1" applyFont="1"/>
    <xf numFmtId="168" fontId="31" fillId="0" borderId="0" xfId="0" applyNumberFormat="1" applyFont="1"/>
    <xf numFmtId="40" fontId="54" fillId="0" borderId="0" xfId="0" applyNumberFormat="1" applyFont="1" applyAlignment="1">
      <alignment horizontal="right"/>
    </xf>
    <xf numFmtId="8" fontId="54" fillId="0" borderId="0" xfId="0" applyNumberFormat="1" applyFont="1" applyAlignment="1">
      <alignment horizontal="right"/>
    </xf>
    <xf numFmtId="10" fontId="63" fillId="4" borderId="0" xfId="2" applyNumberFormat="1" applyFont="1" applyFill="1" applyProtection="1">
      <protection locked="0"/>
    </xf>
    <xf numFmtId="0" fontId="69" fillId="0" borderId="0" xfId="10"/>
    <xf numFmtId="176" fontId="29" fillId="0" borderId="0" xfId="0" applyNumberFormat="1" applyFont="1" applyProtection="1">
      <protection locked="0"/>
    </xf>
    <xf numFmtId="0" fontId="38" fillId="0" borderId="20" xfId="0" applyFont="1" applyBorder="1"/>
    <xf numFmtId="0" fontId="39" fillId="0" borderId="21" xfId="0" applyFont="1" applyBorder="1"/>
    <xf numFmtId="0" fontId="38" fillId="0" borderId="21" xfId="0" applyFont="1" applyBorder="1"/>
    <xf numFmtId="40" fontId="39" fillId="0" borderId="21" xfId="0" applyNumberFormat="1" applyFont="1" applyBorder="1"/>
    <xf numFmtId="0" fontId="40" fillId="0" borderId="22" xfId="0" applyFont="1" applyBorder="1" applyAlignment="1">
      <alignment horizontal="right"/>
    </xf>
    <xf numFmtId="4" fontId="27" fillId="0" borderId="0" xfId="0" applyNumberFormat="1" applyFont="1" applyProtection="1">
      <protection locked="0"/>
    </xf>
    <xf numFmtId="9" fontId="31" fillId="0" borderId="0" xfId="2" quotePrefix="1" applyFont="1" applyFill="1"/>
    <xf numFmtId="0" fontId="69" fillId="0" borderId="0" xfId="10" applyFill="1"/>
    <xf numFmtId="0" fontId="47" fillId="3" borderId="9" xfId="5" applyFont="1" applyFill="1" applyBorder="1" applyAlignment="1">
      <alignment horizontal="left"/>
    </xf>
    <xf numFmtId="175" fontId="8" fillId="0" borderId="0" xfId="0" applyNumberFormat="1" applyFont="1"/>
    <xf numFmtId="40" fontId="5" fillId="0" borderId="0" xfId="0" applyNumberFormat="1" applyFont="1"/>
    <xf numFmtId="0" fontId="48" fillId="3" borderId="5" xfId="5" applyFont="1" applyFill="1" applyBorder="1" applyAlignment="1">
      <alignment horizontal="center"/>
    </xf>
    <xf numFmtId="0" fontId="48" fillId="3" borderId="6" xfId="5" applyFont="1" applyFill="1" applyBorder="1" applyAlignment="1">
      <alignment horizontal="center"/>
    </xf>
    <xf numFmtId="0" fontId="23" fillId="0" borderId="0" xfId="5" applyFont="1" applyAlignment="1">
      <alignment horizontal="right"/>
    </xf>
    <xf numFmtId="0" fontId="23" fillId="0" borderId="0" xfId="5" applyFont="1"/>
    <xf numFmtId="0" fontId="22" fillId="3" borderId="5" xfId="5" applyFont="1" applyFill="1" applyBorder="1"/>
    <xf numFmtId="0" fontId="22" fillId="3" borderId="6" xfId="5" applyFont="1" applyFill="1" applyBorder="1"/>
    <xf numFmtId="0" fontId="48" fillId="3" borderId="11" xfId="5" applyFont="1" applyFill="1" applyBorder="1" applyAlignment="1">
      <alignment horizontal="center"/>
    </xf>
    <xf numFmtId="0" fontId="48" fillId="3" borderId="7" xfId="5" applyFont="1" applyFill="1" applyBorder="1" applyAlignment="1">
      <alignment horizontal="center"/>
    </xf>
    <xf numFmtId="0" fontId="48" fillId="3" borderId="12" xfId="5" applyFont="1" applyFill="1" applyBorder="1" applyAlignment="1">
      <alignment horizontal="center"/>
    </xf>
    <xf numFmtId="0" fontId="55" fillId="0" borderId="0" xfId="0" applyFont="1" applyAlignment="1">
      <alignment horizontal="center"/>
    </xf>
    <xf numFmtId="0" fontId="48" fillId="3" borderId="20" xfId="5" applyFont="1" applyFill="1" applyBorder="1" applyAlignment="1">
      <alignment horizontal="center"/>
    </xf>
    <xf numFmtId="0" fontId="48" fillId="3" borderId="21" xfId="5" applyFont="1" applyFill="1" applyBorder="1" applyAlignment="1">
      <alignment horizontal="center"/>
    </xf>
    <xf numFmtId="0" fontId="48" fillId="3" borderId="22" xfId="5" applyFont="1" applyFill="1" applyBorder="1" applyAlignment="1">
      <alignment horizontal="center"/>
    </xf>
    <xf numFmtId="4" fontId="27" fillId="4" borderId="0" xfId="0" applyNumberFormat="1" applyFont="1" applyFill="1" applyProtection="1">
      <protection locked="0"/>
    </xf>
    <xf numFmtId="10" fontId="27" fillId="4" borderId="0" xfId="0" applyNumberFormat="1" applyFont="1" applyFill="1" applyProtection="1">
      <protection locked="0"/>
    </xf>
    <xf numFmtId="14" fontId="27" fillId="4" borderId="0" xfId="0" applyNumberFormat="1" applyFont="1" applyFill="1" applyProtection="1">
      <protection locked="0"/>
    </xf>
    <xf numFmtId="4" fontId="29" fillId="0" borderId="0" xfId="0" applyNumberFormat="1" applyFont="1" applyFill="1" applyProtection="1">
      <protection locked="0"/>
    </xf>
    <xf numFmtId="0" fontId="5" fillId="0" borderId="0" xfId="0" applyFont="1" applyProtection="1"/>
    <xf numFmtId="0" fontId="48" fillId="3" borderId="20" xfId="5" applyFont="1" applyFill="1" applyBorder="1" applyAlignment="1" applyProtection="1">
      <alignment horizontal="center"/>
    </xf>
    <xf numFmtId="0" fontId="48" fillId="3" borderId="21" xfId="5" applyFont="1" applyFill="1" applyBorder="1" applyAlignment="1" applyProtection="1">
      <alignment horizontal="center"/>
    </xf>
    <xf numFmtId="0" fontId="48" fillId="3" borderId="22" xfId="5" applyFont="1" applyFill="1" applyBorder="1" applyAlignment="1" applyProtection="1">
      <alignment horizontal="center"/>
    </xf>
    <xf numFmtId="0" fontId="6" fillId="0" borderId="0" xfId="0" applyFont="1" applyProtection="1"/>
    <xf numFmtId="0" fontId="51" fillId="0" borderId="14" xfId="5" applyFont="1" applyBorder="1" applyAlignment="1" applyProtection="1">
      <alignment horizontal="center"/>
    </xf>
    <xf numFmtId="0" fontId="51" fillId="0" borderId="1" xfId="5" applyFont="1" applyBorder="1" applyAlignment="1" applyProtection="1">
      <alignment horizontal="center"/>
    </xf>
    <xf numFmtId="0" fontId="51" fillId="0" borderId="15" xfId="5" applyFont="1" applyBorder="1" applyAlignment="1" applyProtection="1">
      <alignment horizontal="center"/>
    </xf>
    <xf numFmtId="0" fontId="29" fillId="0" borderId="14" xfId="0" applyFont="1" applyBorder="1" applyProtection="1"/>
    <xf numFmtId="0" fontId="29" fillId="0" borderId="1" xfId="0" applyFont="1" applyBorder="1" applyProtection="1"/>
    <xf numFmtId="0" fontId="30" fillId="0" borderId="1" xfId="0" applyFont="1" applyBorder="1" applyProtection="1"/>
    <xf numFmtId="0" fontId="30" fillId="0" borderId="15" xfId="0" applyFont="1" applyBorder="1" applyAlignment="1" applyProtection="1">
      <alignment horizontal="right"/>
    </xf>
    <xf numFmtId="0" fontId="30" fillId="0" borderId="8" xfId="0" applyFont="1" applyBorder="1" applyProtection="1"/>
    <xf numFmtId="0" fontId="30" fillId="0" borderId="0" xfId="0" applyFont="1" applyProtection="1"/>
    <xf numFmtId="0" fontId="29" fillId="0" borderId="0" xfId="0" applyFont="1" applyProtection="1"/>
    <xf numFmtId="0" fontId="29" fillId="0" borderId="13" xfId="0" applyFont="1" applyBorder="1" applyProtection="1"/>
    <xf numFmtId="0" fontId="29" fillId="0" borderId="8" xfId="0" applyFont="1" applyBorder="1" applyProtection="1"/>
    <xf numFmtId="4" fontId="29" fillId="0" borderId="0" xfId="0" applyNumberFormat="1" applyFont="1" applyProtection="1"/>
    <xf numFmtId="40" fontId="29" fillId="0" borderId="13" xfId="0" applyNumberFormat="1" applyFont="1" applyBorder="1" applyAlignment="1" applyProtection="1">
      <alignment horizontal="right"/>
    </xf>
    <xf numFmtId="173" fontId="5" fillId="0" borderId="0" xfId="0" quotePrefix="1" applyNumberFormat="1" applyFont="1" applyProtection="1"/>
    <xf numFmtId="173" fontId="29" fillId="0" borderId="8" xfId="0" quotePrefix="1" applyNumberFormat="1" applyFont="1" applyBorder="1" applyProtection="1"/>
    <xf numFmtId="40" fontId="38" fillId="0" borderId="0" xfId="0" applyNumberFormat="1" applyFont="1" applyProtection="1"/>
    <xf numFmtId="0" fontId="30" fillId="0" borderId="0" xfId="0" applyFont="1" applyAlignment="1" applyProtection="1">
      <alignment horizontal="right"/>
    </xf>
    <xf numFmtId="4" fontId="30" fillId="0" borderId="0" xfId="0" applyNumberFormat="1" applyFont="1" applyProtection="1"/>
    <xf numFmtId="40" fontId="30" fillId="0" borderId="13" xfId="0" applyNumberFormat="1" applyFont="1" applyBorder="1" applyAlignment="1" applyProtection="1">
      <alignment horizontal="right"/>
    </xf>
    <xf numFmtId="4" fontId="29" fillId="0" borderId="1" xfId="0" applyNumberFormat="1" applyFont="1" applyBorder="1" applyProtection="1"/>
    <xf numFmtId="40" fontId="31" fillId="0" borderId="13" xfId="0" quotePrefix="1" applyNumberFormat="1" applyFont="1" applyBorder="1" applyAlignment="1" applyProtection="1">
      <alignment horizontal="right"/>
    </xf>
    <xf numFmtId="0" fontId="0" fillId="0" borderId="8" xfId="0" applyBorder="1" applyProtection="1"/>
    <xf numFmtId="0" fontId="0" fillId="0" borderId="0" xfId="0" applyProtection="1"/>
    <xf numFmtId="2" fontId="29" fillId="0" borderId="0" xfId="0" quotePrefix="1" applyNumberFormat="1" applyFont="1" applyProtection="1"/>
    <xf numFmtId="0" fontId="30" fillId="0" borderId="13" xfId="0" applyFont="1" applyBorder="1" applyAlignment="1" applyProtection="1">
      <alignment horizontal="right"/>
    </xf>
    <xf numFmtId="0" fontId="8" fillId="0" borderId="0" xfId="0" applyFont="1" applyProtection="1"/>
    <xf numFmtId="0" fontId="31" fillId="0" borderId="8" xfId="0" applyFont="1" applyBorder="1" applyProtection="1"/>
    <xf numFmtId="0" fontId="30" fillId="0" borderId="3" xfId="0" quotePrefix="1" applyFont="1" applyBorder="1" applyProtection="1"/>
    <xf numFmtId="0" fontId="30" fillId="0" borderId="3" xfId="0" applyFont="1" applyBorder="1" applyProtection="1"/>
    <xf numFmtId="182" fontId="30" fillId="0" borderId="3" xfId="0" applyNumberFormat="1" applyFont="1" applyBorder="1" applyProtection="1"/>
    <xf numFmtId="40" fontId="29" fillId="0" borderId="17" xfId="0" applyNumberFormat="1" applyFont="1" applyBorder="1" applyAlignment="1" applyProtection="1">
      <alignment horizontal="right"/>
    </xf>
    <xf numFmtId="0" fontId="31" fillId="0" borderId="14" xfId="0" applyFont="1" applyBorder="1" applyProtection="1"/>
    <xf numFmtId="182" fontId="30" fillId="0" borderId="1" xfId="0" applyNumberFormat="1" applyFont="1" applyBorder="1" applyProtection="1"/>
    <xf numFmtId="40" fontId="29" fillId="0" borderId="15" xfId="0" applyNumberFormat="1" applyFont="1" applyBorder="1" applyAlignment="1" applyProtection="1">
      <alignment horizontal="right"/>
    </xf>
    <xf numFmtId="2" fontId="30" fillId="0" borderId="0" xfId="0" applyNumberFormat="1" applyFont="1" applyProtection="1"/>
    <xf numFmtId="40" fontId="29" fillId="0" borderId="13" xfId="0" applyNumberFormat="1" applyFont="1" applyBorder="1" applyProtection="1"/>
    <xf numFmtId="2" fontId="29" fillId="0" borderId="0" xfId="0" applyNumberFormat="1" applyFont="1" applyProtection="1"/>
    <xf numFmtId="0" fontId="31" fillId="0" borderId="18" xfId="0" applyFont="1" applyBorder="1" applyProtection="1"/>
    <xf numFmtId="0" fontId="29" fillId="0" borderId="2" xfId="0" applyFont="1" applyBorder="1" applyProtection="1"/>
    <xf numFmtId="2" fontId="29" fillId="0" borderId="2" xfId="0" applyNumberFormat="1" applyFont="1" applyBorder="1" applyProtection="1"/>
    <xf numFmtId="0" fontId="30" fillId="0" borderId="19" xfId="0" applyFont="1" applyBorder="1" applyProtection="1"/>
    <xf numFmtId="2" fontId="5" fillId="0" borderId="0" xfId="0" applyNumberFormat="1" applyFont="1" applyProtection="1"/>
    <xf numFmtId="14" fontId="29" fillId="0" borderId="0" xfId="0" applyNumberFormat="1" applyFont="1" applyProtection="1"/>
    <xf numFmtId="0" fontId="58" fillId="0" borderId="0" xfId="0" applyFont="1" applyProtection="1"/>
    <xf numFmtId="0" fontId="59" fillId="0" borderId="0" xfId="0" applyFont="1" applyProtection="1"/>
    <xf numFmtId="0" fontId="60" fillId="0" borderId="0" xfId="0" applyFont="1" applyProtection="1"/>
    <xf numFmtId="167" fontId="8" fillId="0" borderId="0" xfId="0" applyNumberFormat="1" applyFont="1" applyProtection="1"/>
    <xf numFmtId="0" fontId="61" fillId="0" borderId="0" xfId="0" applyFont="1" applyProtection="1"/>
    <xf numFmtId="0" fontId="62" fillId="0" borderId="0" xfId="0" applyFont="1" applyProtection="1"/>
    <xf numFmtId="0" fontId="63" fillId="0" borderId="0" xfId="0" applyFont="1" applyProtection="1"/>
    <xf numFmtId="0" fontId="7" fillId="0" borderId="0" xfId="0" applyFont="1" applyAlignment="1" applyProtection="1">
      <alignment horizontal="right"/>
    </xf>
    <xf numFmtId="0" fontId="36" fillId="0" borderId="0" xfId="0" applyFont="1" applyAlignment="1" applyProtection="1">
      <alignment horizontal="left"/>
    </xf>
    <xf numFmtId="0" fontId="36" fillId="0" borderId="0" xfId="0" applyFont="1" applyAlignment="1" applyProtection="1">
      <alignment horizontal="right"/>
    </xf>
    <xf numFmtId="0" fontId="67" fillId="0" borderId="0" xfId="0" applyFont="1" applyProtection="1"/>
    <xf numFmtId="0" fontId="3" fillId="0" borderId="0" xfId="0" applyFont="1" applyProtection="1"/>
    <xf numFmtId="0" fontId="45" fillId="0" borderId="0" xfId="0" applyFont="1" applyAlignment="1" applyProtection="1">
      <alignment horizontal="left"/>
    </xf>
    <xf numFmtId="0" fontId="62" fillId="0" borderId="0" xfId="0" applyFont="1" applyAlignment="1" applyProtection="1">
      <alignment horizontal="left"/>
    </xf>
    <xf numFmtId="174" fontId="62" fillId="0" borderId="0" xfId="0" applyNumberFormat="1" applyFont="1" applyProtection="1"/>
    <xf numFmtId="4" fontId="62" fillId="0" borderId="0" xfId="0" applyNumberFormat="1" applyFont="1" applyProtection="1"/>
    <xf numFmtId="0" fontId="44" fillId="0" borderId="0" xfId="0" applyFont="1" applyProtection="1"/>
    <xf numFmtId="3" fontId="64" fillId="0" borderId="0" xfId="0" applyNumberFormat="1" applyFont="1" applyAlignment="1" applyProtection="1">
      <alignment horizontal="left"/>
    </xf>
    <xf numFmtId="9" fontId="62" fillId="0" borderId="0" xfId="2" applyFont="1" applyFill="1" applyAlignment="1" applyProtection="1">
      <alignment horizontal="right"/>
    </xf>
    <xf numFmtId="0" fontId="34" fillId="0" borderId="0" xfId="0" applyFont="1" applyProtection="1"/>
    <xf numFmtId="0" fontId="36" fillId="0" borderId="0" xfId="0" applyFont="1" applyProtection="1"/>
    <xf numFmtId="3" fontId="62" fillId="0" borderId="0" xfId="0" applyNumberFormat="1" applyFont="1" applyProtection="1"/>
    <xf numFmtId="174" fontId="67" fillId="0" borderId="0" xfId="0" quotePrefix="1" applyNumberFormat="1" applyFont="1" applyProtection="1"/>
    <xf numFmtId="10" fontId="58" fillId="0" borderId="0" xfId="0" applyNumberFormat="1" applyFont="1" applyProtection="1"/>
    <xf numFmtId="170" fontId="58" fillId="0" borderId="0" xfId="0" applyNumberFormat="1" applyFont="1" applyProtection="1"/>
    <xf numFmtId="3" fontId="0" fillId="0" borderId="0" xfId="0" applyNumberFormat="1" applyProtection="1"/>
    <xf numFmtId="7" fontId="62" fillId="0" borderId="0" xfId="1" applyNumberFormat="1" applyFont="1" applyProtection="1"/>
    <xf numFmtId="0" fontId="53" fillId="0" borderId="0" xfId="0" applyFont="1" applyProtection="1"/>
    <xf numFmtId="0" fontId="62" fillId="0" borderId="0" xfId="0" quotePrefix="1" applyFont="1" applyProtection="1"/>
    <xf numFmtId="0" fontId="46" fillId="0" borderId="0" xfId="0" applyFont="1" applyProtection="1"/>
    <xf numFmtId="0" fontId="65" fillId="0" borderId="0" xfId="0" applyFont="1" applyProtection="1"/>
    <xf numFmtId="0" fontId="66" fillId="0" borderId="0" xfId="0" applyFont="1" applyProtection="1"/>
    <xf numFmtId="0" fontId="66" fillId="0" borderId="0" xfId="0" applyFont="1" applyAlignment="1" applyProtection="1">
      <alignment horizontal="right"/>
    </xf>
    <xf numFmtId="0" fontId="32" fillId="0" borderId="0" xfId="0" applyFont="1" applyProtection="1"/>
    <xf numFmtId="0" fontId="32" fillId="0" borderId="0" xfId="0" applyFont="1" applyAlignment="1" applyProtection="1">
      <alignment horizontal="right"/>
    </xf>
    <xf numFmtId="3" fontId="29" fillId="5" borderId="0" xfId="0" applyNumberFormat="1" applyFont="1" applyFill="1" applyProtection="1"/>
    <xf numFmtId="4" fontId="31" fillId="0" borderId="0" xfId="0" applyNumberFormat="1" applyFont="1" applyProtection="1"/>
    <xf numFmtId="0" fontId="62" fillId="0" borderId="0" xfId="0" applyFont="1" applyAlignment="1" applyProtection="1">
      <alignment horizontal="right"/>
    </xf>
    <xf numFmtId="3" fontId="31" fillId="0" borderId="0" xfId="0" applyNumberFormat="1" applyFont="1" applyProtection="1"/>
    <xf numFmtId="0" fontId="36" fillId="0" borderId="0" xfId="0" applyFont="1" applyAlignment="1" applyProtection="1">
      <alignment horizontal="center"/>
    </xf>
    <xf numFmtId="0" fontId="56" fillId="0" borderId="0" xfId="0" quotePrefix="1" applyFont="1" applyAlignment="1" applyProtection="1">
      <alignment horizontal="center"/>
    </xf>
    <xf numFmtId="44" fontId="63" fillId="0" borderId="0" xfId="1" applyFont="1" applyProtection="1"/>
  </cellXfs>
  <cellStyles count="11">
    <cellStyle name="Comma" xfId="9" builtinId="3"/>
    <cellStyle name="Currency" xfId="1" builtinId="4"/>
    <cellStyle name="Hyperlink" xfId="10" builtinId="8"/>
    <cellStyle name="Normal" xfId="0" builtinId="0"/>
    <cellStyle name="Normal 2" xfId="3" xr:uid="{6119C048-0403-44D0-8836-6BBEEC0F799C}"/>
    <cellStyle name="Normal 2 2" xfId="5" xr:uid="{7A0E3625-EACC-4F3C-AF5A-CE07342DFCA6}"/>
    <cellStyle name="Normal 2 3" xfId="8" xr:uid="{ACAEB1B2-BAD8-44F9-AA4C-C0A0749E5272}"/>
    <cellStyle name="Normal 3" xfId="6" xr:uid="{9FFBD2BD-F7CF-458E-99DE-94DEA0D06EC6}"/>
    <cellStyle name="Output" xfId="4" builtinId="21"/>
    <cellStyle name="Percent" xfId="2" builtinId="5"/>
    <cellStyle name="Percent 2" xfId="7" xr:uid="{7302AA40-DB61-40B1-8D15-718B6950C032}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3857625</xdr:colOff>
      <xdr:row>3</xdr:row>
      <xdr:rowOff>187675</xdr:rowOff>
    </xdr:from>
    <xdr:to>
      <xdr:col>2</xdr:col>
      <xdr:colOff>6153150</xdr:colOff>
      <xdr:row>7</xdr:row>
      <xdr:rowOff>70425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FFB761-6873-42F5-B9A8-53670DE49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883000"/>
          <a:ext cx="2295525" cy="7209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">
      <a:majorFont>
        <a:latin typeface="Segoe UI Black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CDA39-E794-47BA-B6F0-29565C81743C}">
  <dimension ref="B1:D16"/>
  <sheetViews>
    <sheetView showGridLines="0" zoomScaleNormal="100" workbookViewId="0">
      <selection activeCell="D9" sqref="D9"/>
    </sheetView>
  </sheetViews>
  <sheetFormatPr defaultColWidth="0" defaultRowHeight="16.5" zeroHeight="1"/>
  <cols>
    <col min="1" max="1" width="2.77734375" style="38" customWidth="1"/>
    <col min="2" max="2" width="8.88671875" style="38" customWidth="1"/>
    <col min="3" max="3" width="72" style="38" customWidth="1"/>
    <col min="4" max="4" width="8.88671875" style="38" customWidth="1"/>
    <col min="5" max="5" width="2.77734375" style="38" customWidth="1"/>
    <col min="6" max="16384" width="8.88671875" style="38" hidden="1"/>
  </cols>
  <sheetData>
    <row r="1" spans="2:4" ht="17.25" thickBot="1"/>
    <row r="2" spans="2:4" ht="21" thickBot="1">
      <c r="B2" s="307" t="s">
        <v>175</v>
      </c>
      <c r="C2" s="308"/>
      <c r="D2" s="308"/>
    </row>
    <row r="3" spans="2:4">
      <c r="B3" s="309" t="s">
        <v>283</v>
      </c>
      <c r="C3" s="309"/>
      <c r="D3" s="309"/>
    </row>
    <row r="4" spans="2:4">
      <c r="B4" s="310"/>
      <c r="C4" s="310"/>
      <c r="D4" s="310"/>
    </row>
    <row r="5" spans="2:4">
      <c r="B5" s="41"/>
      <c r="C5" s="42" t="s">
        <v>176</v>
      </c>
      <c r="D5" s="41"/>
    </row>
    <row r="6" spans="2:4">
      <c r="B6" s="41"/>
      <c r="C6" s="43" t="s">
        <v>282</v>
      </c>
      <c r="D6" s="41"/>
    </row>
    <row r="7" spans="2:4">
      <c r="B7" s="41"/>
      <c r="C7" s="43" t="s">
        <v>177</v>
      </c>
      <c r="D7" s="41"/>
    </row>
    <row r="8" spans="2:4">
      <c r="B8" s="41"/>
      <c r="C8" s="41"/>
      <c r="D8" s="41"/>
    </row>
    <row r="9" spans="2:4" ht="50.25" customHeight="1">
      <c r="B9" s="41"/>
      <c r="C9" s="44" t="s">
        <v>191</v>
      </c>
      <c r="D9" s="41"/>
    </row>
    <row r="10" spans="2:4">
      <c r="B10" s="41"/>
      <c r="C10" s="41"/>
      <c r="D10" s="41"/>
    </row>
    <row r="11" spans="2:4">
      <c r="B11" s="41"/>
      <c r="C11" s="41"/>
      <c r="D11" s="41"/>
    </row>
    <row r="12" spans="2:4">
      <c r="B12" s="41"/>
      <c r="C12" s="45" t="s">
        <v>178</v>
      </c>
      <c r="D12" s="41"/>
    </row>
    <row r="13" spans="2:4" ht="15.75" customHeight="1">
      <c r="B13" s="41"/>
      <c r="C13" s="41"/>
      <c r="D13" s="41"/>
    </row>
    <row r="14" spans="2:4" ht="17.25" thickBot="1">
      <c r="B14" s="41"/>
      <c r="C14" s="41"/>
      <c r="D14" s="41"/>
    </row>
    <row r="15" spans="2:4" ht="21" thickBot="1">
      <c r="B15" s="311"/>
      <c r="C15" s="312"/>
      <c r="D15" s="312"/>
    </row>
    <row r="16" spans="2:4"/>
  </sheetData>
  <sheetProtection selectLockedCells="1" selectUnlockedCells="1"/>
  <mergeCells count="4">
    <mergeCell ref="B2:D2"/>
    <mergeCell ref="B3:D3"/>
    <mergeCell ref="B4:D4"/>
    <mergeCell ref="B15:D1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ntry="1" codeName="Sheet5">
    <pageSetUpPr fitToPage="1"/>
  </sheetPr>
  <dimension ref="B1:XFD20"/>
  <sheetViews>
    <sheetView showOutlineSymbols="0" zoomScale="115" zoomScaleNormal="115" zoomScaleSheetLayoutView="120" workbookViewId="0">
      <selection activeCell="D2" sqref="D2"/>
    </sheetView>
  </sheetViews>
  <sheetFormatPr defaultColWidth="0" defaultRowHeight="15" zeroHeight="1"/>
  <cols>
    <col min="1" max="1" width="2.77734375" style="33" customWidth="1"/>
    <col min="2" max="2" width="37.6640625" style="33" customWidth="1"/>
    <col min="3" max="3" width="10.21875" style="33" customWidth="1"/>
    <col min="4" max="4" width="12.33203125" style="33" customWidth="1"/>
    <col min="5" max="5" width="2.77734375" style="33" customWidth="1"/>
    <col min="6" max="16378" width="8.88671875" style="33" hidden="1"/>
    <col min="16379" max="16384" width="26.109375" style="33" hidden="1"/>
  </cols>
  <sheetData>
    <row r="1" spans="2:11 16379:16379" ht="20.100000000000001" customHeight="1">
      <c r="B1" s="304" t="s">
        <v>53</v>
      </c>
      <c r="C1" s="132" t="s">
        <v>193</v>
      </c>
      <c r="D1" s="133" t="s">
        <v>192</v>
      </c>
    </row>
    <row r="2" spans="2:11 16379:16379" ht="17.25">
      <c r="B2" s="46" t="s">
        <v>15</v>
      </c>
      <c r="C2" s="47" t="s">
        <v>194</v>
      </c>
      <c r="D2" s="320">
        <v>20</v>
      </c>
    </row>
    <row r="3" spans="2:11 16379:16379" ht="17.25">
      <c r="B3" s="46" t="s">
        <v>196</v>
      </c>
      <c r="C3" s="47" t="s">
        <v>195</v>
      </c>
      <c r="D3" s="320">
        <v>95</v>
      </c>
      <c r="XEY3" s="301"/>
    </row>
    <row r="4" spans="2:11 16379:16379" ht="17.25">
      <c r="B4" s="46" t="s">
        <v>138</v>
      </c>
      <c r="C4" s="47" t="s">
        <v>195</v>
      </c>
      <c r="D4" s="320">
        <v>115</v>
      </c>
      <c r="XEY4" s="301"/>
    </row>
    <row r="5" spans="2:11 16379:16379" ht="17.25">
      <c r="B5" s="46" t="s">
        <v>197</v>
      </c>
      <c r="C5" s="47" t="s">
        <v>195</v>
      </c>
      <c r="D5" s="320">
        <v>175</v>
      </c>
      <c r="XEY5" s="301"/>
    </row>
    <row r="6" spans="2:11 16379:16379" ht="17.25">
      <c r="B6" s="46" t="s">
        <v>198</v>
      </c>
      <c r="C6" s="47" t="s">
        <v>195</v>
      </c>
      <c r="D6" s="320">
        <v>48</v>
      </c>
      <c r="XEY6" s="301"/>
    </row>
    <row r="7" spans="2:11 16379:16379" ht="17.25">
      <c r="B7" s="46" t="s">
        <v>13</v>
      </c>
      <c r="C7" s="47" t="s">
        <v>199</v>
      </c>
      <c r="D7" s="320">
        <v>4.7</v>
      </c>
      <c r="XEY7" s="301"/>
    </row>
    <row r="8" spans="2:11 16379:16379" ht="17.25">
      <c r="B8" s="46" t="s">
        <v>200</v>
      </c>
      <c r="C8" s="47" t="s">
        <v>195</v>
      </c>
      <c r="D8" s="320">
        <v>180</v>
      </c>
      <c r="K8" s="34"/>
      <c r="XEY8" s="301"/>
    </row>
    <row r="9" spans="2:11 16379:16379" ht="17.25">
      <c r="B9" s="46" t="s">
        <v>279</v>
      </c>
      <c r="C9" s="47" t="s">
        <v>195</v>
      </c>
      <c r="D9" s="320">
        <v>180</v>
      </c>
      <c r="XEY9" s="301"/>
    </row>
    <row r="10" spans="2:11 16379:16379" ht="17.25">
      <c r="B10" s="46" t="s">
        <v>184</v>
      </c>
      <c r="C10" s="47" t="s">
        <v>195</v>
      </c>
      <c r="D10" s="320">
        <v>1200</v>
      </c>
      <c r="XEY10" s="301"/>
    </row>
    <row r="11" spans="2:11 16379:16379" ht="17.25">
      <c r="B11" s="46" t="s">
        <v>202</v>
      </c>
      <c r="C11" s="47" t="s">
        <v>201</v>
      </c>
      <c r="D11" s="320">
        <v>1.5</v>
      </c>
      <c r="XEY11" s="301"/>
    </row>
    <row r="12" spans="2:11 16379:16379" ht="17.25">
      <c r="B12" s="46" t="s">
        <v>203</v>
      </c>
      <c r="C12" s="47" t="s">
        <v>201</v>
      </c>
      <c r="D12" s="320">
        <v>10</v>
      </c>
      <c r="XEY12" s="301"/>
    </row>
    <row r="13" spans="2:11 16379:16379" ht="17.25">
      <c r="B13" s="46" t="s">
        <v>98</v>
      </c>
      <c r="C13" s="47" t="s">
        <v>204</v>
      </c>
      <c r="D13" s="320">
        <v>19.8</v>
      </c>
      <c r="XEY13" s="301"/>
    </row>
    <row r="14" spans="2:11 16379:16379" ht="17.25">
      <c r="B14" s="46" t="s">
        <v>206</v>
      </c>
      <c r="C14" s="47" t="s">
        <v>12</v>
      </c>
      <c r="D14" s="321">
        <v>7.7499999999999999E-2</v>
      </c>
      <c r="XEY14" s="301"/>
    </row>
    <row r="15" spans="2:11 16379:16379" ht="17.25">
      <c r="B15" s="46" t="s">
        <v>207</v>
      </c>
      <c r="C15" s="47" t="s">
        <v>12</v>
      </c>
      <c r="D15" s="321">
        <v>7.2499999999999995E-2</v>
      </c>
      <c r="XEY15" s="301"/>
    </row>
    <row r="16" spans="2:11 16379:16379" ht="17.25">
      <c r="B16" s="46" t="s">
        <v>78</v>
      </c>
      <c r="C16" s="47" t="s">
        <v>12</v>
      </c>
      <c r="D16" s="321">
        <v>7.1999999999999998E-3</v>
      </c>
      <c r="XEY16" s="301"/>
    </row>
    <row r="17" spans="2:4 16379:16379" ht="17.25">
      <c r="B17" s="46" t="s">
        <v>79</v>
      </c>
      <c r="C17" s="47" t="s">
        <v>12</v>
      </c>
      <c r="D17" s="321">
        <v>2.5000000000000001E-3</v>
      </c>
      <c r="XEY17" s="301"/>
    </row>
    <row r="18" spans="2:4 16379:16379" ht="17.25">
      <c r="B18" s="46" t="s">
        <v>87</v>
      </c>
      <c r="C18" s="47" t="s">
        <v>12</v>
      </c>
      <c r="D18" s="321">
        <v>7.1999999999999998E-3</v>
      </c>
      <c r="XEY18" s="301"/>
    </row>
    <row r="19" spans="2:4 16379:16379" ht="17.25">
      <c r="B19" s="46" t="s">
        <v>88</v>
      </c>
      <c r="C19" s="47" t="s">
        <v>12</v>
      </c>
      <c r="D19" s="321">
        <v>2.5000000000000001E-3</v>
      </c>
      <c r="XEY19" s="301"/>
    </row>
    <row r="20" spans="2:4 16379:16379" ht="17.25">
      <c r="B20" s="46" t="s">
        <v>125</v>
      </c>
      <c r="C20" s="47" t="s">
        <v>205</v>
      </c>
      <c r="D20" s="322">
        <f ca="1">NOW()</f>
        <v>45589.399859143516</v>
      </c>
      <c r="XEY20" s="301"/>
    </row>
  </sheetData>
  <sheetProtection sheet="1" objects="1" scenarios="1" selectLockedCells="1"/>
  <phoneticPr fontId="0" type="noConversion"/>
  <pageMargins left="0.5" right="0.5" top="0.5" bottom="0.2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R137"/>
  <sheetViews>
    <sheetView tabSelected="1" topLeftCell="A31" zoomScale="115" zoomScaleNormal="115" zoomScaleSheetLayoutView="100" workbookViewId="0">
      <selection activeCell="D108" sqref="D108"/>
    </sheetView>
  </sheetViews>
  <sheetFormatPr defaultColWidth="8.88671875" defaultRowHeight="14.25" zeroHeight="1"/>
  <cols>
    <col min="1" max="1" width="2.77734375" style="1" customWidth="1"/>
    <col min="2" max="2" width="2.6640625" style="1" customWidth="1"/>
    <col min="3" max="3" width="15.77734375" style="1" customWidth="1"/>
    <col min="4" max="8" width="9.33203125" style="1" customWidth="1"/>
    <col min="9" max="9" width="10.21875" style="1" customWidth="1"/>
    <col min="10" max="10" width="10.33203125" style="1" bestFit="1" customWidth="1"/>
    <col min="11" max="11" width="10.77734375" style="1" customWidth="1"/>
    <col min="12" max="16384" width="0" style="1" hidden="1" customWidth="1"/>
  </cols>
  <sheetData>
    <row r="1" spans="1:10" ht="20.100000000000001" customHeight="1">
      <c r="B1" s="313" t="s">
        <v>164</v>
      </c>
      <c r="C1" s="314"/>
      <c r="D1" s="314"/>
      <c r="E1" s="314"/>
      <c r="F1" s="314"/>
      <c r="G1" s="314"/>
      <c r="H1" s="314"/>
      <c r="I1" s="314"/>
      <c r="J1" s="315"/>
    </row>
    <row r="2" spans="1:10" ht="15.95" customHeight="1">
      <c r="B2" s="263"/>
      <c r="C2" s="264"/>
      <c r="D2" s="264"/>
      <c r="E2" s="264"/>
      <c r="F2" s="264"/>
      <c r="G2" s="264"/>
      <c r="H2" s="264"/>
      <c r="I2" s="264"/>
      <c r="J2" s="265"/>
    </row>
    <row r="3" spans="1:10" ht="15.95" customHeight="1">
      <c r="B3" s="90"/>
      <c r="C3" s="46"/>
      <c r="D3" s="46"/>
      <c r="E3" s="46"/>
      <c r="F3" s="46"/>
      <c r="G3" s="266" t="s">
        <v>14</v>
      </c>
      <c r="H3" s="266"/>
      <c r="I3" s="266"/>
      <c r="J3" s="91"/>
    </row>
    <row r="4" spans="1:10" ht="15.95" customHeight="1">
      <c r="B4" s="92"/>
      <c r="C4" s="93"/>
      <c r="D4" s="93"/>
      <c r="E4" s="93"/>
      <c r="F4" s="93"/>
      <c r="G4" s="94">
        <f>F53</f>
        <v>0.82</v>
      </c>
      <c r="H4" s="94">
        <f>G53</f>
        <v>0.88</v>
      </c>
      <c r="I4" s="94">
        <f>H53</f>
        <v>0.94</v>
      </c>
      <c r="J4" s="95" t="s">
        <v>150</v>
      </c>
    </row>
    <row r="5" spans="1:10" ht="15.95" customHeight="1">
      <c r="A5" s="7"/>
      <c r="B5" s="96" t="s">
        <v>154</v>
      </c>
      <c r="C5" s="97"/>
      <c r="D5" s="97"/>
      <c r="E5" s="97"/>
      <c r="F5" s="97"/>
      <c r="G5" s="267" t="s">
        <v>166</v>
      </c>
      <c r="H5" s="267" t="s">
        <v>166</v>
      </c>
      <c r="I5" s="267" t="s">
        <v>166</v>
      </c>
      <c r="J5" s="98"/>
    </row>
    <row r="6" spans="1:10" ht="15.95" customHeight="1">
      <c r="A6" s="7"/>
      <c r="B6" s="99" t="s">
        <v>94</v>
      </c>
      <c r="C6" s="97" t="str">
        <f>"Steer calf sales "&amp;E56&amp;" lbs. @ $"&amp;F56&amp;"/cwt."</f>
        <v>Steer calf sales 590 lbs. @ $295.02/cwt.</v>
      </c>
      <c r="D6" s="46"/>
      <c r="E6" s="97"/>
      <c r="F6" s="97"/>
      <c r="G6" s="252">
        <f>$E56*$F56/100*(F53/2)</f>
        <v>713.65337999999997</v>
      </c>
      <c r="H6" s="252">
        <f>$E56*$F56/100*(G53/2)</f>
        <v>765.87191999999993</v>
      </c>
      <c r="I6" s="252">
        <f>$E56*$F56/100*(H53/2)</f>
        <v>818.09045999999989</v>
      </c>
      <c r="J6" s="100" t="s">
        <v>3</v>
      </c>
    </row>
    <row r="7" spans="1:10" ht="15.95" customHeight="1">
      <c r="A7" s="28"/>
      <c r="B7" s="99" t="s">
        <v>95</v>
      </c>
      <c r="C7" s="97" t="str">
        <f>"Heifer calf sales "&amp;E57&amp;" lbs. @ $"&amp;F57&amp;"/cwt."</f>
        <v>Heifer calf sales 550 lbs. @ $272.99/cwt.</v>
      </c>
      <c r="D7" s="97"/>
      <c r="E7" s="97"/>
      <c r="F7" s="97"/>
      <c r="G7" s="252">
        <f>$E57*$F57/100*(F53/2)</f>
        <v>615.59244999999999</v>
      </c>
      <c r="H7" s="252">
        <f>$E57*$F57/100*(G53/2)</f>
        <v>660.63580000000002</v>
      </c>
      <c r="I7" s="252">
        <f>$E57*$F57/100*(H53/2)</f>
        <v>705.67914999999994</v>
      </c>
      <c r="J7" s="100" t="s">
        <v>3</v>
      </c>
    </row>
    <row r="8" spans="1:10" ht="15.95" customHeight="1">
      <c r="A8" s="28"/>
      <c r="B8" s="99" t="s">
        <v>108</v>
      </c>
      <c r="C8" s="97" t="str">
        <f>"Cull cow sales: "&amp;E58&amp;" lbs @ $"&amp;F58&amp;"/cwt. x "&amp;FIXED(D58*100,0)&amp;"%"</f>
        <v>Cull cow sales: 1250 lbs @ $130.91/cwt. x 12%</v>
      </c>
      <c r="D8" s="97"/>
      <c r="E8" s="97"/>
      <c r="F8" s="97"/>
      <c r="G8" s="252">
        <f>$H58</f>
        <v>196.36499999999998</v>
      </c>
      <c r="H8" s="252">
        <f>$H58</f>
        <v>196.36499999999998</v>
      </c>
      <c r="I8" s="252">
        <f>$H58</f>
        <v>196.36499999999998</v>
      </c>
      <c r="J8" s="100" t="s">
        <v>3</v>
      </c>
    </row>
    <row r="9" spans="1:10" ht="15.95" customHeight="1">
      <c r="A9" s="28"/>
      <c r="B9" s="99"/>
      <c r="C9" s="97" t="s">
        <v>41</v>
      </c>
      <c r="D9" s="97"/>
      <c r="E9" s="97"/>
      <c r="F9" s="97"/>
      <c r="G9" s="134">
        <f>G60</f>
        <v>0</v>
      </c>
      <c r="H9" s="134">
        <f>G9</f>
        <v>0</v>
      </c>
      <c r="I9" s="134">
        <f>G9</f>
        <v>0</v>
      </c>
      <c r="J9" s="100" t="s">
        <v>3</v>
      </c>
    </row>
    <row r="10" spans="1:10" ht="15.95" customHeight="1">
      <c r="A10" s="28"/>
      <c r="B10" s="102"/>
      <c r="C10" s="253"/>
      <c r="D10" s="253"/>
      <c r="E10" s="97"/>
      <c r="F10" s="254" t="s">
        <v>155</v>
      </c>
      <c r="G10" s="255">
        <f>SUM(G6:G8)</f>
        <v>1525.6108299999999</v>
      </c>
      <c r="H10" s="255">
        <f>SUM(H6:H8)</f>
        <v>1622.8727200000001</v>
      </c>
      <c r="I10" s="255">
        <f>SUM(I6:I8)</f>
        <v>1720.1346099999998</v>
      </c>
      <c r="J10" s="100" t="s">
        <v>3</v>
      </c>
    </row>
    <row r="11" spans="1:10" ht="15.95" customHeight="1">
      <c r="A11" s="28"/>
      <c r="B11" s="102"/>
      <c r="C11" s="253"/>
      <c r="D11" s="97"/>
      <c r="E11" s="97"/>
      <c r="F11" s="97"/>
      <c r="G11" s="255"/>
      <c r="H11" s="255"/>
      <c r="I11" s="255"/>
      <c r="J11" s="100"/>
    </row>
    <row r="12" spans="1:10" ht="15.95" customHeight="1">
      <c r="A12" s="7"/>
      <c r="B12" s="96" t="s">
        <v>153</v>
      </c>
      <c r="C12" s="97"/>
      <c r="D12" s="97"/>
      <c r="E12" s="97"/>
      <c r="F12" s="97"/>
      <c r="G12" s="252"/>
      <c r="H12" s="252"/>
      <c r="I12" s="252"/>
      <c r="J12" s="98"/>
    </row>
    <row r="13" spans="1:10" ht="15.95" customHeight="1">
      <c r="A13" s="7"/>
      <c r="B13" s="102"/>
      <c r="C13" s="97" t="s">
        <v>96</v>
      </c>
      <c r="D13" s="97"/>
      <c r="E13" s="97"/>
      <c r="F13" s="97"/>
      <c r="G13" s="252">
        <f>$I66</f>
        <v>230.4</v>
      </c>
      <c r="H13" s="252">
        <f>$I66</f>
        <v>230.4</v>
      </c>
      <c r="I13" s="252">
        <f>$I66</f>
        <v>230.4</v>
      </c>
      <c r="J13" s="100" t="s">
        <v>3</v>
      </c>
    </row>
    <row r="14" spans="1:10" ht="15.95" customHeight="1">
      <c r="A14" s="7"/>
      <c r="B14" s="102"/>
      <c r="C14" s="97" t="s">
        <v>97</v>
      </c>
      <c r="D14" s="97"/>
      <c r="E14" s="97"/>
      <c r="F14" s="97"/>
      <c r="G14" s="252">
        <f>$I73</f>
        <v>269.95500000000004</v>
      </c>
      <c r="H14" s="252">
        <f>$I73</f>
        <v>269.95500000000004</v>
      </c>
      <c r="I14" s="252">
        <f>$I73</f>
        <v>269.95500000000004</v>
      </c>
      <c r="J14" s="100" t="s">
        <v>3</v>
      </c>
    </row>
    <row r="15" spans="1:10" ht="15.95" customHeight="1">
      <c r="A15" s="7"/>
      <c r="B15" s="102"/>
      <c r="C15" s="97" t="s">
        <v>1</v>
      </c>
      <c r="D15" s="97"/>
      <c r="E15" s="97"/>
      <c r="F15" s="97"/>
      <c r="G15" s="252">
        <f>$I79</f>
        <v>0</v>
      </c>
      <c r="H15" s="252">
        <f>$I79</f>
        <v>0</v>
      </c>
      <c r="I15" s="252">
        <f>$I79</f>
        <v>0</v>
      </c>
      <c r="J15" s="100" t="s">
        <v>3</v>
      </c>
    </row>
    <row r="16" spans="1:10" ht="15.95" customHeight="1">
      <c r="A16" s="7"/>
      <c r="B16" s="102"/>
      <c r="C16" s="97" t="s">
        <v>115</v>
      </c>
      <c r="D16" s="97"/>
      <c r="E16" s="97"/>
      <c r="F16" s="97"/>
      <c r="G16" s="252">
        <f>$I85+$I88</f>
        <v>75.647999999999996</v>
      </c>
      <c r="H16" s="252">
        <f>$I85+$I88</f>
        <v>75.647999999999996</v>
      </c>
      <c r="I16" s="252">
        <f>$I85+$I88</f>
        <v>75.647999999999996</v>
      </c>
      <c r="J16" s="100" t="s">
        <v>3</v>
      </c>
    </row>
    <row r="17" spans="1:10" ht="15.95" customHeight="1">
      <c r="A17" s="7"/>
      <c r="B17" s="102"/>
      <c r="C17" s="97" t="str">
        <f>"Labor ($"&amp;Inputs!D13&amp;" x "&amp;I91&amp;" hours)"</f>
        <v>Labor ($19.8 x 8 hours)</v>
      </c>
      <c r="D17" s="97"/>
      <c r="E17" s="97"/>
      <c r="F17" s="97"/>
      <c r="G17" s="252">
        <f>Inputs!$D13*$I91</f>
        <v>158.4</v>
      </c>
      <c r="H17" s="252">
        <f>Inputs!$D13*$I91</f>
        <v>158.4</v>
      </c>
      <c r="I17" s="252">
        <f>Inputs!$D13*$I91</f>
        <v>158.4</v>
      </c>
      <c r="J17" s="100" t="s">
        <v>3</v>
      </c>
    </row>
    <row r="18" spans="1:10" ht="15.95" customHeight="1">
      <c r="A18" s="7"/>
      <c r="B18" s="102"/>
      <c r="C18" s="97" t="s">
        <v>0</v>
      </c>
      <c r="D18" s="97"/>
      <c r="E18" s="97"/>
      <c r="F18" s="97"/>
      <c r="G18" s="252">
        <f>$I92</f>
        <v>37.5</v>
      </c>
      <c r="H18" s="252">
        <f>$I92</f>
        <v>37.5</v>
      </c>
      <c r="I18" s="252">
        <f>$I92</f>
        <v>37.5</v>
      </c>
      <c r="J18" s="100" t="s">
        <v>3</v>
      </c>
    </row>
    <row r="19" spans="1:10" ht="15.95" customHeight="1">
      <c r="A19" s="7"/>
      <c r="B19" s="102"/>
      <c r="C19" s="97" t="s">
        <v>103</v>
      </c>
      <c r="D19" s="97"/>
      <c r="E19" s="97"/>
      <c r="F19" s="97"/>
      <c r="G19" s="252">
        <f>(G6+G7+G8)*$I$93</f>
        <v>38.140270749999999</v>
      </c>
      <c r="H19" s="252">
        <f>(H6+H7+H8)*$I$93</f>
        <v>40.571818000000007</v>
      </c>
      <c r="I19" s="252">
        <f>(I6+I7+I8)*$I$93</f>
        <v>43.003365250000002</v>
      </c>
      <c r="J19" s="100" t="s">
        <v>3</v>
      </c>
    </row>
    <row r="20" spans="1:10" ht="15.95" customHeight="1">
      <c r="A20" s="7"/>
      <c r="B20" s="102"/>
      <c r="C20" s="97" t="s">
        <v>144</v>
      </c>
      <c r="D20" s="97"/>
      <c r="E20" s="97"/>
      <c r="F20" s="97"/>
      <c r="G20" s="252">
        <f>(($H$105+$H$106+$H$107+$H$108)*$I$102/$I$44)+$I$94</f>
        <v>120.40748000000002</v>
      </c>
      <c r="H20" s="252">
        <f>(($H$105+$H$106+$H$107+$H$108)*$I$102/$I$44)+$I$94</f>
        <v>120.40748000000002</v>
      </c>
      <c r="I20" s="252">
        <f>(($H$105+$H$106+$H$107+$H$108)*$I$102/$I$44)+$I$94</f>
        <v>120.40748000000002</v>
      </c>
      <c r="J20" s="100" t="s">
        <v>3</v>
      </c>
    </row>
    <row r="21" spans="1:10" ht="15.95" customHeight="1">
      <c r="A21" s="7"/>
      <c r="B21" s="102"/>
      <c r="C21" s="97" t="s">
        <v>99</v>
      </c>
      <c r="D21" s="97"/>
      <c r="E21" s="97"/>
      <c r="F21" s="97"/>
      <c r="G21" s="252">
        <f>$I95</f>
        <v>8.5</v>
      </c>
      <c r="H21" s="252">
        <f>$I95</f>
        <v>8.5</v>
      </c>
      <c r="I21" s="252">
        <f>$I95</f>
        <v>8.5</v>
      </c>
      <c r="J21" s="100" t="s">
        <v>3</v>
      </c>
    </row>
    <row r="22" spans="1:10" ht="15.95" customHeight="1">
      <c r="A22" s="7"/>
      <c r="B22" s="99" t="s">
        <v>106</v>
      </c>
      <c r="C22" s="97" t="str">
        <f>"Cow replacement ("&amp;I45&amp;" of heifers)"</f>
        <v>Cow replacement (0.13 of heifers)</v>
      </c>
      <c r="D22" s="269"/>
      <c r="E22" s="269"/>
      <c r="F22" s="97"/>
      <c r="G22" s="252">
        <f>$I45*$I48</f>
        <v>390</v>
      </c>
      <c r="H22" s="252">
        <f>$I45*$I48</f>
        <v>390</v>
      </c>
      <c r="I22" s="252">
        <f>$I45*$I48</f>
        <v>390</v>
      </c>
      <c r="J22" s="103" t="s">
        <v>3</v>
      </c>
    </row>
    <row r="23" spans="1:10" ht="15.95" customHeight="1">
      <c r="A23" s="27"/>
      <c r="B23" s="104"/>
      <c r="C23" s="97" t="s">
        <v>174</v>
      </c>
      <c r="D23" s="269"/>
      <c r="E23" s="269"/>
      <c r="F23" s="269"/>
      <c r="G23" s="252">
        <f>$I96+$I97</f>
        <v>45</v>
      </c>
      <c r="H23" s="252">
        <f>$I96+$I97</f>
        <v>45</v>
      </c>
      <c r="I23" s="252">
        <f>$I96+$I97</f>
        <v>45</v>
      </c>
      <c r="J23" s="103" t="s">
        <v>3</v>
      </c>
    </row>
    <row r="24" spans="1:10" ht="15.95" customHeight="1">
      <c r="A24" s="27"/>
      <c r="B24" s="102"/>
      <c r="C24" s="97" t="s">
        <v>10</v>
      </c>
      <c r="D24" s="97"/>
      <c r="E24" s="97"/>
      <c r="F24" s="269"/>
      <c r="G24" s="252">
        <f t="shared" ref="G24:I25" si="0">$I98</f>
        <v>1</v>
      </c>
      <c r="H24" s="252">
        <f t="shared" si="0"/>
        <v>1</v>
      </c>
      <c r="I24" s="252">
        <f t="shared" si="0"/>
        <v>1</v>
      </c>
      <c r="J24" s="100" t="s">
        <v>3</v>
      </c>
    </row>
    <row r="25" spans="1:10" ht="15.95" customHeight="1">
      <c r="A25" s="7"/>
      <c r="B25" s="102"/>
      <c r="C25" s="97" t="s">
        <v>32</v>
      </c>
      <c r="D25" s="97"/>
      <c r="E25" s="97"/>
      <c r="F25" s="97"/>
      <c r="G25" s="252">
        <f t="shared" si="0"/>
        <v>6</v>
      </c>
      <c r="H25" s="252">
        <f t="shared" si="0"/>
        <v>6</v>
      </c>
      <c r="I25" s="252">
        <f t="shared" si="0"/>
        <v>6</v>
      </c>
      <c r="J25" s="100" t="s">
        <v>3</v>
      </c>
    </row>
    <row r="26" spans="1:10" ht="15.95" customHeight="1">
      <c r="A26" s="7"/>
      <c r="B26" s="102"/>
      <c r="C26" s="97" t="str">
        <f>"Operating interest"</f>
        <v>Operating interest</v>
      </c>
      <c r="D26" s="97"/>
      <c r="E26" s="97"/>
      <c r="F26" s="97"/>
      <c r="G26" s="134">
        <f>(SUM(G13:G25)+G33-G19-G22)/2*Inputs!$D14</f>
        <v>39.214460600000002</v>
      </c>
      <c r="H26" s="134">
        <f>(SUM(H13:H25)+H33-H19-H22)/2*Inputs!$D14</f>
        <v>39.214460600000002</v>
      </c>
      <c r="I26" s="134">
        <f>(SUM(I13:I25)+I33-I19-I22)/2*Inputs!$D14</f>
        <v>39.214460600000002</v>
      </c>
      <c r="J26" s="100" t="s">
        <v>3</v>
      </c>
    </row>
    <row r="27" spans="1:10" ht="15.95" customHeight="1">
      <c r="A27" s="7"/>
      <c r="B27" s="102"/>
      <c r="C27" s="46"/>
      <c r="D27" s="272"/>
      <c r="E27" s="46"/>
      <c r="F27" s="254" t="s">
        <v>158</v>
      </c>
      <c r="G27" s="271">
        <f>SUM(G13:G26)</f>
        <v>1420.1652113499999</v>
      </c>
      <c r="H27" s="271">
        <f>SUM(H13:H26)</f>
        <v>1422.5967585999999</v>
      </c>
      <c r="I27" s="271">
        <f>SUM(I13:I26)</f>
        <v>1425.0283058499999</v>
      </c>
      <c r="J27" s="100" t="s">
        <v>3</v>
      </c>
    </row>
    <row r="28" spans="1:10" ht="15.95" customHeight="1">
      <c r="A28" s="7"/>
      <c r="B28" s="90"/>
      <c r="C28" s="46"/>
      <c r="D28" s="46"/>
      <c r="E28" s="46"/>
      <c r="F28" s="46"/>
      <c r="G28" s="273"/>
      <c r="H28" s="273"/>
      <c r="I28" s="273"/>
      <c r="J28" s="100"/>
    </row>
    <row r="29" spans="1:10" ht="15.95" customHeight="1">
      <c r="A29" s="7"/>
      <c r="B29" s="96" t="s">
        <v>157</v>
      </c>
      <c r="C29" s="97"/>
      <c r="D29" s="97"/>
      <c r="E29" s="97"/>
      <c r="F29" s="46"/>
      <c r="G29" s="252"/>
      <c r="H29" s="252"/>
      <c r="I29" s="252"/>
      <c r="J29" s="100" t="s">
        <v>3</v>
      </c>
    </row>
    <row r="30" spans="1:10" ht="15.95" customHeight="1">
      <c r="A30" s="7"/>
      <c r="B30" s="105" t="s">
        <v>107</v>
      </c>
      <c r="C30" s="97" t="s">
        <v>118</v>
      </c>
      <c r="D30" s="97"/>
      <c r="E30" s="97"/>
      <c r="F30" s="97"/>
      <c r="G30" s="260">
        <f>$G112*(1-$I112)/$H112</f>
        <v>9.1</v>
      </c>
      <c r="H30" s="260">
        <f>$G112*(1-$I112)/$H112</f>
        <v>9.1</v>
      </c>
      <c r="I30" s="260">
        <f>$G112*(1-$I112)/$H112</f>
        <v>9.1</v>
      </c>
      <c r="J30" s="100" t="s">
        <v>3</v>
      </c>
    </row>
    <row r="31" spans="1:10" ht="15.95" customHeight="1">
      <c r="A31" s="7"/>
      <c r="B31" s="105"/>
      <c r="C31" s="97" t="s">
        <v>116</v>
      </c>
      <c r="D31" s="97"/>
      <c r="E31" s="97"/>
      <c r="F31" s="97"/>
      <c r="G31" s="260">
        <f>$I50*Inputs!$D14</f>
        <v>236.995</v>
      </c>
      <c r="H31" s="260">
        <f>$I50*Inputs!$D14</f>
        <v>236.995</v>
      </c>
      <c r="I31" s="260">
        <f>$I50*Inputs!$D14</f>
        <v>236.995</v>
      </c>
      <c r="J31" s="100"/>
    </row>
    <row r="32" spans="1:10" ht="15.95" customHeight="1">
      <c r="A32" s="28"/>
      <c r="B32" s="102"/>
      <c r="C32" s="97" t="s">
        <v>117</v>
      </c>
      <c r="D32" s="97"/>
      <c r="E32" s="97"/>
      <c r="F32" s="97"/>
      <c r="G32" s="260">
        <f>($G112/2)*Inputs!D15</f>
        <v>10.149999999999999</v>
      </c>
      <c r="H32" s="260">
        <f>($G112/2)*Inputs!D15</f>
        <v>10.149999999999999</v>
      </c>
      <c r="I32" s="260">
        <f>($G112/2)*Inputs!D15</f>
        <v>10.149999999999999</v>
      </c>
      <c r="J32" s="100" t="s">
        <v>3</v>
      </c>
    </row>
    <row r="33" spans="1:10" ht="15.95" customHeight="1">
      <c r="A33" s="7"/>
      <c r="B33" s="102"/>
      <c r="C33" s="97" t="s">
        <v>139</v>
      </c>
      <c r="D33" s="97"/>
      <c r="E33" s="97"/>
      <c r="F33" s="97"/>
      <c r="G33" s="106">
        <f>$G112*(Inputs!D17+Inputs!D16)+$I47*(Inputs!D18+Inputs!D19)+($I44/$I46/$I44)*$I49*(Inputs!D18+Inputs!D19)+($I50*$I51)</f>
        <v>59.175600000000003</v>
      </c>
      <c r="H33" s="106">
        <f>$G112*(Inputs!D17+Inputs!D16)+$I47*(Inputs!D18+Inputs!D19)+($I44/$I46/$I44)*$I49*(Inputs!D18+Inputs!D19)+($I50*$I51)</f>
        <v>59.175600000000003</v>
      </c>
      <c r="I33" s="106">
        <f>$G112*(Inputs!D16+Inputs!D17)+$I47*(Inputs!D18+Inputs!D19)+($I44/$I46/$I44)*$I49*(Inputs!D18+Inputs!D19)+($I50*$I51)</f>
        <v>59.175600000000003</v>
      </c>
      <c r="J33" s="100" t="s">
        <v>3</v>
      </c>
    </row>
    <row r="34" spans="1:10" ht="15.95" customHeight="1">
      <c r="A34" s="7"/>
      <c r="B34" s="102"/>
      <c r="C34" s="97"/>
      <c r="D34" s="253"/>
      <c r="E34" s="97"/>
      <c r="F34" s="254" t="s">
        <v>159</v>
      </c>
      <c r="G34" s="255">
        <f>SUM(G30:G33)</f>
        <v>315.42060000000004</v>
      </c>
      <c r="H34" s="255">
        <f>SUM(H30:H33)</f>
        <v>315.42060000000004</v>
      </c>
      <c r="I34" s="255">
        <f>SUM(I30:I33)</f>
        <v>315.42060000000004</v>
      </c>
      <c r="J34" s="100" t="s">
        <v>3</v>
      </c>
    </row>
    <row r="35" spans="1:10" ht="15.95" customHeight="1">
      <c r="A35" s="7"/>
      <c r="B35" s="102"/>
      <c r="C35" s="97"/>
      <c r="D35" s="97"/>
      <c r="E35" s="97"/>
      <c r="F35" s="97"/>
      <c r="G35" s="252"/>
      <c r="H35" s="252"/>
      <c r="I35" s="252"/>
      <c r="J35" s="98"/>
    </row>
    <row r="36" spans="1:10" ht="15.95" customHeight="1">
      <c r="A36" s="7"/>
      <c r="B36" s="96"/>
      <c r="C36" s="97"/>
      <c r="D36" s="253"/>
      <c r="E36" s="97"/>
      <c r="F36" s="270" t="s">
        <v>160</v>
      </c>
      <c r="G36" s="261">
        <f>G27+G34</f>
        <v>1735.5858113499999</v>
      </c>
      <c r="H36" s="261">
        <f>H27+H34</f>
        <v>1738.0173586000001</v>
      </c>
      <c r="I36" s="261">
        <f>I27+I34</f>
        <v>1740.4489058499998</v>
      </c>
      <c r="J36" s="100" t="s">
        <v>3</v>
      </c>
    </row>
    <row r="37" spans="1:10" ht="15.95" customHeight="1" thickBot="1">
      <c r="A37" s="7"/>
      <c r="B37" s="102"/>
      <c r="C37" s="97"/>
      <c r="D37" s="97"/>
      <c r="E37" s="97"/>
      <c r="F37" s="97"/>
      <c r="G37" s="260"/>
      <c r="H37" s="260"/>
      <c r="I37" s="260"/>
      <c r="J37" s="100"/>
    </row>
    <row r="38" spans="1:10" ht="15.95" customHeight="1">
      <c r="A38" s="7"/>
      <c r="B38" s="296"/>
      <c r="C38" s="297" t="s">
        <v>161</v>
      </c>
      <c r="D38" s="298"/>
      <c r="E38" s="298"/>
      <c r="F38" s="298"/>
      <c r="G38" s="299">
        <f>G10-G27</f>
        <v>105.44561864999991</v>
      </c>
      <c r="H38" s="299">
        <f>H10-H27</f>
        <v>200.27596140000014</v>
      </c>
      <c r="I38" s="299">
        <f>I10-I27</f>
        <v>295.10630414999991</v>
      </c>
      <c r="J38" s="300" t="s">
        <v>3</v>
      </c>
    </row>
    <row r="39" spans="1:10" ht="15.95" customHeight="1">
      <c r="A39" s="7"/>
      <c r="B39" s="102"/>
      <c r="C39" s="253" t="s">
        <v>111</v>
      </c>
      <c r="D39" s="97"/>
      <c r="E39" s="97"/>
      <c r="F39" s="97"/>
      <c r="G39" s="255">
        <f>G10-G36</f>
        <v>-209.97498135000001</v>
      </c>
      <c r="H39" s="255">
        <f>H10-H36</f>
        <v>-115.14463860000001</v>
      </c>
      <c r="I39" s="255">
        <f>I10-I36</f>
        <v>-20.314295850000008</v>
      </c>
      <c r="J39" s="100" t="s">
        <v>3</v>
      </c>
    </row>
    <row r="40" spans="1:10" ht="15.95" customHeight="1" thickBot="1">
      <c r="A40" s="7"/>
      <c r="B40" s="113"/>
      <c r="C40" s="136" t="s">
        <v>281</v>
      </c>
      <c r="D40" s="137"/>
      <c r="E40" s="137"/>
      <c r="F40" s="137"/>
      <c r="G40" s="138">
        <f>G10-(G27-G13-G17)-G34</f>
        <v>178.82501865000006</v>
      </c>
      <c r="H40" s="138">
        <f t="shared" ref="H40:I40" si="1">H10-(H27-H13-H17)-H34</f>
        <v>273.65536140000029</v>
      </c>
      <c r="I40" s="138">
        <f t="shared" si="1"/>
        <v>368.48570415000006</v>
      </c>
      <c r="J40" s="117" t="s">
        <v>3</v>
      </c>
    </row>
    <row r="41" spans="1:10" ht="15.95" customHeight="1">
      <c r="A41" s="7"/>
      <c r="B41" s="139"/>
      <c r="C41" s="139"/>
      <c r="D41" s="139"/>
      <c r="E41" s="139"/>
      <c r="F41" s="139"/>
      <c r="G41" s="140"/>
      <c r="H41" s="140"/>
      <c r="I41" s="140"/>
      <c r="J41" s="141"/>
    </row>
    <row r="42" spans="1:10" ht="15.95" customHeight="1">
      <c r="A42" s="7"/>
      <c r="B42" s="7"/>
      <c r="C42" s="7"/>
      <c r="D42" s="7"/>
      <c r="E42" s="7"/>
      <c r="F42" s="7"/>
      <c r="G42" s="8"/>
      <c r="H42" s="7"/>
      <c r="J42" s="120">
        <f ca="1">Inputs!D20</f>
        <v>45589.399859143516</v>
      </c>
    </row>
    <row r="43" spans="1:10" ht="16.5">
      <c r="A43" s="7"/>
      <c r="B43" s="63" t="s">
        <v>130</v>
      </c>
      <c r="C43" s="48"/>
      <c r="D43" s="48"/>
      <c r="E43" s="48"/>
      <c r="F43" s="48"/>
      <c r="G43" s="48"/>
      <c r="H43" s="89" t="s">
        <v>193</v>
      </c>
      <c r="I43" s="61" t="s">
        <v>192</v>
      </c>
      <c r="J43" s="49"/>
    </row>
    <row r="44" spans="1:10" ht="16.5">
      <c r="A44" s="7"/>
      <c r="B44" s="50" t="s">
        <v>30</v>
      </c>
      <c r="C44" s="50"/>
      <c r="D44" s="50"/>
      <c r="E44" s="48"/>
      <c r="F44" s="48"/>
      <c r="G44" s="50"/>
      <c r="H44" s="128" t="s">
        <v>208</v>
      </c>
      <c r="I44" s="86">
        <v>50</v>
      </c>
      <c r="J44" s="50"/>
    </row>
    <row r="45" spans="1:10" ht="16.5">
      <c r="A45" s="7"/>
      <c r="B45" s="50" t="s">
        <v>211</v>
      </c>
      <c r="C45" s="50"/>
      <c r="D45" s="50"/>
      <c r="E45" s="48"/>
      <c r="F45" s="48"/>
      <c r="G45" s="50"/>
      <c r="H45" s="128" t="s">
        <v>12</v>
      </c>
      <c r="I45" s="87">
        <v>0.13</v>
      </c>
      <c r="J45" s="50"/>
    </row>
    <row r="46" spans="1:10" ht="16.5">
      <c r="A46" s="7"/>
      <c r="B46" s="50" t="s">
        <v>212</v>
      </c>
      <c r="C46" s="50"/>
      <c r="D46" s="50"/>
      <c r="E46" s="48"/>
      <c r="F46" s="48"/>
      <c r="G46" s="50"/>
      <c r="H46" s="128" t="s">
        <v>209</v>
      </c>
      <c r="I46" s="86">
        <v>25</v>
      </c>
      <c r="J46" s="50"/>
    </row>
    <row r="47" spans="1:10" ht="16.5">
      <c r="A47" s="7"/>
      <c r="B47" s="50" t="s">
        <v>213</v>
      </c>
      <c r="C47" s="50"/>
      <c r="D47" s="50"/>
      <c r="E47" s="48"/>
      <c r="F47" s="48"/>
      <c r="G47" s="50"/>
      <c r="H47" s="128" t="s">
        <v>210</v>
      </c>
      <c r="I47" s="88">
        <v>2500</v>
      </c>
      <c r="J47" s="50"/>
    </row>
    <row r="48" spans="1:10" ht="16.5">
      <c r="A48" s="7"/>
      <c r="B48" s="50" t="s">
        <v>214</v>
      </c>
      <c r="C48" s="50"/>
      <c r="D48" s="50"/>
      <c r="E48" s="48"/>
      <c r="F48" s="48"/>
      <c r="G48" s="50"/>
      <c r="H48" s="128" t="s">
        <v>210</v>
      </c>
      <c r="I48" s="59">
        <f>Heifer!F68</f>
        <v>3000</v>
      </c>
      <c r="J48" s="50"/>
    </row>
    <row r="49" spans="1:18" ht="16.5">
      <c r="A49" s="7"/>
      <c r="B49" s="50" t="s">
        <v>215</v>
      </c>
      <c r="C49" s="50"/>
      <c r="D49" s="50"/>
      <c r="E49" s="48"/>
      <c r="F49" s="48"/>
      <c r="G49" s="50"/>
      <c r="H49" s="128" t="s">
        <v>210</v>
      </c>
      <c r="I49" s="88">
        <v>4200</v>
      </c>
      <c r="J49" s="50"/>
    </row>
    <row r="50" spans="1:18" ht="16.5">
      <c r="A50" s="7"/>
      <c r="B50" s="50" t="s">
        <v>46</v>
      </c>
      <c r="C50" s="50"/>
      <c r="D50" s="50"/>
      <c r="E50" s="48"/>
      <c r="F50" s="48"/>
      <c r="G50" s="50"/>
      <c r="H50" s="128" t="s">
        <v>210</v>
      </c>
      <c r="I50" s="60">
        <f>I47+I49*1/I46+I48*I45</f>
        <v>3058</v>
      </c>
      <c r="J50" s="50"/>
      <c r="K50" s="7"/>
    </row>
    <row r="51" spans="1:18" ht="16.5">
      <c r="A51" s="7"/>
      <c r="B51" s="50" t="s">
        <v>216</v>
      </c>
      <c r="C51" s="50"/>
      <c r="D51" s="50"/>
      <c r="E51" s="48"/>
      <c r="F51" s="48"/>
      <c r="G51" s="50"/>
      <c r="H51" s="128" t="s">
        <v>12</v>
      </c>
      <c r="I51" s="127">
        <v>0.01</v>
      </c>
      <c r="J51" s="50"/>
      <c r="K51" s="7"/>
    </row>
    <row r="52" spans="1:18" ht="16.5">
      <c r="A52" s="7"/>
      <c r="B52" s="48"/>
      <c r="C52" s="50"/>
      <c r="D52" s="50"/>
      <c r="E52" s="48"/>
      <c r="F52" s="52" t="s">
        <v>6</v>
      </c>
      <c r="G52" s="52" t="s">
        <v>35</v>
      </c>
      <c r="H52" s="61" t="s">
        <v>7</v>
      </c>
      <c r="I52" s="48"/>
      <c r="J52" s="50"/>
      <c r="K52" s="7"/>
      <c r="M52" s="7"/>
      <c r="N52" s="23"/>
      <c r="O52" s="23"/>
      <c r="P52" s="24"/>
      <c r="Q52" s="7"/>
      <c r="R52" s="24"/>
    </row>
    <row r="53" spans="1:18" ht="16.5">
      <c r="A53" s="7"/>
      <c r="B53" s="50" t="s">
        <v>34</v>
      </c>
      <c r="C53" s="50"/>
      <c r="D53" s="50"/>
      <c r="E53" s="48"/>
      <c r="F53" s="87">
        <v>0.82</v>
      </c>
      <c r="G53" s="87">
        <v>0.88</v>
      </c>
      <c r="H53" s="87">
        <v>0.94</v>
      </c>
      <c r="I53" s="48"/>
      <c r="J53" s="50"/>
      <c r="K53" s="7"/>
      <c r="M53" s="7"/>
      <c r="N53" s="19"/>
      <c r="O53" s="30"/>
      <c r="P53" s="22"/>
      <c r="Q53" s="7"/>
      <c r="R53" s="25"/>
    </row>
    <row r="54" spans="1:18" ht="16.5">
      <c r="A54" s="7"/>
      <c r="B54" s="50"/>
      <c r="C54" s="50"/>
      <c r="D54" s="50"/>
      <c r="E54" s="50"/>
      <c r="F54" s="50"/>
      <c r="G54" s="53"/>
      <c r="H54" s="53"/>
      <c r="I54" s="62"/>
      <c r="J54" s="50"/>
      <c r="K54" s="7"/>
      <c r="M54" s="7"/>
      <c r="N54" s="19"/>
      <c r="O54" s="22"/>
      <c r="P54" s="22"/>
      <c r="Q54" s="7"/>
      <c r="R54" s="25"/>
    </row>
    <row r="55" spans="1:18" ht="16.5">
      <c r="A55" s="7"/>
      <c r="B55" s="63" t="s">
        <v>121</v>
      </c>
      <c r="C55" s="50"/>
      <c r="D55" s="52" t="s">
        <v>12</v>
      </c>
      <c r="E55" s="52" t="s">
        <v>11</v>
      </c>
      <c r="F55" s="52" t="s">
        <v>217</v>
      </c>
      <c r="G55" s="121" t="s">
        <v>39</v>
      </c>
      <c r="H55" s="121" t="s">
        <v>40</v>
      </c>
      <c r="I55" s="48"/>
      <c r="J55" s="50"/>
      <c r="K55" s="7"/>
      <c r="M55" s="7"/>
      <c r="N55" s="19"/>
      <c r="O55" s="22"/>
      <c r="P55" s="22"/>
      <c r="Q55" s="7"/>
      <c r="R55" s="25"/>
    </row>
    <row r="56" spans="1:18" ht="16.5">
      <c r="A56" s="7"/>
      <c r="B56" s="50" t="s">
        <v>42</v>
      </c>
      <c r="C56" s="50"/>
      <c r="D56" s="87">
        <v>0.5</v>
      </c>
      <c r="E56" s="88">
        <v>590</v>
      </c>
      <c r="F56" s="126">
        <v>295.02</v>
      </c>
      <c r="G56" s="64">
        <f>$E56*$F56/100</f>
        <v>1740.6179999999999</v>
      </c>
      <c r="H56" s="64">
        <f>G56*D56</f>
        <v>870.30899999999997</v>
      </c>
      <c r="I56" s="294"/>
      <c r="J56" s="50"/>
      <c r="K56" s="7"/>
      <c r="N56" s="19"/>
      <c r="O56" s="22"/>
      <c r="P56" s="22"/>
      <c r="R56" s="25"/>
    </row>
    <row r="57" spans="1:18" ht="16.5">
      <c r="A57" s="7"/>
      <c r="B57" s="50" t="s">
        <v>43</v>
      </c>
      <c r="C57" s="50"/>
      <c r="D57" s="87">
        <v>0.5</v>
      </c>
      <c r="E57" s="88">
        <v>550</v>
      </c>
      <c r="F57" s="126">
        <v>272.99</v>
      </c>
      <c r="G57" s="64">
        <f>$E57*$F57/100</f>
        <v>1501.4449999999999</v>
      </c>
      <c r="H57" s="64">
        <f>G57*D57</f>
        <v>750.72249999999997</v>
      </c>
      <c r="I57" s="48"/>
      <c r="J57" s="50"/>
      <c r="K57" s="7"/>
      <c r="M57" s="7"/>
      <c r="N57" s="7"/>
      <c r="O57" s="29"/>
      <c r="P57" s="7"/>
      <c r="Q57" s="17"/>
      <c r="R57" s="25"/>
    </row>
    <row r="58" spans="1:18" ht="16.5">
      <c r="A58" s="7"/>
      <c r="B58" s="50" t="s">
        <v>38</v>
      </c>
      <c r="C58" s="50"/>
      <c r="D58" s="87">
        <v>0.12</v>
      </c>
      <c r="E58" s="88">
        <v>1250</v>
      </c>
      <c r="F58" s="126">
        <v>130.91</v>
      </c>
      <c r="G58" s="64">
        <f>$E58*$F58/100</f>
        <v>1636.375</v>
      </c>
      <c r="H58" s="64">
        <f>G58*D58</f>
        <v>196.36499999999998</v>
      </c>
      <c r="I58" s="48"/>
      <c r="J58" s="50"/>
      <c r="K58" s="303"/>
    </row>
    <row r="59" spans="1:18" ht="16.5">
      <c r="A59" s="7"/>
      <c r="B59" s="50"/>
      <c r="C59" s="50"/>
      <c r="D59" s="57"/>
      <c r="E59" s="58"/>
      <c r="F59" s="65"/>
      <c r="G59" s="66"/>
      <c r="H59" s="66"/>
      <c r="I59" s="48"/>
      <c r="J59" s="50"/>
      <c r="K59" s="7"/>
    </row>
    <row r="60" spans="1:18" ht="16.5">
      <c r="A60" s="7"/>
      <c r="B60" s="50" t="s">
        <v>134</v>
      </c>
      <c r="C60" s="50"/>
      <c r="D60" s="48"/>
      <c r="E60" s="50"/>
      <c r="F60" s="50"/>
      <c r="G60" s="295"/>
      <c r="H60" s="53"/>
      <c r="I60" s="48"/>
      <c r="J60" s="50"/>
      <c r="K60" s="7"/>
    </row>
    <row r="61" spans="1:18" ht="16.5">
      <c r="A61" s="7"/>
      <c r="B61" s="48"/>
      <c r="C61" s="48"/>
      <c r="D61" s="48"/>
      <c r="E61" s="48"/>
      <c r="F61" s="48"/>
      <c r="G61" s="48"/>
      <c r="H61" s="48"/>
      <c r="I61" s="48"/>
      <c r="J61" s="48"/>
      <c r="K61" s="7"/>
    </row>
    <row r="62" spans="1:18" ht="16.5">
      <c r="A62" s="7"/>
      <c r="B62" s="63" t="s">
        <v>128</v>
      </c>
      <c r="C62" s="50"/>
      <c r="D62" s="50"/>
      <c r="E62" s="50"/>
      <c r="F62" s="50"/>
      <c r="G62" s="53"/>
      <c r="H62" s="53"/>
      <c r="I62" s="53"/>
      <c r="J62" s="48"/>
      <c r="K62" s="7"/>
    </row>
    <row r="63" spans="1:18" ht="16.5">
      <c r="A63" s="7"/>
      <c r="B63" s="54" t="s">
        <v>15</v>
      </c>
      <c r="C63" s="48"/>
      <c r="D63" s="48"/>
      <c r="E63" s="52" t="s">
        <v>171</v>
      </c>
      <c r="F63" s="52" t="s">
        <v>12</v>
      </c>
      <c r="G63" s="52" t="s">
        <v>172</v>
      </c>
      <c r="H63" s="52" t="s">
        <v>170</v>
      </c>
      <c r="I63" s="52" t="s">
        <v>2</v>
      </c>
      <c r="J63" s="48"/>
      <c r="K63" s="7"/>
    </row>
    <row r="64" spans="1:18" ht="16.5">
      <c r="A64" s="7"/>
      <c r="B64" s="50" t="s">
        <v>16</v>
      </c>
      <c r="C64" s="50"/>
      <c r="D64" s="48"/>
      <c r="E64" s="124">
        <v>11</v>
      </c>
      <c r="F64" s="87">
        <v>1</v>
      </c>
      <c r="G64" s="68">
        <f>E64*F64</f>
        <v>11</v>
      </c>
      <c r="H64" s="69">
        <f>Inputs!$D2</f>
        <v>20</v>
      </c>
      <c r="I64" s="51">
        <f>E64*H64*F64</f>
        <v>220</v>
      </c>
      <c r="J64" s="48"/>
      <c r="K64" s="7"/>
    </row>
    <row r="65" spans="1:11" ht="16.5">
      <c r="A65" s="7"/>
      <c r="B65" s="50" t="s">
        <v>17</v>
      </c>
      <c r="C65" s="50"/>
      <c r="D65" s="48"/>
      <c r="E65" s="124">
        <v>13</v>
      </c>
      <c r="F65" s="87">
        <v>0.04</v>
      </c>
      <c r="G65" s="159">
        <f>E65*F65</f>
        <v>0.52</v>
      </c>
      <c r="H65" s="69">
        <f>H64</f>
        <v>20</v>
      </c>
      <c r="I65" s="160">
        <f>E65*H65*F65</f>
        <v>10.4</v>
      </c>
      <c r="J65" s="48"/>
      <c r="K65" s="7"/>
    </row>
    <row r="66" spans="1:11" ht="16.5">
      <c r="A66" s="7"/>
      <c r="B66" s="70" t="s">
        <v>23</v>
      </c>
      <c r="C66" s="71"/>
      <c r="D66" s="71"/>
      <c r="E66" s="71"/>
      <c r="F66" s="71"/>
      <c r="G66" s="72">
        <f>SUM(G64:G65)</f>
        <v>11.52</v>
      </c>
      <c r="H66" s="69"/>
      <c r="I66" s="51">
        <f>SUM(I64:I65)</f>
        <v>230.4</v>
      </c>
      <c r="J66" s="48"/>
      <c r="K66" s="7"/>
    </row>
    <row r="67" spans="1:11" ht="16.5">
      <c r="A67" s="7"/>
      <c r="B67" s="70"/>
      <c r="C67" s="71"/>
      <c r="D67" s="71"/>
      <c r="E67" s="71"/>
      <c r="F67" s="71"/>
      <c r="G67" s="72"/>
      <c r="H67" s="69"/>
      <c r="I67" s="51"/>
      <c r="J67" s="48"/>
      <c r="K67" s="7"/>
    </row>
    <row r="68" spans="1:11" ht="16.5">
      <c r="A68" s="7"/>
      <c r="B68" s="54" t="s">
        <v>18</v>
      </c>
      <c r="C68" s="48"/>
      <c r="D68" s="52" t="s">
        <v>21</v>
      </c>
      <c r="E68" s="52" t="s">
        <v>22</v>
      </c>
      <c r="F68" s="52" t="s">
        <v>12</v>
      </c>
      <c r="G68" s="52" t="s">
        <v>219</v>
      </c>
      <c r="H68" s="73" t="s">
        <v>218</v>
      </c>
      <c r="I68" s="73" t="s">
        <v>2</v>
      </c>
      <c r="J68" s="48"/>
      <c r="K68" s="7"/>
    </row>
    <row r="69" spans="1:11" ht="16.5">
      <c r="A69" s="7"/>
      <c r="B69" s="50" t="s">
        <v>19</v>
      </c>
      <c r="C69" s="50"/>
      <c r="D69" s="124">
        <v>32.700000000000003</v>
      </c>
      <c r="E69" s="125">
        <v>0</v>
      </c>
      <c r="F69" s="87">
        <v>1</v>
      </c>
      <c r="G69" s="68">
        <f>D69*E69*F69</f>
        <v>0</v>
      </c>
      <c r="H69" s="69">
        <f>(Inputs!$D3+Inputs!$D4)/2</f>
        <v>105</v>
      </c>
      <c r="I69" s="51">
        <f t="shared" ref="I69:I71" si="2">D69*E69*H69/2000*F69</f>
        <v>0</v>
      </c>
      <c r="J69" s="48"/>
      <c r="K69" s="7"/>
    </row>
    <row r="70" spans="1:11" ht="16.5">
      <c r="A70" s="7"/>
      <c r="B70" s="50" t="s">
        <v>20</v>
      </c>
      <c r="C70" s="50"/>
      <c r="D70" s="124">
        <v>36.6</v>
      </c>
      <c r="E70" s="125">
        <v>120</v>
      </c>
      <c r="F70" s="87">
        <v>1</v>
      </c>
      <c r="G70" s="68">
        <f>D70*E70*F70</f>
        <v>4392</v>
      </c>
      <c r="H70" s="69">
        <f>H69</f>
        <v>105</v>
      </c>
      <c r="I70" s="51">
        <f t="shared" si="2"/>
        <v>230.58</v>
      </c>
      <c r="J70" s="48"/>
      <c r="K70" s="7"/>
    </row>
    <row r="71" spans="1:11" ht="16.5">
      <c r="A71" s="7"/>
      <c r="B71" s="50" t="s">
        <v>92</v>
      </c>
      <c r="C71" s="50"/>
      <c r="D71" s="124">
        <v>4.25</v>
      </c>
      <c r="E71" s="125">
        <v>120</v>
      </c>
      <c r="F71" s="87">
        <v>1</v>
      </c>
      <c r="G71" s="68">
        <f>D71*E71*F71</f>
        <v>510</v>
      </c>
      <c r="H71" s="69">
        <f>H70</f>
        <v>105</v>
      </c>
      <c r="I71" s="51">
        <f t="shared" si="2"/>
        <v>26.774999999999999</v>
      </c>
      <c r="J71" s="48"/>
      <c r="K71" s="7"/>
    </row>
    <row r="72" spans="1:11" ht="16.5">
      <c r="A72" s="7"/>
      <c r="B72" s="50" t="s">
        <v>17</v>
      </c>
      <c r="C72" s="50"/>
      <c r="D72" s="124">
        <v>50</v>
      </c>
      <c r="E72" s="125">
        <v>120</v>
      </c>
      <c r="F72" s="87">
        <v>0.04</v>
      </c>
      <c r="G72" s="159">
        <f>D72*E72*F72</f>
        <v>240</v>
      </c>
      <c r="H72" s="69">
        <f>H70</f>
        <v>105</v>
      </c>
      <c r="I72" s="160">
        <f>D72*E72*H72/2000*F72</f>
        <v>12.6</v>
      </c>
      <c r="J72" s="48"/>
      <c r="K72" s="7"/>
    </row>
    <row r="73" spans="1:11" ht="16.5">
      <c r="A73" s="7"/>
      <c r="B73" s="70" t="s">
        <v>24</v>
      </c>
      <c r="C73" s="48"/>
      <c r="D73" s="48"/>
      <c r="E73" s="48"/>
      <c r="F73" s="48"/>
      <c r="G73" s="155">
        <f>SUM(G69:G72)</f>
        <v>5142</v>
      </c>
      <c r="H73" s="69"/>
      <c r="I73" s="51">
        <f>SUM(I69:I72)</f>
        <v>269.95500000000004</v>
      </c>
      <c r="J73" s="48"/>
      <c r="K73" s="7"/>
    </row>
    <row r="74" spans="1:11" ht="16.5">
      <c r="A74" s="7"/>
      <c r="B74" s="50"/>
      <c r="C74" s="50"/>
      <c r="D74" s="50"/>
      <c r="E74" s="50"/>
      <c r="F74" s="50"/>
      <c r="G74" s="53"/>
      <c r="H74" s="51"/>
      <c r="I74" s="51"/>
      <c r="J74" s="48"/>
      <c r="K74" s="7"/>
    </row>
    <row r="75" spans="1:11" ht="16.5">
      <c r="A75" s="7"/>
      <c r="B75" s="54" t="s">
        <v>13</v>
      </c>
      <c r="C75" s="48"/>
      <c r="D75" s="52" t="s">
        <v>21</v>
      </c>
      <c r="E75" s="52" t="s">
        <v>22</v>
      </c>
      <c r="F75" s="52" t="s">
        <v>12</v>
      </c>
      <c r="G75" s="52" t="s">
        <v>219</v>
      </c>
      <c r="H75" s="73" t="s">
        <v>220</v>
      </c>
      <c r="I75" s="73" t="s">
        <v>2</v>
      </c>
      <c r="J75" s="48"/>
      <c r="K75" s="7"/>
    </row>
    <row r="76" spans="1:11" ht="16.5">
      <c r="A76" s="7"/>
      <c r="B76" s="50" t="s">
        <v>25</v>
      </c>
      <c r="C76" s="50"/>
      <c r="D76" s="124">
        <v>0</v>
      </c>
      <c r="E76" s="125">
        <v>0</v>
      </c>
      <c r="F76" s="87">
        <v>1</v>
      </c>
      <c r="G76" s="74">
        <f>D76*E76*F76</f>
        <v>0</v>
      </c>
      <c r="H76" s="75">
        <f>(Inputs!$D7+(Inputs!D11/100*56))/56*100</f>
        <v>9.8928571428571441</v>
      </c>
      <c r="I76" s="51">
        <f t="shared" ref="I76:I77" si="3">D76*E76*H76/100*F76</f>
        <v>0</v>
      </c>
      <c r="J76" s="48"/>
      <c r="K76" s="7"/>
    </row>
    <row r="77" spans="1:11" ht="16.5">
      <c r="A77" s="7"/>
      <c r="B77" s="50" t="s">
        <v>92</v>
      </c>
      <c r="C77" s="50"/>
      <c r="D77" s="124">
        <v>0</v>
      </c>
      <c r="E77" s="125">
        <v>0</v>
      </c>
      <c r="F77" s="87">
        <v>0</v>
      </c>
      <c r="G77" s="74">
        <f>D77*E77*F77</f>
        <v>0</v>
      </c>
      <c r="H77" s="75">
        <f>H76</f>
        <v>9.8928571428571441</v>
      </c>
      <c r="I77" s="51">
        <f t="shared" si="3"/>
        <v>0</v>
      </c>
      <c r="J77" s="48"/>
      <c r="K77" s="7"/>
    </row>
    <row r="78" spans="1:11" ht="16.5">
      <c r="A78" s="7"/>
      <c r="B78" s="50" t="s">
        <v>17</v>
      </c>
      <c r="C78" s="50"/>
      <c r="D78" s="124">
        <v>0</v>
      </c>
      <c r="E78" s="125">
        <v>0</v>
      </c>
      <c r="F78" s="87">
        <v>0.04</v>
      </c>
      <c r="G78" s="162">
        <f>D78*E78*F78</f>
        <v>0</v>
      </c>
      <c r="H78" s="69">
        <f>H76</f>
        <v>9.8928571428571441</v>
      </c>
      <c r="I78" s="160">
        <f>D78*E78*H78/100*F78</f>
        <v>0</v>
      </c>
      <c r="J78" s="48"/>
      <c r="K78" s="7"/>
    </row>
    <row r="79" spans="1:11" ht="16.5">
      <c r="A79" s="7"/>
      <c r="B79" s="70" t="s">
        <v>24</v>
      </c>
      <c r="C79" s="48"/>
      <c r="D79" s="48"/>
      <c r="E79" s="48"/>
      <c r="F79" s="48"/>
      <c r="G79" s="76">
        <f>SUM(G75:G78)</f>
        <v>0</v>
      </c>
      <c r="H79" s="69"/>
      <c r="I79" s="51">
        <f>SUM(I75:I78)</f>
        <v>0</v>
      </c>
      <c r="J79" s="48"/>
      <c r="K79" s="7"/>
    </row>
    <row r="80" spans="1:11" ht="16.5">
      <c r="A80" s="7"/>
      <c r="B80" s="70"/>
      <c r="C80" s="48"/>
      <c r="D80" s="48"/>
      <c r="E80" s="48"/>
      <c r="F80" s="48"/>
      <c r="G80" s="76"/>
      <c r="H80" s="69"/>
      <c r="I80" s="51"/>
      <c r="J80" s="48"/>
      <c r="K80" s="7"/>
    </row>
    <row r="81" spans="1:11" ht="16.5">
      <c r="A81" s="7"/>
      <c r="B81" s="54" t="s">
        <v>27</v>
      </c>
      <c r="C81" s="48"/>
      <c r="D81" s="52" t="s">
        <v>21</v>
      </c>
      <c r="E81" s="52" t="s">
        <v>22</v>
      </c>
      <c r="F81" s="52" t="s">
        <v>12</v>
      </c>
      <c r="G81" s="52" t="s">
        <v>219</v>
      </c>
      <c r="H81" s="73" t="s">
        <v>218</v>
      </c>
      <c r="I81" s="73" t="s">
        <v>2</v>
      </c>
      <c r="J81" s="48"/>
      <c r="K81" s="7"/>
    </row>
    <row r="82" spans="1:11" ht="16.5">
      <c r="A82" s="7"/>
      <c r="B82" s="50" t="s">
        <v>25</v>
      </c>
      <c r="C82" s="48"/>
      <c r="D82" s="124">
        <v>3</v>
      </c>
      <c r="E82" s="125">
        <v>75</v>
      </c>
      <c r="F82" s="87">
        <v>1</v>
      </c>
      <c r="G82" s="163">
        <f>D82*E82*F82</f>
        <v>225</v>
      </c>
      <c r="H82" s="69">
        <f>Inputs!D9</f>
        <v>180</v>
      </c>
      <c r="I82" s="51">
        <f t="shared" ref="I82:I83" si="4">D82*E82*H82/2000*F82</f>
        <v>20.25</v>
      </c>
      <c r="J82" s="48"/>
      <c r="K82" s="7"/>
    </row>
    <row r="83" spans="1:11" ht="16.5">
      <c r="A83" s="7"/>
      <c r="B83" s="50" t="s">
        <v>92</v>
      </c>
      <c r="C83" s="50"/>
      <c r="D83" s="124">
        <v>0</v>
      </c>
      <c r="E83" s="125">
        <v>0</v>
      </c>
      <c r="F83" s="87">
        <v>1</v>
      </c>
      <c r="G83" s="163">
        <f>D83*E83*F83</f>
        <v>0</v>
      </c>
      <c r="H83" s="69">
        <f>H82</f>
        <v>180</v>
      </c>
      <c r="I83" s="51">
        <f t="shared" si="4"/>
        <v>0</v>
      </c>
      <c r="J83" s="48"/>
      <c r="K83" s="7"/>
    </row>
    <row r="84" spans="1:11" ht="16.5">
      <c r="A84" s="7"/>
      <c r="B84" s="50" t="s">
        <v>17</v>
      </c>
      <c r="C84" s="50"/>
      <c r="D84" s="124">
        <v>3</v>
      </c>
      <c r="E84" s="125">
        <v>60</v>
      </c>
      <c r="F84" s="87">
        <v>0.04</v>
      </c>
      <c r="G84" s="164">
        <f>D84*E84*F84</f>
        <v>7.2</v>
      </c>
      <c r="H84" s="69">
        <f>H83</f>
        <v>180</v>
      </c>
      <c r="I84" s="160">
        <f>D84*E84*H84/2000*F84</f>
        <v>0.64800000000000002</v>
      </c>
      <c r="J84" s="48"/>
      <c r="K84" s="7"/>
    </row>
    <row r="85" spans="1:11" ht="16.5">
      <c r="A85" s="7"/>
      <c r="B85" s="70" t="s">
        <v>24</v>
      </c>
      <c r="C85" s="48"/>
      <c r="D85" s="48"/>
      <c r="E85" s="48"/>
      <c r="F85" s="48"/>
      <c r="G85" s="165">
        <f>SUM(G81:G84)</f>
        <v>232.2</v>
      </c>
      <c r="H85" s="69"/>
      <c r="I85" s="51">
        <f>SUM(I81:I84)</f>
        <v>20.898</v>
      </c>
      <c r="J85" s="48"/>
      <c r="K85" s="7"/>
    </row>
    <row r="86" spans="1:11" ht="16.5">
      <c r="A86" s="7"/>
      <c r="B86" s="50"/>
      <c r="C86" s="50"/>
      <c r="D86" s="50"/>
      <c r="E86" s="50"/>
      <c r="F86" s="50"/>
      <c r="G86" s="53"/>
      <c r="H86" s="51"/>
      <c r="I86" s="51"/>
      <c r="J86" s="48"/>
      <c r="K86" s="7"/>
    </row>
    <row r="87" spans="1:11" ht="16.5">
      <c r="A87" s="7"/>
      <c r="B87" s="54" t="s">
        <v>28</v>
      </c>
      <c r="C87" s="48"/>
      <c r="D87" s="52" t="s">
        <v>21</v>
      </c>
      <c r="E87" s="52" t="s">
        <v>22</v>
      </c>
      <c r="F87" s="52" t="s">
        <v>12</v>
      </c>
      <c r="G87" s="52" t="s">
        <v>219</v>
      </c>
      <c r="H87" s="73" t="s">
        <v>218</v>
      </c>
      <c r="I87" s="73" t="s">
        <v>2</v>
      </c>
      <c r="J87" s="48"/>
      <c r="K87" s="7"/>
    </row>
    <row r="88" spans="1:11" ht="16.5">
      <c r="A88" s="7"/>
      <c r="B88" s="50" t="s">
        <v>26</v>
      </c>
      <c r="C88" s="50"/>
      <c r="D88" s="126">
        <v>0.25</v>
      </c>
      <c r="E88" s="125">
        <v>365</v>
      </c>
      <c r="F88" s="87">
        <v>1</v>
      </c>
      <c r="G88" s="68">
        <f>D88*E88*F88</f>
        <v>91.25</v>
      </c>
      <c r="H88" s="69">
        <f>Inputs!$D10</f>
        <v>1200</v>
      </c>
      <c r="I88" s="51">
        <f>D88*E88*H88/2000*F88</f>
        <v>54.75</v>
      </c>
      <c r="J88" s="158"/>
      <c r="K88" s="7"/>
    </row>
    <row r="89" spans="1:11" ht="16.5">
      <c r="A89" s="7"/>
      <c r="B89" s="50"/>
      <c r="C89" s="50"/>
      <c r="D89" s="166"/>
      <c r="E89" s="161"/>
      <c r="F89" s="57"/>
      <c r="G89" s="60"/>
      <c r="H89" s="79"/>
      <c r="I89" s="53"/>
      <c r="J89" s="48"/>
      <c r="K89" s="7"/>
    </row>
    <row r="90" spans="1:11" ht="16.5">
      <c r="A90" s="7"/>
      <c r="B90" s="167" t="s">
        <v>140</v>
      </c>
      <c r="C90" s="48"/>
      <c r="D90" s="48"/>
      <c r="E90" s="48"/>
      <c r="F90" s="48"/>
      <c r="G90" s="48"/>
      <c r="H90" s="89" t="s">
        <v>193</v>
      </c>
      <c r="I90" s="48"/>
      <c r="J90" s="48"/>
      <c r="K90" s="7"/>
    </row>
    <row r="91" spans="1:11" ht="16.5">
      <c r="A91" s="7"/>
      <c r="B91" s="48" t="s">
        <v>98</v>
      </c>
      <c r="C91" s="48"/>
      <c r="D91" s="48"/>
      <c r="E91" s="48"/>
      <c r="F91" s="69"/>
      <c r="G91" s="78"/>
      <c r="H91" s="129" t="s">
        <v>222</v>
      </c>
      <c r="I91" s="86">
        <v>8</v>
      </c>
      <c r="J91" s="48"/>
      <c r="K91" s="7"/>
    </row>
    <row r="92" spans="1:11" ht="16.5">
      <c r="A92" s="7"/>
      <c r="B92" s="48" t="s">
        <v>0</v>
      </c>
      <c r="C92" s="48"/>
      <c r="D92" s="48"/>
      <c r="E92" s="48"/>
      <c r="F92" s="48"/>
      <c r="G92" s="48"/>
      <c r="H92" s="130" t="s">
        <v>221</v>
      </c>
      <c r="I92" s="122">
        <v>37.5</v>
      </c>
      <c r="J92" s="48"/>
      <c r="K92" s="7"/>
    </row>
    <row r="93" spans="1:11" ht="16.5">
      <c r="A93" s="7"/>
      <c r="B93" s="48" t="s">
        <v>223</v>
      </c>
      <c r="C93" s="50"/>
      <c r="D93" s="50"/>
      <c r="E93" s="80"/>
      <c r="F93" s="48"/>
      <c r="G93" s="48"/>
      <c r="H93" s="130" t="s">
        <v>224</v>
      </c>
      <c r="I93" s="127">
        <v>2.5000000000000001E-2</v>
      </c>
      <c r="J93" s="48"/>
      <c r="K93" s="7"/>
    </row>
    <row r="94" spans="1:11" ht="16.5">
      <c r="A94" s="7"/>
      <c r="B94" s="48" t="s">
        <v>181</v>
      </c>
      <c r="C94" s="48"/>
      <c r="D94" s="48"/>
      <c r="E94" s="48"/>
      <c r="F94" s="48"/>
      <c r="G94" s="48"/>
      <c r="H94" s="130" t="s">
        <v>221</v>
      </c>
      <c r="I94" s="122">
        <v>8</v>
      </c>
      <c r="J94" s="48"/>
      <c r="K94" s="7"/>
    </row>
    <row r="95" spans="1:11" ht="16.5">
      <c r="A95" s="7"/>
      <c r="B95" s="48" t="s">
        <v>225</v>
      </c>
      <c r="C95" s="48"/>
      <c r="D95" s="48"/>
      <c r="E95" s="48"/>
      <c r="F95" s="48"/>
      <c r="G95" s="48"/>
      <c r="H95" s="130" t="s">
        <v>221</v>
      </c>
      <c r="I95" s="122">
        <v>8.5</v>
      </c>
      <c r="J95" s="48"/>
      <c r="K95" s="7"/>
    </row>
    <row r="96" spans="1:11" ht="16.5">
      <c r="A96" s="7"/>
      <c r="B96" s="48" t="s">
        <v>226</v>
      </c>
      <c r="C96" s="48"/>
      <c r="D96" s="48"/>
      <c r="E96" s="48"/>
      <c r="F96" s="48"/>
      <c r="G96" s="48"/>
      <c r="H96" s="130" t="s">
        <v>221</v>
      </c>
      <c r="I96" s="122">
        <v>45</v>
      </c>
      <c r="J96" s="48"/>
      <c r="K96" s="7"/>
    </row>
    <row r="97" spans="1:11" ht="16.5">
      <c r="A97" s="7"/>
      <c r="B97" s="48" t="s">
        <v>227</v>
      </c>
      <c r="C97" s="48"/>
      <c r="D97" s="48"/>
      <c r="E97" s="48"/>
      <c r="F97" s="48"/>
      <c r="G97" s="48"/>
      <c r="H97" s="130" t="s">
        <v>221</v>
      </c>
      <c r="I97" s="122">
        <v>0</v>
      </c>
      <c r="J97" s="48"/>
      <c r="K97" s="7"/>
    </row>
    <row r="98" spans="1:11" ht="16.5">
      <c r="A98" s="7"/>
      <c r="B98" s="48" t="s">
        <v>10</v>
      </c>
      <c r="C98" s="48"/>
      <c r="D98" s="48"/>
      <c r="E98" s="48"/>
      <c r="F98" s="48"/>
      <c r="G98" s="48"/>
      <c r="H98" s="130" t="s">
        <v>221</v>
      </c>
      <c r="I98" s="122">
        <v>1</v>
      </c>
      <c r="J98" s="48"/>
      <c r="K98" s="7"/>
    </row>
    <row r="99" spans="1:11" ht="16.5">
      <c r="A99" s="7"/>
      <c r="B99" s="48" t="s">
        <v>32</v>
      </c>
      <c r="C99" s="48"/>
      <c r="D99" s="48"/>
      <c r="E99" s="48"/>
      <c r="F99" s="48"/>
      <c r="G99" s="48"/>
      <c r="H99" s="130" t="s">
        <v>221</v>
      </c>
      <c r="I99" s="122">
        <v>6</v>
      </c>
      <c r="J99" s="48"/>
      <c r="K99" s="7"/>
    </row>
    <row r="100" spans="1:11" ht="16.5">
      <c r="A100" s="7"/>
      <c r="B100" s="48"/>
      <c r="C100" s="48"/>
      <c r="D100" s="48"/>
      <c r="E100" s="48"/>
      <c r="F100" s="48"/>
      <c r="G100" s="81"/>
      <c r="H100" s="79"/>
      <c r="I100" s="79"/>
      <c r="J100" s="48"/>
      <c r="K100" s="7"/>
    </row>
    <row r="101" spans="1:11" ht="16.5">
      <c r="A101" s="7"/>
      <c r="B101" s="167" t="s">
        <v>127</v>
      </c>
      <c r="C101" s="48"/>
      <c r="D101" s="48"/>
      <c r="E101" s="48"/>
      <c r="F101" s="48"/>
      <c r="G101" s="48"/>
      <c r="H101" s="48"/>
      <c r="I101" s="48"/>
      <c r="J101" s="48"/>
      <c r="K101" s="7"/>
    </row>
    <row r="102" spans="1:11" ht="16.5">
      <c r="A102" s="7"/>
      <c r="B102" s="50" t="s">
        <v>84</v>
      </c>
      <c r="C102" s="50"/>
      <c r="D102" s="82"/>
      <c r="E102" s="50"/>
      <c r="F102" s="48"/>
      <c r="G102" s="48"/>
      <c r="H102" s="48"/>
      <c r="I102" s="87">
        <v>0.87</v>
      </c>
      <c r="J102" s="48"/>
      <c r="K102" s="7"/>
    </row>
    <row r="103" spans="1:11" ht="16.5">
      <c r="A103" s="7"/>
      <c r="B103" s="48"/>
      <c r="C103" s="48"/>
      <c r="D103" s="48"/>
      <c r="E103" s="48"/>
      <c r="F103" s="48"/>
      <c r="G103" s="48"/>
      <c r="H103" s="48"/>
      <c r="I103" s="48"/>
      <c r="J103" s="48"/>
      <c r="K103" s="7"/>
    </row>
    <row r="104" spans="1:11" ht="16.5">
      <c r="A104" s="7"/>
      <c r="C104" s="56" t="s">
        <v>185</v>
      </c>
      <c r="D104" s="52" t="s">
        <v>229</v>
      </c>
      <c r="E104" s="52" t="s">
        <v>228</v>
      </c>
      <c r="F104" s="52" t="s">
        <v>231</v>
      </c>
      <c r="G104" s="50"/>
      <c r="H104" s="52" t="s">
        <v>82</v>
      </c>
      <c r="I104" s="50"/>
      <c r="J104" s="48"/>
      <c r="K104" s="7"/>
    </row>
    <row r="105" spans="1:11" ht="16.5">
      <c r="A105" s="7"/>
      <c r="C105" s="86" t="s">
        <v>81</v>
      </c>
      <c r="D105" s="122">
        <v>53.67</v>
      </c>
      <c r="E105" s="131">
        <f>40/60</f>
        <v>0.66666666666666663</v>
      </c>
      <c r="F105" s="86">
        <v>90</v>
      </c>
      <c r="G105" s="50"/>
      <c r="H105" s="59">
        <f>D105*E105*F105</f>
        <v>3220.2000000000003</v>
      </c>
      <c r="I105" s="50"/>
      <c r="J105" s="48"/>
      <c r="K105" s="7"/>
    </row>
    <row r="106" spans="1:11" ht="16.5">
      <c r="A106" s="7"/>
      <c r="C106" s="86" t="s">
        <v>80</v>
      </c>
      <c r="D106" s="122">
        <v>40</v>
      </c>
      <c r="E106" s="86">
        <v>0.5</v>
      </c>
      <c r="F106" s="86">
        <v>30</v>
      </c>
      <c r="G106" s="50"/>
      <c r="H106" s="59">
        <f>D106*E106*F106</f>
        <v>600</v>
      </c>
      <c r="I106" s="50"/>
      <c r="J106" s="48"/>
      <c r="K106" s="7"/>
    </row>
    <row r="107" spans="1:11" ht="16.5">
      <c r="A107" s="7"/>
      <c r="C107" s="86" t="s">
        <v>83</v>
      </c>
      <c r="D107" s="122">
        <v>20</v>
      </c>
      <c r="E107" s="86">
        <v>3</v>
      </c>
      <c r="F107" s="86">
        <v>8</v>
      </c>
      <c r="G107" s="50"/>
      <c r="H107" s="59">
        <f>D107*E107*F107</f>
        <v>480</v>
      </c>
      <c r="I107" s="50"/>
      <c r="J107" s="48"/>
      <c r="K107" s="7"/>
    </row>
    <row r="108" spans="1:11" ht="16.5">
      <c r="A108" s="7"/>
      <c r="C108" s="86" t="s">
        <v>109</v>
      </c>
      <c r="D108" s="122">
        <v>12</v>
      </c>
      <c r="E108" s="86">
        <v>1</v>
      </c>
      <c r="F108" s="86">
        <v>180</v>
      </c>
      <c r="G108" s="48"/>
      <c r="H108" s="59">
        <f>D108*E108*F108</f>
        <v>2160</v>
      </c>
      <c r="I108" s="50"/>
      <c r="J108" s="48"/>
      <c r="K108" s="7"/>
    </row>
    <row r="109" spans="1:11" ht="16.5">
      <c r="A109" s="7"/>
      <c r="B109" s="50"/>
      <c r="C109" s="48"/>
      <c r="D109" s="48"/>
      <c r="E109" s="48"/>
      <c r="F109" s="48"/>
      <c r="G109" s="83" t="s">
        <v>2</v>
      </c>
      <c r="H109" s="59">
        <f>SUM(H105:H108)</f>
        <v>6460.2000000000007</v>
      </c>
      <c r="I109" s="50"/>
      <c r="J109" s="48"/>
    </row>
    <row r="110" spans="1:11" ht="16.5">
      <c r="A110" s="7"/>
      <c r="B110" s="50"/>
      <c r="C110" s="50"/>
      <c r="D110" s="57"/>
      <c r="E110" s="50"/>
      <c r="F110" s="50"/>
      <c r="G110" s="50"/>
      <c r="H110" s="50"/>
      <c r="I110" s="50"/>
      <c r="J110" s="48"/>
      <c r="K110" s="7"/>
    </row>
    <row r="111" spans="1:11" ht="16.5">
      <c r="A111" s="7"/>
      <c r="B111" s="55"/>
      <c r="C111" s="48"/>
      <c r="D111" s="48"/>
      <c r="E111" s="48"/>
      <c r="F111" s="168" t="s">
        <v>44</v>
      </c>
      <c r="G111" s="168" t="s">
        <v>33</v>
      </c>
      <c r="H111" s="168" t="s">
        <v>45</v>
      </c>
      <c r="I111" s="61" t="s">
        <v>59</v>
      </c>
      <c r="J111" s="48"/>
      <c r="K111" s="7"/>
    </row>
    <row r="112" spans="1:11" ht="16.5">
      <c r="A112" s="7"/>
      <c r="B112" s="48" t="s">
        <v>47</v>
      </c>
      <c r="C112" s="48"/>
      <c r="D112" s="48"/>
      <c r="E112" s="48"/>
      <c r="F112" s="88">
        <v>14000</v>
      </c>
      <c r="G112" s="60">
        <f>F112/I44</f>
        <v>280</v>
      </c>
      <c r="H112" s="86">
        <v>20</v>
      </c>
      <c r="I112" s="87">
        <v>0.35</v>
      </c>
      <c r="J112" s="48"/>
      <c r="K112" s="7"/>
    </row>
    <row r="113" spans="2:11" ht="16.5" hidden="1">
      <c r="B113" s="48"/>
      <c r="C113" s="48"/>
      <c r="D113" s="48"/>
      <c r="E113" s="48"/>
      <c r="F113" s="48"/>
      <c r="G113" s="48"/>
      <c r="H113" s="48"/>
      <c r="I113" s="48"/>
      <c r="J113" s="48"/>
      <c r="K113" s="7"/>
    </row>
    <row r="114" spans="2:11" ht="16.5" hidden="1">
      <c r="B114" s="48"/>
      <c r="C114" s="48"/>
      <c r="D114" s="48"/>
      <c r="E114" s="48"/>
      <c r="F114" s="48"/>
      <c r="G114" s="48"/>
      <c r="H114" s="48"/>
      <c r="I114" s="48"/>
      <c r="J114" s="48"/>
      <c r="K114" s="7"/>
    </row>
    <row r="115" spans="2:11" ht="16.5" hidden="1">
      <c r="B115" s="48"/>
      <c r="C115" s="48"/>
      <c r="D115" s="48"/>
      <c r="E115" s="48"/>
      <c r="F115" s="48"/>
      <c r="G115" s="48"/>
      <c r="H115" s="48"/>
      <c r="I115" s="48"/>
      <c r="J115" s="48"/>
      <c r="K115" s="7"/>
    </row>
    <row r="116" spans="2:11" ht="16.5" hidden="1">
      <c r="B116" s="48"/>
      <c r="C116" s="48"/>
      <c r="D116" s="48"/>
      <c r="E116" s="48"/>
      <c r="F116" s="48"/>
      <c r="G116" s="48"/>
      <c r="H116" s="48"/>
      <c r="I116" s="48"/>
      <c r="J116" s="48"/>
      <c r="K116" s="7"/>
    </row>
    <row r="117" spans="2:11" ht="16.5" hidden="1">
      <c r="B117" s="48"/>
      <c r="C117" s="48"/>
      <c r="D117" s="48"/>
      <c r="E117" s="48"/>
      <c r="F117" s="48"/>
      <c r="G117" s="48"/>
      <c r="H117" s="48"/>
      <c r="I117" s="48"/>
      <c r="J117" s="48"/>
      <c r="K117" s="7"/>
    </row>
    <row r="118" spans="2:11" ht="16.5" hidden="1">
      <c r="B118" s="48"/>
      <c r="C118" s="48"/>
      <c r="D118" s="48"/>
      <c r="E118" s="48"/>
      <c r="F118" s="48"/>
      <c r="G118" s="48"/>
      <c r="H118" s="48"/>
      <c r="I118" s="48"/>
      <c r="J118" s="48"/>
      <c r="K118" s="7"/>
    </row>
    <row r="119" spans="2:11" ht="16.5" hidden="1">
      <c r="B119" s="48"/>
      <c r="C119" s="48"/>
      <c r="D119" s="48"/>
      <c r="E119" s="48"/>
      <c r="F119" s="48"/>
      <c r="G119" s="48"/>
      <c r="H119" s="48"/>
      <c r="I119" s="48"/>
      <c r="J119" s="48"/>
      <c r="K119" s="7"/>
    </row>
    <row r="120" spans="2:11" ht="16.5" hidden="1">
      <c r="B120" s="48"/>
      <c r="C120" s="48"/>
      <c r="D120" s="48"/>
      <c r="E120" s="48"/>
      <c r="F120" s="48"/>
      <c r="G120" s="48"/>
      <c r="H120" s="48"/>
      <c r="I120" s="48"/>
      <c r="J120" s="48"/>
      <c r="K120" s="7"/>
    </row>
    <row r="121" spans="2:11" ht="16.5" hidden="1">
      <c r="B121" s="48"/>
      <c r="C121" s="48"/>
      <c r="D121" s="48"/>
      <c r="E121" s="48"/>
      <c r="F121" s="48"/>
      <c r="G121" s="48"/>
      <c r="H121" s="48"/>
      <c r="I121" s="48"/>
      <c r="J121" s="48"/>
      <c r="K121" s="7"/>
    </row>
    <row r="122" spans="2:11" ht="16.5" hidden="1">
      <c r="B122" s="48"/>
      <c r="C122" s="48"/>
      <c r="D122" s="48"/>
      <c r="E122" s="48"/>
      <c r="F122" s="48"/>
      <c r="G122" s="48"/>
      <c r="H122" s="48"/>
      <c r="I122" s="48"/>
      <c r="J122" s="48"/>
      <c r="K122" s="7"/>
    </row>
    <row r="123" spans="2:11" ht="16.5" hidden="1">
      <c r="B123" s="48"/>
      <c r="C123" s="48"/>
      <c r="D123" s="48"/>
      <c r="E123" s="48"/>
      <c r="F123" s="48"/>
      <c r="G123" s="48"/>
      <c r="H123" s="48"/>
      <c r="I123" s="48"/>
      <c r="J123" s="48"/>
      <c r="K123" s="7"/>
    </row>
    <row r="124" spans="2:11" ht="16.5" hidden="1">
      <c r="B124" s="48"/>
      <c r="C124" s="48"/>
      <c r="D124" s="48"/>
      <c r="E124" s="48"/>
      <c r="F124" s="48"/>
      <c r="G124" s="48"/>
      <c r="H124" s="48"/>
      <c r="I124" s="48"/>
      <c r="J124" s="48"/>
      <c r="K124" s="7"/>
    </row>
    <row r="125" spans="2:11" ht="16.5" hidden="1">
      <c r="B125" s="48"/>
      <c r="C125" s="48"/>
      <c r="D125" s="48"/>
      <c r="E125" s="48"/>
      <c r="F125" s="48"/>
      <c r="G125" s="48"/>
      <c r="H125" s="48"/>
      <c r="I125" s="48"/>
      <c r="J125" s="48"/>
      <c r="K125" s="7"/>
    </row>
    <row r="126" spans="2:11" ht="16.5" hidden="1">
      <c r="B126" s="48"/>
      <c r="C126" s="48"/>
      <c r="D126" s="48"/>
      <c r="E126" s="48"/>
      <c r="F126" s="48"/>
      <c r="G126" s="48"/>
      <c r="H126" s="48"/>
      <c r="I126" s="48"/>
      <c r="J126" s="48"/>
      <c r="K126" s="7"/>
    </row>
    <row r="127" spans="2:11" ht="16.5" hidden="1">
      <c r="B127" s="48"/>
      <c r="C127" s="48"/>
      <c r="D127" s="48"/>
      <c r="E127" s="48"/>
      <c r="F127" s="48"/>
      <c r="G127" s="48"/>
      <c r="H127" s="48"/>
      <c r="I127" s="48"/>
      <c r="J127" s="48"/>
      <c r="K127" s="7"/>
    </row>
    <row r="128" spans="2:11" ht="16.5" hidden="1">
      <c r="B128" s="48"/>
      <c r="C128" s="48"/>
      <c r="D128" s="48"/>
      <c r="E128" s="48"/>
      <c r="F128" s="48"/>
      <c r="G128" s="48"/>
      <c r="H128" s="48"/>
      <c r="I128" s="48"/>
      <c r="J128" s="48"/>
      <c r="K128" s="7"/>
    </row>
    <row r="129" spans="2:11" ht="16.5" hidden="1">
      <c r="B129" s="48"/>
      <c r="C129" s="48"/>
      <c r="D129" s="48"/>
      <c r="E129" s="48"/>
      <c r="F129" s="48"/>
      <c r="G129" s="48"/>
      <c r="H129" s="48"/>
      <c r="I129" s="48"/>
      <c r="J129" s="48"/>
      <c r="K129" s="7"/>
    </row>
    <row r="130" spans="2:11" ht="16.5" hidden="1">
      <c r="B130" s="48"/>
      <c r="C130" s="48"/>
      <c r="D130" s="48"/>
      <c r="E130" s="48"/>
      <c r="F130" s="48"/>
      <c r="G130" s="48"/>
      <c r="H130" s="48"/>
      <c r="I130" s="48"/>
      <c r="J130" s="48"/>
      <c r="K130" s="7"/>
    </row>
    <row r="131" spans="2:11" ht="16.5" hidden="1">
      <c r="B131" s="48"/>
      <c r="C131" s="48"/>
      <c r="D131" s="48"/>
      <c r="E131" s="48"/>
      <c r="F131" s="48"/>
      <c r="G131" s="48"/>
      <c r="H131" s="48"/>
      <c r="I131" s="48"/>
      <c r="J131" s="48"/>
      <c r="K131" s="7"/>
    </row>
    <row r="132" spans="2:11" ht="16.5" hidden="1">
      <c r="B132" s="48"/>
      <c r="C132" s="48"/>
      <c r="D132" s="48"/>
      <c r="E132" s="48"/>
      <c r="F132" s="48"/>
      <c r="G132" s="48"/>
      <c r="H132" s="48"/>
      <c r="I132" s="48"/>
      <c r="J132" s="48"/>
      <c r="K132" s="7"/>
    </row>
    <row r="133" spans="2:11" ht="16.5" hidden="1">
      <c r="B133" s="48"/>
      <c r="C133" s="48"/>
      <c r="D133" s="48"/>
      <c r="E133" s="48"/>
      <c r="F133" s="48"/>
      <c r="G133" s="48"/>
      <c r="H133" s="48"/>
      <c r="I133" s="48"/>
      <c r="J133" s="48"/>
      <c r="K133" s="7"/>
    </row>
    <row r="134" spans="2:11" ht="16.5" hidden="1">
      <c r="B134" s="48"/>
      <c r="C134" s="48"/>
      <c r="D134" s="48"/>
      <c r="E134" s="48"/>
      <c r="F134" s="48"/>
      <c r="G134" s="48"/>
      <c r="H134" s="48"/>
      <c r="I134" s="48"/>
      <c r="J134" s="48"/>
      <c r="K134" s="7"/>
    </row>
    <row r="135" spans="2:11" ht="16.5" hidden="1">
      <c r="B135" s="48"/>
      <c r="C135" s="48"/>
      <c r="D135" s="48"/>
      <c r="E135" s="48"/>
      <c r="F135" s="48"/>
      <c r="G135" s="48"/>
      <c r="H135" s="48"/>
      <c r="I135" s="48"/>
      <c r="J135" s="48"/>
      <c r="K135" s="7"/>
    </row>
    <row r="136" spans="2:11" ht="16.5" hidden="1">
      <c r="B136" s="48"/>
      <c r="C136" s="48"/>
      <c r="D136" s="48"/>
      <c r="E136" s="48"/>
      <c r="F136" s="48"/>
      <c r="G136" s="48"/>
      <c r="H136" s="48"/>
      <c r="I136" s="48"/>
      <c r="J136" s="48"/>
      <c r="K136" s="7"/>
    </row>
    <row r="137" spans="2:11" ht="16.5" hidden="1">
      <c r="B137" s="48"/>
      <c r="C137" s="48"/>
      <c r="D137" s="48"/>
      <c r="E137" s="48"/>
      <c r="F137" s="48"/>
      <c r="G137" s="48"/>
      <c r="H137" s="48"/>
      <c r="I137" s="48"/>
      <c r="J137" s="48"/>
    </row>
  </sheetData>
  <sheetProtection sheet="1" objects="1" scenarios="1"/>
  <mergeCells count="1">
    <mergeCell ref="B1:J1"/>
  </mergeCells>
  <phoneticPr fontId="0" type="noConversion"/>
  <pageMargins left="0.75" right="0.75" top="1" bottom="1" header="0.5" footer="0.5"/>
  <pageSetup scale="89" orientation="portrait" r:id="rId1"/>
  <headerFooter alignWithMargins="0"/>
  <rowBreaks count="1" manualBreakCount="1">
    <brk id="89" max="9" man="1"/>
  </rowBreaks>
  <ignoredErrors>
    <ignoredError sqref="H76:H77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161"/>
  <sheetViews>
    <sheetView showOutlineSymbols="0" topLeftCell="A24" zoomScale="130" zoomScaleNormal="130" zoomScaleSheetLayoutView="136" workbookViewId="0">
      <selection activeCell="D108" sqref="D108"/>
    </sheetView>
  </sheetViews>
  <sheetFormatPr defaultColWidth="0" defaultRowHeight="15.75" customHeight="1" zeroHeight="1"/>
  <cols>
    <col min="1" max="1" width="2.77734375" style="1" customWidth="1"/>
    <col min="2" max="2" width="2.6640625" style="1" customWidth="1"/>
    <col min="3" max="3" width="15.77734375" style="1" customWidth="1"/>
    <col min="4" max="5" width="9.33203125" style="1" customWidth="1"/>
    <col min="6" max="6" width="8.6640625" style="1" customWidth="1"/>
    <col min="7" max="8" width="9.33203125" style="1" customWidth="1"/>
    <col min="9" max="9" width="9.77734375" style="1" customWidth="1"/>
    <col min="10" max="11" width="10.77734375" style="1" customWidth="1"/>
    <col min="12" max="12" width="0" style="1" hidden="1" customWidth="1"/>
    <col min="13" max="16384" width="8.6640625" style="1" hidden="1"/>
  </cols>
  <sheetData>
    <row r="1" spans="1:10" ht="20.100000000000001" customHeight="1">
      <c r="B1" s="313" t="s">
        <v>165</v>
      </c>
      <c r="C1" s="314"/>
      <c r="D1" s="314"/>
      <c r="E1" s="314"/>
      <c r="F1" s="314"/>
      <c r="G1" s="314"/>
      <c r="H1" s="314"/>
      <c r="I1" s="314"/>
      <c r="J1" s="315"/>
    </row>
    <row r="2" spans="1:10" ht="15.95" customHeight="1">
      <c r="B2" s="263"/>
      <c r="C2" s="264"/>
      <c r="D2" s="264"/>
      <c r="E2" s="264"/>
      <c r="F2" s="264"/>
      <c r="G2" s="264"/>
      <c r="H2" s="264"/>
      <c r="I2" s="264"/>
      <c r="J2" s="265"/>
    </row>
    <row r="3" spans="1:10" ht="15.95" customHeight="1">
      <c r="B3" s="90"/>
      <c r="C3" s="46"/>
      <c r="D3" s="46"/>
      <c r="E3" s="46"/>
      <c r="F3" s="46"/>
      <c r="G3" s="266" t="s">
        <v>34</v>
      </c>
      <c r="H3" s="266"/>
      <c r="I3" s="266"/>
      <c r="J3" s="91"/>
    </row>
    <row r="4" spans="1:10" ht="15.95" customHeight="1">
      <c r="A4" s="7"/>
      <c r="B4" s="92"/>
      <c r="C4" s="93"/>
      <c r="D4" s="93"/>
      <c r="E4" s="93"/>
      <c r="F4" s="93"/>
      <c r="G4" s="94">
        <f>E53</f>
        <v>0.8</v>
      </c>
      <c r="H4" s="94">
        <f>F53</f>
        <v>0.85</v>
      </c>
      <c r="I4" s="94">
        <f>G53</f>
        <v>0.9</v>
      </c>
      <c r="J4" s="95" t="s">
        <v>150</v>
      </c>
    </row>
    <row r="5" spans="1:10" ht="15.95" customHeight="1">
      <c r="A5" s="7"/>
      <c r="B5" s="96" t="s">
        <v>154</v>
      </c>
      <c r="C5" s="97"/>
      <c r="D5" s="97"/>
      <c r="E5" s="97"/>
      <c r="F5" s="97"/>
      <c r="G5" s="267" t="s">
        <v>166</v>
      </c>
      <c r="H5" s="267" t="s">
        <v>166</v>
      </c>
      <c r="I5" s="267" t="s">
        <v>166</v>
      </c>
      <c r="J5" s="98"/>
    </row>
    <row r="6" spans="1:10" ht="15.95" customHeight="1">
      <c r="A6" s="28"/>
      <c r="B6" s="99" t="s">
        <v>36</v>
      </c>
      <c r="C6" s="97" t="str">
        <f>"Steer calf sales: "&amp;E56&amp;" lbs. @ $"&amp;F56&amp;"/cwt."</f>
        <v>Steer calf sales: 590 lbs. @ $283.38/cwt.</v>
      </c>
      <c r="D6" s="46"/>
      <c r="E6" s="97"/>
      <c r="F6" s="97"/>
      <c r="G6" s="259">
        <f>$E$56*$F$56/100*(E53/2)</f>
        <v>668.77680000000009</v>
      </c>
      <c r="H6" s="259">
        <f>$E$56*$F$56/100*(F53/2)</f>
        <v>710.57534999999996</v>
      </c>
      <c r="I6" s="259">
        <f>$E$56*$F$56/100*(G53/2)</f>
        <v>752.37390000000005</v>
      </c>
      <c r="J6" s="100" t="s">
        <v>3</v>
      </c>
    </row>
    <row r="7" spans="1:10" ht="15.95" customHeight="1">
      <c r="A7" s="28"/>
      <c r="B7" s="99" t="s">
        <v>37</v>
      </c>
      <c r="C7" s="97" t="str">
        <f>"Heifer calf sales: "&amp;E57&amp;" lbs. @ $"&amp;F57&amp;"/cwt."</f>
        <v>Heifer calf sales: 550 lbs. @ $261.34/cwt.</v>
      </c>
      <c r="D7" s="97"/>
      <c r="E7" s="97"/>
      <c r="F7" s="97"/>
      <c r="G7" s="259">
        <f>$E$57*$F$57/100*(E53/2)</f>
        <v>574.94799999999998</v>
      </c>
      <c r="H7" s="259">
        <f>$E$57*$F$57/100*(F53/2)</f>
        <v>610.88224999999989</v>
      </c>
      <c r="I7" s="259">
        <f>$E$57*$F$57/100*(G53/2)</f>
        <v>646.81650000000002</v>
      </c>
      <c r="J7" s="100" t="s">
        <v>3</v>
      </c>
    </row>
    <row r="8" spans="1:10" ht="15.95" customHeight="1">
      <c r="A8" s="28"/>
      <c r="B8" s="99" t="s">
        <v>105</v>
      </c>
      <c r="C8" s="97" t="str">
        <f>"Cull cow sales: "&amp;E58&amp;" lbs. @ $"&amp;F58&amp;"/cwt. x "&amp;FIXED(D58*100,0)&amp;"%"</f>
        <v>Cull cow sales: 1250 lbs. @ $122.96/cwt. x 14%</v>
      </c>
      <c r="D8" s="97"/>
      <c r="E8" s="97"/>
      <c r="F8" s="97"/>
      <c r="G8" s="259">
        <f>$H58</f>
        <v>215.18</v>
      </c>
      <c r="H8" s="259">
        <f>$H58</f>
        <v>215.18</v>
      </c>
      <c r="I8" s="259">
        <f>$H58</f>
        <v>215.18</v>
      </c>
      <c r="J8" s="100" t="s">
        <v>3</v>
      </c>
    </row>
    <row r="9" spans="1:10" ht="15.95" customHeight="1">
      <c r="A9" s="28"/>
      <c r="B9" s="99"/>
      <c r="C9" s="97" t="s">
        <v>41</v>
      </c>
      <c r="D9" s="97"/>
      <c r="E9" s="97"/>
      <c r="F9" s="97"/>
      <c r="G9" s="101">
        <f>E60</f>
        <v>0</v>
      </c>
      <c r="H9" s="101">
        <f>G9</f>
        <v>0</v>
      </c>
      <c r="I9" s="101">
        <f>G9</f>
        <v>0</v>
      </c>
      <c r="J9" s="100" t="s">
        <v>3</v>
      </c>
    </row>
    <row r="10" spans="1:10" ht="15.95" customHeight="1">
      <c r="A10" s="28"/>
      <c r="B10" s="99"/>
      <c r="C10" s="253"/>
      <c r="D10" s="33"/>
      <c r="E10" s="33"/>
      <c r="F10" s="254" t="s">
        <v>155</v>
      </c>
      <c r="G10" s="268">
        <f>SUM(G6:G8)</f>
        <v>1458.9048</v>
      </c>
      <c r="H10" s="268">
        <f>SUM(H6:H8)</f>
        <v>1536.6375999999998</v>
      </c>
      <c r="I10" s="268">
        <f>SUM(I6:I8)</f>
        <v>1614.3704</v>
      </c>
      <c r="J10" s="100" t="s">
        <v>3</v>
      </c>
    </row>
    <row r="11" spans="1:10" ht="15.95" customHeight="1">
      <c r="A11" s="7"/>
      <c r="B11" s="102"/>
      <c r="C11" s="97"/>
      <c r="D11" s="97"/>
      <c r="E11" s="97"/>
      <c r="F11" s="97"/>
      <c r="G11" s="258"/>
      <c r="H11" s="258"/>
      <c r="I11" s="258"/>
      <c r="J11" s="91" t="s">
        <v>3</v>
      </c>
    </row>
    <row r="12" spans="1:10" ht="15.95" customHeight="1">
      <c r="A12" s="7"/>
      <c r="B12" s="96" t="s">
        <v>153</v>
      </c>
      <c r="C12" s="97"/>
      <c r="D12" s="97"/>
      <c r="E12" s="97"/>
      <c r="F12" s="97"/>
      <c r="G12" s="97"/>
      <c r="H12" s="97"/>
      <c r="I12" s="97"/>
      <c r="J12" s="98"/>
    </row>
    <row r="13" spans="1:10" ht="15.95" customHeight="1">
      <c r="A13" s="7"/>
      <c r="B13" s="102"/>
      <c r="C13" s="97" t="s">
        <v>96</v>
      </c>
      <c r="D13" s="97"/>
      <c r="E13" s="97"/>
      <c r="F13" s="97"/>
      <c r="G13" s="259">
        <f>$I66</f>
        <v>256.39999999999998</v>
      </c>
      <c r="H13" s="259">
        <f>$I66</f>
        <v>256.39999999999998</v>
      </c>
      <c r="I13" s="259">
        <f>$I66</f>
        <v>256.39999999999998</v>
      </c>
      <c r="J13" s="100" t="s">
        <v>3</v>
      </c>
    </row>
    <row r="14" spans="1:10" ht="15.95" customHeight="1">
      <c r="A14" s="7"/>
      <c r="B14" s="102"/>
      <c r="C14" s="97" t="s">
        <v>97</v>
      </c>
      <c r="D14" s="97"/>
      <c r="E14" s="97"/>
      <c r="F14" s="97"/>
      <c r="G14" s="259">
        <f>$I73</f>
        <v>227.82374999999999</v>
      </c>
      <c r="H14" s="259">
        <f>$I73</f>
        <v>227.82374999999999</v>
      </c>
      <c r="I14" s="259">
        <f>$I73</f>
        <v>227.82374999999999</v>
      </c>
      <c r="J14" s="100" t="s">
        <v>3</v>
      </c>
    </row>
    <row r="15" spans="1:10" ht="15.95" customHeight="1">
      <c r="A15" s="7"/>
      <c r="B15" s="102"/>
      <c r="C15" s="97" t="s">
        <v>1</v>
      </c>
      <c r="D15" s="97"/>
      <c r="E15" s="97"/>
      <c r="F15" s="97"/>
      <c r="G15" s="259">
        <f>$I79</f>
        <v>0</v>
      </c>
      <c r="H15" s="259">
        <f>$I79</f>
        <v>0</v>
      </c>
      <c r="I15" s="259">
        <f>$I79</f>
        <v>0</v>
      </c>
      <c r="J15" s="100" t="s">
        <v>3</v>
      </c>
    </row>
    <row r="16" spans="1:10" ht="15.95" customHeight="1">
      <c r="A16" s="7"/>
      <c r="B16" s="102"/>
      <c r="C16" s="97" t="s">
        <v>115</v>
      </c>
      <c r="D16" s="97"/>
      <c r="E16" s="97"/>
      <c r="F16" s="97"/>
      <c r="G16" s="259">
        <f>$I85+$I88</f>
        <v>63.173999999999999</v>
      </c>
      <c r="H16" s="259">
        <f>$I85+$I88</f>
        <v>63.173999999999999</v>
      </c>
      <c r="I16" s="259">
        <f>$I85+$I88</f>
        <v>63.173999999999999</v>
      </c>
      <c r="J16" s="100" t="s">
        <v>3</v>
      </c>
    </row>
    <row r="17" spans="1:12" ht="15.95" customHeight="1">
      <c r="A17" s="7"/>
      <c r="B17" s="102"/>
      <c r="C17" s="97" t="str">
        <f>"Labor ($"&amp;Inputs!$D13&amp;" x "&amp;I91&amp;" hours)"</f>
        <v>Labor ($19.8 x 8 hours)</v>
      </c>
      <c r="D17" s="97"/>
      <c r="E17" s="97"/>
      <c r="F17" s="97"/>
      <c r="G17" s="259">
        <f>Inputs!$D13*$I91</f>
        <v>158.4</v>
      </c>
      <c r="H17" s="259">
        <f>Inputs!$D13*$I91</f>
        <v>158.4</v>
      </c>
      <c r="I17" s="259">
        <f>Inputs!$D13*$I91</f>
        <v>158.4</v>
      </c>
      <c r="J17" s="100" t="s">
        <v>3</v>
      </c>
    </row>
    <row r="18" spans="1:12" ht="15.95" customHeight="1">
      <c r="A18" s="7"/>
      <c r="B18" s="102"/>
      <c r="C18" s="97" t="s">
        <v>0</v>
      </c>
      <c r="D18" s="97"/>
      <c r="E18" s="97"/>
      <c r="F18" s="97"/>
      <c r="G18" s="259">
        <f>$I92</f>
        <v>37.5</v>
      </c>
      <c r="H18" s="259">
        <f>$I92</f>
        <v>37.5</v>
      </c>
      <c r="I18" s="259">
        <f>$I92</f>
        <v>37.5</v>
      </c>
      <c r="J18" s="100" t="s">
        <v>3</v>
      </c>
    </row>
    <row r="19" spans="1:12" ht="15.95" customHeight="1">
      <c r="A19" s="7"/>
      <c r="B19" s="102"/>
      <c r="C19" s="97" t="s">
        <v>103</v>
      </c>
      <c r="D19" s="97"/>
      <c r="E19" s="97"/>
      <c r="F19" s="97"/>
      <c r="G19" s="259">
        <f>(G6+G7+G8)*$I$93</f>
        <v>36.472619999999999</v>
      </c>
      <c r="H19" s="259">
        <f>(H6+H7+H8)*$I$93</f>
        <v>38.415939999999999</v>
      </c>
      <c r="I19" s="259">
        <f>(I6+I7+I8)*$I$93</f>
        <v>40.359260000000006</v>
      </c>
      <c r="J19" s="100" t="s">
        <v>3</v>
      </c>
    </row>
    <row r="20" spans="1:12" ht="15.95" customHeight="1">
      <c r="A20" s="7"/>
      <c r="B20" s="102"/>
      <c r="C20" s="97" t="s">
        <v>144</v>
      </c>
      <c r="D20" s="97"/>
      <c r="E20" s="97"/>
      <c r="F20" s="97"/>
      <c r="G20" s="259">
        <f>(($H$105+$H$106+$H$107+$H$108)*$I$102/$I$44)+$I$94</f>
        <v>111.0689</v>
      </c>
      <c r="H20" s="259">
        <f>(($H$105+$H$106+$H$107+$H$108)*$I$102/$I$44)+$I$94</f>
        <v>111.0689</v>
      </c>
      <c r="I20" s="259">
        <f>(($H$105+$H$106+$H$107+$H$108)*$I$102/$I$44)+$I$94</f>
        <v>111.0689</v>
      </c>
      <c r="J20" s="100" t="s">
        <v>3</v>
      </c>
    </row>
    <row r="21" spans="1:12" ht="15.95" customHeight="1">
      <c r="A21" s="7"/>
      <c r="B21" s="102"/>
      <c r="C21" s="97" t="s">
        <v>99</v>
      </c>
      <c r="D21" s="97"/>
      <c r="E21" s="97"/>
      <c r="F21" s="97"/>
      <c r="G21" s="259">
        <f>$I95</f>
        <v>8.5</v>
      </c>
      <c r="H21" s="259">
        <f>$I95</f>
        <v>8.5</v>
      </c>
      <c r="I21" s="259">
        <f>$I95</f>
        <v>8.5</v>
      </c>
      <c r="J21" s="100" t="s">
        <v>3</v>
      </c>
    </row>
    <row r="22" spans="1:12" ht="15.95" customHeight="1">
      <c r="A22" s="7"/>
      <c r="B22" s="102"/>
      <c r="C22" s="97" t="str">
        <f>"Cow replacement ("&amp;I45&amp;" of heifers)"</f>
        <v>Cow replacement (0.15 of heifers)</v>
      </c>
      <c r="D22" s="97"/>
      <c r="E22" s="97"/>
      <c r="F22" s="97"/>
      <c r="G22" s="259">
        <f>$I45*$I48</f>
        <v>450</v>
      </c>
      <c r="H22" s="259">
        <f>$I45*$I48</f>
        <v>450</v>
      </c>
      <c r="I22" s="259">
        <f>$I45*$I48</f>
        <v>450</v>
      </c>
      <c r="J22" s="100" t="s">
        <v>3</v>
      </c>
    </row>
    <row r="23" spans="1:12" ht="15.95" customHeight="1">
      <c r="A23" s="27"/>
      <c r="B23" s="99" t="s">
        <v>106</v>
      </c>
      <c r="C23" s="97" t="s">
        <v>174</v>
      </c>
      <c r="D23" s="269"/>
      <c r="E23" s="269"/>
      <c r="F23" s="269"/>
      <c r="G23" s="259">
        <f>$I96+$I$97</f>
        <v>45</v>
      </c>
      <c r="H23" s="259">
        <f>$I96+$I$97</f>
        <v>45</v>
      </c>
      <c r="I23" s="259">
        <f>$I96+$I$97</f>
        <v>45</v>
      </c>
      <c r="J23" s="103" t="s">
        <v>3</v>
      </c>
    </row>
    <row r="24" spans="1:12" s="31" customFormat="1" ht="15.95" customHeight="1">
      <c r="A24" s="27"/>
      <c r="B24" s="104"/>
      <c r="C24" s="97" t="s">
        <v>10</v>
      </c>
      <c r="D24" s="269"/>
      <c r="E24" s="269"/>
      <c r="F24" s="269"/>
      <c r="G24" s="259">
        <f t="shared" ref="G24:I25" si="0">$I98</f>
        <v>1</v>
      </c>
      <c r="H24" s="259">
        <f t="shared" si="0"/>
        <v>1</v>
      </c>
      <c r="I24" s="259">
        <f t="shared" si="0"/>
        <v>1</v>
      </c>
      <c r="J24" s="103" t="s">
        <v>3</v>
      </c>
      <c r="K24" s="1"/>
    </row>
    <row r="25" spans="1:12" s="31" customFormat="1" ht="15.95" customHeight="1">
      <c r="A25" s="7"/>
      <c r="B25" s="102"/>
      <c r="C25" s="97" t="s">
        <v>32</v>
      </c>
      <c r="D25" s="97"/>
      <c r="E25" s="97"/>
      <c r="F25" s="97"/>
      <c r="G25" s="259">
        <f t="shared" si="0"/>
        <v>6</v>
      </c>
      <c r="H25" s="259">
        <f t="shared" si="0"/>
        <v>6</v>
      </c>
      <c r="I25" s="259">
        <f t="shared" si="0"/>
        <v>6</v>
      </c>
      <c r="J25" s="100" t="s">
        <v>3</v>
      </c>
      <c r="K25" s="1"/>
      <c r="L25" s="1"/>
    </row>
    <row r="26" spans="1:12" s="31" customFormat="1" ht="15.95" customHeight="1">
      <c r="A26" s="7"/>
      <c r="B26" s="102"/>
      <c r="C26" s="97" t="s">
        <v>119</v>
      </c>
      <c r="D26" s="97"/>
      <c r="E26" s="97"/>
      <c r="F26" s="97"/>
      <c r="G26" s="101">
        <f>(SUM(G13:G25)+G33-G19-G22)/2*Inputs!$D14</f>
        <v>37.763018483979998</v>
      </c>
      <c r="H26" s="101">
        <f>(SUM(H13:H25)+H33-H19-H22)/2*Inputs!$D14</f>
        <v>37.763018483979984</v>
      </c>
      <c r="I26" s="101">
        <f>(SUM(I13:I25)+I33-I19-I22)/2*Inputs!$D14</f>
        <v>37.763018483979998</v>
      </c>
      <c r="J26" s="100" t="s">
        <v>3</v>
      </c>
      <c r="K26" s="1"/>
      <c r="L26" s="1"/>
    </row>
    <row r="27" spans="1:12" ht="15.95" customHeight="1">
      <c r="A27" s="7"/>
      <c r="B27" s="102"/>
      <c r="C27" s="46"/>
      <c r="D27" s="33"/>
      <c r="E27" s="33"/>
      <c r="F27" s="254" t="s">
        <v>158</v>
      </c>
      <c r="G27" s="268">
        <f>SUM(G13:G26)</f>
        <v>1439.1022884839799</v>
      </c>
      <c r="H27" s="268">
        <f>SUM(H13:H26)</f>
        <v>1441.0456084839798</v>
      </c>
      <c r="I27" s="268">
        <f>SUM(I13:I26)</f>
        <v>1442.9889284839799</v>
      </c>
      <c r="J27" s="100" t="s">
        <v>3</v>
      </c>
    </row>
    <row r="28" spans="1:12" ht="15.95" customHeight="1">
      <c r="A28" s="7"/>
      <c r="B28" s="90"/>
      <c r="C28" s="46"/>
      <c r="D28" s="46"/>
      <c r="E28" s="46"/>
      <c r="F28" s="46"/>
      <c r="G28" s="46"/>
      <c r="H28" s="46"/>
      <c r="I28" s="46"/>
      <c r="J28" s="100"/>
    </row>
    <row r="29" spans="1:12" ht="15.95" customHeight="1">
      <c r="A29" s="7"/>
      <c r="B29" s="96" t="s">
        <v>157</v>
      </c>
      <c r="C29" s="46"/>
      <c r="D29" s="46"/>
      <c r="E29" s="46"/>
      <c r="F29" s="46"/>
      <c r="G29" s="46"/>
      <c r="H29" s="46"/>
      <c r="I29" s="46"/>
      <c r="J29" s="100"/>
    </row>
    <row r="30" spans="1:12" ht="15.95" customHeight="1">
      <c r="A30" s="7"/>
      <c r="B30" s="102"/>
      <c r="C30" s="97" t="s">
        <v>118</v>
      </c>
      <c r="D30" s="97"/>
      <c r="E30" s="97"/>
      <c r="F30" s="97"/>
      <c r="G30" s="260">
        <f>$G112*(1-$I112)/$H112</f>
        <v>9.1</v>
      </c>
      <c r="H30" s="260">
        <f>$G112*(1-$I112)/$H112</f>
        <v>9.1</v>
      </c>
      <c r="I30" s="260">
        <f>$G112*(1-$I112)/$H112</f>
        <v>9.1</v>
      </c>
      <c r="J30" s="100" t="s">
        <v>3</v>
      </c>
    </row>
    <row r="31" spans="1:12" ht="15.95" customHeight="1">
      <c r="A31" s="7"/>
      <c r="B31" s="102"/>
      <c r="C31" s="97" t="s">
        <v>116</v>
      </c>
      <c r="D31" s="97"/>
      <c r="E31" s="97"/>
      <c r="F31" s="97"/>
      <c r="G31" s="260">
        <f>$I50*Inputs!$D14</f>
        <v>241.20147680000002</v>
      </c>
      <c r="H31" s="260">
        <f>$I50*Inputs!$D14</f>
        <v>241.20147680000002</v>
      </c>
      <c r="I31" s="260">
        <f>$I50*Inputs!$D14</f>
        <v>241.20147680000002</v>
      </c>
      <c r="J31" s="100"/>
    </row>
    <row r="32" spans="1:12" ht="15.95" customHeight="1">
      <c r="A32" s="28"/>
      <c r="B32" s="102"/>
      <c r="C32" s="97" t="s">
        <v>117</v>
      </c>
      <c r="D32" s="97"/>
      <c r="E32" s="97"/>
      <c r="F32" s="97"/>
      <c r="G32" s="260">
        <f>($G112/2)*Inputs!D15</f>
        <v>10.149999999999999</v>
      </c>
      <c r="H32" s="260">
        <f>($G112/2)*Inputs!D15</f>
        <v>10.149999999999999</v>
      </c>
      <c r="I32" s="260">
        <f>($G112/2)*Inputs!D15</f>
        <v>10.149999999999999</v>
      </c>
      <c r="J32" s="100" t="s">
        <v>3</v>
      </c>
    </row>
    <row r="33" spans="1:10" ht="15.95" customHeight="1">
      <c r="A33" s="7"/>
      <c r="B33" s="105" t="s">
        <v>107</v>
      </c>
      <c r="C33" s="97" t="s">
        <v>139</v>
      </c>
      <c r="D33" s="97"/>
      <c r="E33" s="97"/>
      <c r="F33" s="97"/>
      <c r="G33" s="106">
        <f>$G112*(Inputs!D17+Inputs!D16)+$I47*(Inputs!D19+Inputs!D18)+($I44/$I46/$I44)*$I49*(Inputs!D19+Inputs!D18)+($I50*$I51)</f>
        <v>59.662859264000005</v>
      </c>
      <c r="H33" s="106">
        <f>$G112*(Inputs!D17+Inputs!D16)+$I47*(Inputs!D19+Inputs!D18)+($I44/$I46/$I44)*$I49*(Inputs!D19+Inputs!D18)+($I50*$I51)</f>
        <v>59.662859264000005</v>
      </c>
      <c r="I33" s="106">
        <f>$G112*(Inputs!D17+Inputs!D16)+$I47*(Inputs!D19+Inputs!D18)+($I44/$I46/$I44)*$I49*(Inputs!D19+Inputs!D18)+($I50*$I51)</f>
        <v>59.662859264000005</v>
      </c>
      <c r="J33" s="100" t="s">
        <v>3</v>
      </c>
    </row>
    <row r="34" spans="1:10" ht="15.95" customHeight="1">
      <c r="A34" s="7"/>
      <c r="B34" s="102"/>
      <c r="C34" s="97"/>
      <c r="D34" s="33"/>
      <c r="E34" s="97"/>
      <c r="F34" s="254" t="s">
        <v>159</v>
      </c>
      <c r="G34" s="255">
        <f>SUM(G29:G33)</f>
        <v>320.11433606400004</v>
      </c>
      <c r="H34" s="255">
        <f>SUM(H29:H33)</f>
        <v>320.11433606400004</v>
      </c>
      <c r="I34" s="255">
        <f>SUM(I29:I33)</f>
        <v>320.11433606400004</v>
      </c>
      <c r="J34" s="100" t="s">
        <v>3</v>
      </c>
    </row>
    <row r="35" spans="1:10" ht="15.95" customHeight="1">
      <c r="A35" s="7"/>
      <c r="B35" s="102"/>
      <c r="C35" s="97"/>
      <c r="D35" s="97"/>
      <c r="E35" s="97"/>
      <c r="F35" s="97"/>
      <c r="G35" s="252"/>
      <c r="H35" s="252"/>
      <c r="I35" s="252"/>
      <c r="J35" s="100"/>
    </row>
    <row r="36" spans="1:10" ht="15.95" customHeight="1">
      <c r="A36" s="7"/>
      <c r="B36" s="96"/>
      <c r="C36" s="46"/>
      <c r="D36" s="33"/>
      <c r="E36" s="46"/>
      <c r="F36" s="270" t="s">
        <v>160</v>
      </c>
      <c r="G36" s="271">
        <f>G27+G34</f>
        <v>1759.21662454798</v>
      </c>
      <c r="H36" s="271">
        <f>H27+H34</f>
        <v>1761.1599445479799</v>
      </c>
      <c r="I36" s="271">
        <f>I27+I34</f>
        <v>1763.10326454798</v>
      </c>
      <c r="J36" s="100" t="s">
        <v>3</v>
      </c>
    </row>
    <row r="37" spans="1:10" ht="15.95" customHeight="1">
      <c r="A37" s="7"/>
      <c r="B37" s="92"/>
      <c r="C37" s="93"/>
      <c r="D37" s="93"/>
      <c r="E37" s="93"/>
      <c r="F37" s="93"/>
      <c r="G37" s="106"/>
      <c r="H37" s="106"/>
      <c r="I37" s="106"/>
      <c r="J37" s="107"/>
    </row>
    <row r="38" spans="1:10" ht="15.95" customHeight="1">
      <c r="A38" s="7"/>
      <c r="B38" s="108"/>
      <c r="C38" s="109" t="s">
        <v>161</v>
      </c>
      <c r="D38" s="110"/>
      <c r="E38" s="110"/>
      <c r="F38" s="110"/>
      <c r="G38" s="111">
        <f>G10-G27</f>
        <v>19.802511516020104</v>
      </c>
      <c r="H38" s="111">
        <f>H10-H27</f>
        <v>95.591991516020016</v>
      </c>
      <c r="I38" s="111">
        <f>I10-I27</f>
        <v>171.38147151602016</v>
      </c>
      <c r="J38" s="112" t="s">
        <v>3</v>
      </c>
    </row>
    <row r="39" spans="1:10" ht="15.95" customHeight="1" thickBot="1">
      <c r="A39" s="7"/>
      <c r="B39" s="113"/>
      <c r="C39" s="114" t="s">
        <v>111</v>
      </c>
      <c r="D39" s="115"/>
      <c r="E39" s="115"/>
      <c r="F39" s="115"/>
      <c r="G39" s="116">
        <f>G10-G36</f>
        <v>-300.31182454798</v>
      </c>
      <c r="H39" s="116">
        <f>H10-H36</f>
        <v>-224.52234454798008</v>
      </c>
      <c r="I39" s="116">
        <f>I10-I36</f>
        <v>-148.73286454797994</v>
      </c>
      <c r="J39" s="117" t="s">
        <v>3</v>
      </c>
    </row>
    <row r="40" spans="1:10" ht="15.95" customHeight="1" thickBot="1">
      <c r="A40" s="7"/>
      <c r="B40" s="113"/>
      <c r="C40" s="136" t="s">
        <v>281</v>
      </c>
      <c r="D40" s="137"/>
      <c r="E40" s="137"/>
      <c r="F40" s="137"/>
      <c r="G40" s="138">
        <f>G10-(G27-G13-G17)-G34</f>
        <v>114.48817545202024</v>
      </c>
      <c r="H40" s="138">
        <f t="shared" ref="H40:I40" si="1">H10-(H27-H13-H17)-H34</f>
        <v>190.27765545202016</v>
      </c>
      <c r="I40" s="138">
        <f t="shared" si="1"/>
        <v>266.06713545202007</v>
      </c>
      <c r="J40" s="117" t="s">
        <v>3</v>
      </c>
    </row>
    <row r="41" spans="1:10" ht="15.75" customHeight="1">
      <c r="A41" s="7"/>
      <c r="B41" s="118"/>
      <c r="C41" s="97"/>
      <c r="D41" s="97"/>
      <c r="E41" s="97"/>
      <c r="F41" s="97"/>
      <c r="G41" s="97"/>
      <c r="H41" s="97"/>
      <c r="I41" s="97"/>
      <c r="J41" s="97"/>
    </row>
    <row r="42" spans="1:10" ht="15.75" customHeight="1">
      <c r="A42" s="7"/>
      <c r="B42" s="97"/>
      <c r="C42" s="46"/>
      <c r="D42" s="97"/>
      <c r="E42" s="97"/>
      <c r="F42" s="97"/>
      <c r="G42" s="119"/>
      <c r="H42" s="97"/>
      <c r="I42" s="46"/>
      <c r="J42" s="120">
        <f ca="1">Inputs!D20</f>
        <v>45589.399859143516</v>
      </c>
    </row>
    <row r="43" spans="1:10" ht="15.75" customHeight="1">
      <c r="A43" s="7"/>
      <c r="B43" s="63" t="s">
        <v>129</v>
      </c>
      <c r="C43" s="48"/>
      <c r="D43" s="48"/>
      <c r="E43" s="48"/>
      <c r="F43" s="48"/>
      <c r="G43" s="48"/>
      <c r="H43" s="89" t="s">
        <v>193</v>
      </c>
      <c r="I43" s="61" t="s">
        <v>192</v>
      </c>
      <c r="J43" s="49"/>
    </row>
    <row r="44" spans="1:10" ht="15.75" customHeight="1">
      <c r="A44" s="7"/>
      <c r="B44" s="50" t="s">
        <v>30</v>
      </c>
      <c r="C44" s="50"/>
      <c r="D44" s="50"/>
      <c r="E44" s="48"/>
      <c r="F44" s="48"/>
      <c r="G44" s="50"/>
      <c r="H44" s="128" t="s">
        <v>208</v>
      </c>
      <c r="I44" s="86">
        <v>50</v>
      </c>
      <c r="J44" s="50"/>
    </row>
    <row r="45" spans="1:10" ht="15.75" customHeight="1">
      <c r="A45" s="7"/>
      <c r="B45" s="50" t="s">
        <v>211</v>
      </c>
      <c r="C45" s="50"/>
      <c r="D45" s="50"/>
      <c r="E45" s="48"/>
      <c r="F45" s="48"/>
      <c r="G45" s="50"/>
      <c r="H45" s="128" t="s">
        <v>12</v>
      </c>
      <c r="I45" s="87">
        <v>0.15</v>
      </c>
      <c r="J45" s="50"/>
    </row>
    <row r="46" spans="1:10" ht="15.75" customHeight="1">
      <c r="A46" s="7"/>
      <c r="B46" s="50" t="s">
        <v>212</v>
      </c>
      <c r="C46" s="50"/>
      <c r="D46" s="50"/>
      <c r="E46" s="48"/>
      <c r="F46" s="48"/>
      <c r="G46" s="50"/>
      <c r="H46" s="128" t="s">
        <v>209</v>
      </c>
      <c r="I46" s="86">
        <v>25</v>
      </c>
      <c r="J46" s="50"/>
    </row>
    <row r="47" spans="1:10" ht="15.75" customHeight="1">
      <c r="A47" s="7"/>
      <c r="B47" s="50" t="s">
        <v>213</v>
      </c>
      <c r="C47" s="50"/>
      <c r="D47" s="50"/>
      <c r="E47" s="48"/>
      <c r="F47" s="48"/>
      <c r="G47" s="50"/>
      <c r="H47" s="128" t="s">
        <v>210</v>
      </c>
      <c r="I47" s="88">
        <v>2500</v>
      </c>
      <c r="J47" s="50"/>
    </row>
    <row r="48" spans="1:10" ht="15.75" customHeight="1">
      <c r="A48" s="7"/>
      <c r="B48" s="50" t="s">
        <v>214</v>
      </c>
      <c r="C48" s="50"/>
      <c r="D48" s="50"/>
      <c r="E48" s="48"/>
      <c r="F48" s="48"/>
      <c r="G48" s="50"/>
      <c r="H48" s="128" t="s">
        <v>210</v>
      </c>
      <c r="I48" s="59">
        <f>Heifer!F68</f>
        <v>3000</v>
      </c>
      <c r="J48" s="50"/>
    </row>
    <row r="49" spans="1:11" ht="15.75" customHeight="1">
      <c r="A49" s="7"/>
      <c r="B49" s="50" t="s">
        <v>215</v>
      </c>
      <c r="C49" s="50"/>
      <c r="D49" s="50"/>
      <c r="E49" s="48"/>
      <c r="F49" s="48"/>
      <c r="G49" s="50"/>
      <c r="H49" s="128" t="s">
        <v>210</v>
      </c>
      <c r="I49" s="88">
        <v>4056.9280000000003</v>
      </c>
    </row>
    <row r="50" spans="1:11" ht="15.75" customHeight="1">
      <c r="A50" s="7"/>
      <c r="B50" s="50" t="s">
        <v>46</v>
      </c>
      <c r="C50" s="50"/>
      <c r="D50" s="50"/>
      <c r="E50" s="48"/>
      <c r="F50" s="48"/>
      <c r="G50" s="50"/>
      <c r="H50" s="128" t="s">
        <v>210</v>
      </c>
      <c r="I50" s="60">
        <f>I47+I49*1/I46+I48*I45</f>
        <v>3112.2771200000002</v>
      </c>
      <c r="J50" s="50"/>
      <c r="K50" s="7"/>
    </row>
    <row r="51" spans="1:11" ht="15.75" customHeight="1">
      <c r="A51" s="7"/>
      <c r="B51" s="50" t="s">
        <v>216</v>
      </c>
      <c r="C51" s="50"/>
      <c r="D51" s="50"/>
      <c r="E51" s="48"/>
      <c r="F51" s="48"/>
      <c r="G51" s="50"/>
      <c r="H51" s="128" t="s">
        <v>12</v>
      </c>
      <c r="I51" s="127">
        <v>0.01</v>
      </c>
      <c r="J51" s="50"/>
      <c r="K51" s="7"/>
    </row>
    <row r="52" spans="1:11" ht="15.75" customHeight="1">
      <c r="A52" s="7"/>
      <c r="B52" s="48"/>
      <c r="C52" s="50"/>
      <c r="D52" s="50"/>
      <c r="E52" s="52" t="s">
        <v>6</v>
      </c>
      <c r="F52" s="52" t="s">
        <v>35</v>
      </c>
      <c r="G52" s="61" t="s">
        <v>7</v>
      </c>
      <c r="I52" s="48"/>
      <c r="J52" s="50"/>
      <c r="K52" s="7"/>
    </row>
    <row r="53" spans="1:11" ht="15.75" customHeight="1">
      <c r="A53" s="7"/>
      <c r="B53" s="50" t="s">
        <v>34</v>
      </c>
      <c r="C53" s="50"/>
      <c r="D53" s="50"/>
      <c r="E53" s="87">
        <v>0.8</v>
      </c>
      <c r="F53" s="87">
        <v>0.85</v>
      </c>
      <c r="G53" s="87">
        <v>0.9</v>
      </c>
      <c r="I53" s="48"/>
      <c r="J53" s="50"/>
      <c r="K53" s="7"/>
    </row>
    <row r="54" spans="1:11" ht="15.75" customHeight="1">
      <c r="A54" s="7"/>
      <c r="B54" s="50"/>
      <c r="C54" s="50"/>
      <c r="D54" s="50"/>
      <c r="E54" s="50"/>
      <c r="F54" s="50"/>
      <c r="G54" s="53"/>
      <c r="H54" s="53"/>
      <c r="I54" s="62"/>
      <c r="J54" s="50"/>
      <c r="K54" s="7"/>
    </row>
    <row r="55" spans="1:11" ht="15.75" customHeight="1">
      <c r="A55" s="7"/>
      <c r="B55" s="63" t="s">
        <v>121</v>
      </c>
      <c r="C55" s="50"/>
      <c r="D55" s="52" t="s">
        <v>12</v>
      </c>
      <c r="E55" s="52" t="s">
        <v>11</v>
      </c>
      <c r="F55" s="52" t="s">
        <v>217</v>
      </c>
      <c r="G55" s="121" t="s">
        <v>39</v>
      </c>
      <c r="H55" s="121" t="s">
        <v>40</v>
      </c>
      <c r="I55" s="48"/>
      <c r="J55" s="50"/>
      <c r="K55" s="7"/>
    </row>
    <row r="56" spans="1:11" ht="15.75" customHeight="1">
      <c r="A56" s="7"/>
      <c r="B56" s="50" t="s">
        <v>42</v>
      </c>
      <c r="C56" s="50"/>
      <c r="D56" s="87">
        <v>0.5</v>
      </c>
      <c r="E56" s="88">
        <v>590</v>
      </c>
      <c r="F56" s="122">
        <v>283.38</v>
      </c>
      <c r="G56" s="64">
        <f>'Cow-calf (Spr)'!$E56*'Cow-calf (Spr)'!$F56/100</f>
        <v>1671.942</v>
      </c>
      <c r="H56" s="64">
        <f>G56*D56</f>
        <v>835.971</v>
      </c>
      <c r="I56" s="294"/>
      <c r="J56" s="50"/>
      <c r="K56" s="7"/>
    </row>
    <row r="57" spans="1:11" ht="15.75" customHeight="1">
      <c r="A57" s="7"/>
      <c r="B57" s="50" t="s">
        <v>43</v>
      </c>
      <c r="C57" s="50"/>
      <c r="D57" s="87">
        <v>0.5</v>
      </c>
      <c r="E57" s="88">
        <v>550</v>
      </c>
      <c r="F57" s="122">
        <v>261.33999999999997</v>
      </c>
      <c r="G57" s="64">
        <f>'Cow-calf (Spr)'!$E57*'Cow-calf (Spr)'!$F57/100</f>
        <v>1437.37</v>
      </c>
      <c r="H57" s="64">
        <f>G57*D57</f>
        <v>718.68499999999995</v>
      </c>
      <c r="I57" s="48"/>
      <c r="J57" s="50"/>
      <c r="K57" s="7"/>
    </row>
    <row r="58" spans="1:11" ht="15.75" customHeight="1">
      <c r="A58" s="7"/>
      <c r="B58" s="50" t="s">
        <v>38</v>
      </c>
      <c r="C58" s="50"/>
      <c r="D58" s="87">
        <v>0.14000000000000001</v>
      </c>
      <c r="E58" s="88">
        <v>1250</v>
      </c>
      <c r="F58" s="122">
        <v>122.96</v>
      </c>
      <c r="G58" s="64">
        <f>'Cow-calf (Spr)'!$E58*'Cow-calf (Spr)'!$F58/100</f>
        <v>1537</v>
      </c>
      <c r="H58" s="64">
        <f>G58*D58</f>
        <v>215.18</v>
      </c>
      <c r="I58" s="48"/>
      <c r="J58" s="50"/>
      <c r="K58" s="7"/>
    </row>
    <row r="59" spans="1:11" ht="15.75" customHeight="1">
      <c r="A59" s="7"/>
      <c r="B59" s="50"/>
      <c r="C59" s="50"/>
      <c r="D59" s="57"/>
      <c r="E59" s="58"/>
      <c r="F59" s="65"/>
      <c r="G59" s="302"/>
      <c r="H59" s="66"/>
      <c r="I59" s="48"/>
      <c r="J59" s="50"/>
      <c r="K59" s="7"/>
    </row>
    <row r="60" spans="1:11" ht="15.75" customHeight="1">
      <c r="A60" s="7"/>
      <c r="B60" s="50" t="s">
        <v>134</v>
      </c>
      <c r="C60" s="50"/>
      <c r="D60" s="48"/>
      <c r="E60" s="123">
        <v>0</v>
      </c>
      <c r="F60" s="50"/>
      <c r="H60" s="48"/>
      <c r="I60" s="48"/>
      <c r="J60" s="50"/>
      <c r="K60" s="7"/>
    </row>
    <row r="61" spans="1:11" ht="15.75" customHeight="1">
      <c r="A61" s="7"/>
      <c r="B61" s="50"/>
      <c r="C61" s="50"/>
      <c r="D61" s="50"/>
      <c r="E61" s="50"/>
      <c r="F61" s="50"/>
      <c r="G61" s="53"/>
      <c r="H61" s="53"/>
      <c r="I61" s="67"/>
      <c r="J61" s="50"/>
      <c r="K61" s="7"/>
    </row>
    <row r="62" spans="1:11" ht="15.75" customHeight="1">
      <c r="A62" s="7"/>
      <c r="B62" s="63" t="s">
        <v>128</v>
      </c>
      <c r="C62" s="50"/>
      <c r="D62" s="50"/>
      <c r="E62" s="50"/>
      <c r="F62" s="50"/>
      <c r="G62" s="53"/>
      <c r="H62" s="53"/>
      <c r="I62" s="53"/>
      <c r="J62" s="50"/>
      <c r="K62" s="7"/>
    </row>
    <row r="63" spans="1:11" ht="15.75" customHeight="1">
      <c r="A63" s="7"/>
      <c r="B63" s="54" t="s">
        <v>15</v>
      </c>
      <c r="C63" s="48"/>
      <c r="D63" s="48"/>
      <c r="E63" s="52" t="s">
        <v>168</v>
      </c>
      <c r="F63" s="52" t="s">
        <v>12</v>
      </c>
      <c r="G63" s="52" t="s">
        <v>169</v>
      </c>
      <c r="H63" s="52" t="s">
        <v>170</v>
      </c>
      <c r="I63" s="52" t="s">
        <v>2</v>
      </c>
      <c r="J63" s="50"/>
      <c r="K63" s="7"/>
    </row>
    <row r="64" spans="1:11" ht="15.75" customHeight="1">
      <c r="A64" s="7"/>
      <c r="B64" s="50" t="s">
        <v>16</v>
      </c>
      <c r="C64" s="50"/>
      <c r="D64" s="48"/>
      <c r="E64" s="124">
        <v>12.3</v>
      </c>
      <c r="F64" s="87">
        <v>1</v>
      </c>
      <c r="G64" s="68">
        <f>E64*F64</f>
        <v>12.3</v>
      </c>
      <c r="H64" s="69">
        <f>Inputs!D2</f>
        <v>20</v>
      </c>
      <c r="I64" s="51">
        <f>E64*H64*F64</f>
        <v>246</v>
      </c>
      <c r="J64" s="50"/>
      <c r="K64" s="7"/>
    </row>
    <row r="65" spans="1:11" ht="15.75" customHeight="1">
      <c r="A65" s="7"/>
      <c r="B65" s="50" t="s">
        <v>17</v>
      </c>
      <c r="C65" s="50"/>
      <c r="D65" s="48"/>
      <c r="E65" s="124">
        <v>13</v>
      </c>
      <c r="F65" s="87">
        <f>1/I46</f>
        <v>0.04</v>
      </c>
      <c r="G65" s="68">
        <f>E65*F65</f>
        <v>0.52</v>
      </c>
      <c r="H65" s="69">
        <f>H64</f>
        <v>20</v>
      </c>
      <c r="I65" s="51">
        <f>E65*H65*F65</f>
        <v>10.4</v>
      </c>
      <c r="J65" s="50"/>
      <c r="K65" s="27"/>
    </row>
    <row r="66" spans="1:11" ht="15.75" customHeight="1">
      <c r="A66" s="7"/>
      <c r="B66" s="70" t="s">
        <v>23</v>
      </c>
      <c r="C66" s="71"/>
      <c r="D66" s="71"/>
      <c r="E66" s="71"/>
      <c r="F66" s="71"/>
      <c r="G66" s="72">
        <f>SUM(G64:G65)</f>
        <v>12.82</v>
      </c>
      <c r="H66" s="69"/>
      <c r="I66" s="51">
        <f>SUM(I64:I65)</f>
        <v>256.39999999999998</v>
      </c>
      <c r="J66" s="50"/>
      <c r="K66" s="27"/>
    </row>
    <row r="67" spans="1:11" ht="15.75" customHeight="1">
      <c r="A67" s="7"/>
      <c r="B67" s="70"/>
      <c r="C67" s="71"/>
      <c r="D67" s="71"/>
      <c r="E67" s="71"/>
      <c r="F67" s="71"/>
      <c r="G67" s="72"/>
      <c r="H67" s="69"/>
      <c r="I67" s="51"/>
      <c r="J67" s="50"/>
      <c r="K67" s="27"/>
    </row>
    <row r="68" spans="1:11" ht="15.75" customHeight="1">
      <c r="A68" s="7"/>
      <c r="B68" s="54" t="s">
        <v>18</v>
      </c>
      <c r="C68" s="48"/>
      <c r="D68" s="52" t="s">
        <v>230</v>
      </c>
      <c r="E68" s="52" t="s">
        <v>22</v>
      </c>
      <c r="F68" s="52" t="s">
        <v>12</v>
      </c>
      <c r="G68" s="52" t="s">
        <v>219</v>
      </c>
      <c r="H68" s="73" t="s">
        <v>218</v>
      </c>
      <c r="I68" s="73" t="s">
        <v>2</v>
      </c>
      <c r="J68" s="50"/>
      <c r="K68" s="27"/>
    </row>
    <row r="69" spans="1:11" ht="15.75" customHeight="1">
      <c r="A69" s="7"/>
      <c r="B69" s="50" t="s">
        <v>19</v>
      </c>
      <c r="C69" s="50"/>
      <c r="D69" s="124">
        <v>32.700000000000003</v>
      </c>
      <c r="E69" s="125">
        <v>75</v>
      </c>
      <c r="F69" s="87">
        <v>1</v>
      </c>
      <c r="G69" s="68">
        <f>D69*E69*F69</f>
        <v>2452.5</v>
      </c>
      <c r="H69" s="69">
        <f>(Inputs!D3+Inputs!D4)/2</f>
        <v>105</v>
      </c>
      <c r="I69" s="51">
        <f t="shared" ref="I69:I71" si="2">D69*E69*H69/2000*F69</f>
        <v>128.75624999999999</v>
      </c>
      <c r="J69" s="50"/>
      <c r="K69" s="7"/>
    </row>
    <row r="70" spans="1:11" ht="15.75" customHeight="1">
      <c r="A70" s="7"/>
      <c r="B70" s="50" t="s">
        <v>20</v>
      </c>
      <c r="C70" s="50"/>
      <c r="D70" s="124">
        <v>36.6</v>
      </c>
      <c r="E70" s="125">
        <v>45</v>
      </c>
      <c r="F70" s="87">
        <v>1</v>
      </c>
      <c r="G70" s="68">
        <f>D70*E70*F70</f>
        <v>1647</v>
      </c>
      <c r="H70" s="69">
        <f>H69</f>
        <v>105</v>
      </c>
      <c r="I70" s="51">
        <f t="shared" si="2"/>
        <v>86.467500000000001</v>
      </c>
      <c r="J70" s="50"/>
      <c r="K70" s="7"/>
    </row>
    <row r="71" spans="1:11" ht="15.75" customHeight="1">
      <c r="A71" s="7"/>
      <c r="B71" s="50" t="s">
        <v>92</v>
      </c>
      <c r="C71" s="50"/>
      <c r="D71" s="124">
        <v>0</v>
      </c>
      <c r="E71" s="125">
        <v>0</v>
      </c>
      <c r="F71" s="87">
        <v>1</v>
      </c>
      <c r="G71" s="68">
        <f>D71*E71*F71</f>
        <v>0</v>
      </c>
      <c r="H71" s="69">
        <f>H70</f>
        <v>105</v>
      </c>
      <c r="I71" s="51">
        <f t="shared" si="2"/>
        <v>0</v>
      </c>
      <c r="J71" s="59"/>
      <c r="K71" s="7"/>
    </row>
    <row r="72" spans="1:11" ht="15.75" customHeight="1">
      <c r="A72" s="7"/>
      <c r="B72" s="50" t="s">
        <v>17</v>
      </c>
      <c r="C72" s="50"/>
      <c r="D72" s="124">
        <v>50</v>
      </c>
      <c r="E72" s="125">
        <v>120</v>
      </c>
      <c r="F72" s="87">
        <v>0.04</v>
      </c>
      <c r="G72" s="68">
        <f>D72*E72*F72</f>
        <v>240</v>
      </c>
      <c r="H72" s="69">
        <f>H70</f>
        <v>105</v>
      </c>
      <c r="I72" s="51">
        <f>D72*E72*H72/2000*F72</f>
        <v>12.6</v>
      </c>
      <c r="J72" s="50"/>
      <c r="K72" s="305"/>
    </row>
    <row r="73" spans="1:11" ht="15.75" customHeight="1">
      <c r="A73" s="7"/>
      <c r="B73" s="70" t="s">
        <v>24</v>
      </c>
      <c r="C73" s="48"/>
      <c r="D73" s="48"/>
      <c r="E73" s="48"/>
      <c r="F73" s="48"/>
      <c r="G73" s="72">
        <f>SUM(G69:G72)</f>
        <v>4339.5</v>
      </c>
      <c r="H73" s="69"/>
      <c r="I73" s="51">
        <f>SUM(I69:I72)</f>
        <v>227.82374999999999</v>
      </c>
      <c r="J73" s="50"/>
      <c r="K73" s="7"/>
    </row>
    <row r="74" spans="1:11" ht="15.75" customHeight="1">
      <c r="A74" s="7"/>
      <c r="B74" s="50"/>
      <c r="C74" s="50"/>
      <c r="D74" s="50"/>
      <c r="E74" s="50"/>
      <c r="F74" s="50"/>
      <c r="G74" s="53"/>
      <c r="H74" s="51"/>
      <c r="I74" s="51"/>
      <c r="J74" s="50"/>
      <c r="K74" s="32"/>
    </row>
    <row r="75" spans="1:11" ht="15.75" customHeight="1">
      <c r="A75" s="7"/>
      <c r="B75" s="54" t="s">
        <v>13</v>
      </c>
      <c r="C75" s="48"/>
      <c r="D75" s="52" t="s">
        <v>230</v>
      </c>
      <c r="E75" s="52" t="s">
        <v>22</v>
      </c>
      <c r="F75" s="52" t="s">
        <v>12</v>
      </c>
      <c r="G75" s="52" t="s">
        <v>219</v>
      </c>
      <c r="H75" s="73" t="s">
        <v>220</v>
      </c>
      <c r="I75" s="73" t="s">
        <v>2</v>
      </c>
      <c r="J75" s="50"/>
      <c r="K75" s="32"/>
    </row>
    <row r="76" spans="1:11" ht="15.75" customHeight="1">
      <c r="A76" s="7"/>
      <c r="B76" s="50" t="s">
        <v>25</v>
      </c>
      <c r="C76" s="50"/>
      <c r="D76" s="124">
        <v>0</v>
      </c>
      <c r="E76" s="125">
        <v>0</v>
      </c>
      <c r="F76" s="87">
        <v>1</v>
      </c>
      <c r="G76" s="74">
        <f>D76*E76*F76</f>
        <v>0</v>
      </c>
      <c r="H76" s="75">
        <f>(Inputs!$D7+(Inputs!D11/100*56))/56*100</f>
        <v>9.8928571428571441</v>
      </c>
      <c r="I76" s="51">
        <f>D76*E76*H76/100*F76</f>
        <v>0</v>
      </c>
      <c r="J76" s="50"/>
      <c r="K76" s="32"/>
    </row>
    <row r="77" spans="1:11" ht="15.75" customHeight="1">
      <c r="A77" s="7"/>
      <c r="B77" s="50" t="s">
        <v>92</v>
      </c>
      <c r="C77" s="50"/>
      <c r="D77" s="124">
        <v>0</v>
      </c>
      <c r="E77" s="125">
        <v>0</v>
      </c>
      <c r="F77" s="87">
        <v>1</v>
      </c>
      <c r="G77" s="74">
        <f>D77*E77*F77</f>
        <v>0</v>
      </c>
      <c r="H77" s="75">
        <f>H76</f>
        <v>9.8928571428571441</v>
      </c>
      <c r="I77" s="51">
        <f t="shared" ref="I77:I78" si="3">D77*E77*H77/100*F77</f>
        <v>0</v>
      </c>
      <c r="J77" s="50"/>
      <c r="K77" s="32"/>
    </row>
    <row r="78" spans="1:11" ht="15.75" customHeight="1">
      <c r="A78" s="7"/>
      <c r="B78" s="50" t="s">
        <v>17</v>
      </c>
      <c r="C78" s="50"/>
      <c r="D78" s="124">
        <v>0</v>
      </c>
      <c r="E78" s="125">
        <v>0</v>
      </c>
      <c r="F78" s="87">
        <v>0.04</v>
      </c>
      <c r="G78" s="60">
        <f>D78*E78*F78</f>
        <v>0</v>
      </c>
      <c r="H78" s="69">
        <f>H76</f>
        <v>9.8928571428571441</v>
      </c>
      <c r="I78" s="51">
        <f t="shared" si="3"/>
        <v>0</v>
      </c>
      <c r="J78" s="50"/>
      <c r="K78" s="32"/>
    </row>
    <row r="79" spans="1:11" ht="15.75" customHeight="1">
      <c r="A79" s="7"/>
      <c r="B79" s="70" t="s">
        <v>24</v>
      </c>
      <c r="C79" s="48"/>
      <c r="D79" s="48"/>
      <c r="E79" s="48"/>
      <c r="F79" s="48"/>
      <c r="G79" s="76">
        <f>SUM(G75:G78)</f>
        <v>0</v>
      </c>
      <c r="H79" s="69"/>
      <c r="I79" s="51">
        <f>SUM(I75:I78)</f>
        <v>0</v>
      </c>
      <c r="J79" s="50"/>
      <c r="K79" s="32"/>
    </row>
    <row r="80" spans="1:11" ht="15.75" customHeight="1">
      <c r="A80" s="7"/>
      <c r="B80" s="70"/>
      <c r="C80" s="48"/>
      <c r="D80" s="48"/>
      <c r="E80" s="48"/>
      <c r="F80" s="48"/>
      <c r="G80" s="76"/>
      <c r="H80" s="69"/>
      <c r="I80" s="51"/>
      <c r="J80" s="50"/>
      <c r="K80" s="32"/>
    </row>
    <row r="81" spans="1:11" ht="15.75" customHeight="1">
      <c r="A81" s="7"/>
      <c r="B81" s="54" t="s">
        <v>27</v>
      </c>
      <c r="C81" s="48"/>
      <c r="D81" s="52" t="s">
        <v>230</v>
      </c>
      <c r="E81" s="52" t="s">
        <v>22</v>
      </c>
      <c r="F81" s="52" t="s">
        <v>12</v>
      </c>
      <c r="G81" s="52" t="s">
        <v>219</v>
      </c>
      <c r="H81" s="73" t="s">
        <v>218</v>
      </c>
      <c r="I81" s="73" t="s">
        <v>2</v>
      </c>
      <c r="J81" s="50"/>
      <c r="K81" s="7"/>
    </row>
    <row r="82" spans="1:11" ht="15.75" customHeight="1">
      <c r="A82" s="7"/>
      <c r="B82" s="50" t="s">
        <v>25</v>
      </c>
      <c r="C82" s="50"/>
      <c r="D82" s="124">
        <v>3</v>
      </c>
      <c r="E82" s="125">
        <v>30</v>
      </c>
      <c r="F82" s="87">
        <v>1</v>
      </c>
      <c r="G82" s="74">
        <f>D82*E82*F82</f>
        <v>90</v>
      </c>
      <c r="H82" s="69">
        <f>Inputs!$D9</f>
        <v>180</v>
      </c>
      <c r="I82" s="51">
        <f t="shared" ref="I82:I83" si="4">D82*E82*H82/2000*F82</f>
        <v>8.1</v>
      </c>
      <c r="J82" s="50"/>
      <c r="K82" s="7"/>
    </row>
    <row r="83" spans="1:11" ht="15.75" customHeight="1">
      <c r="A83" s="7"/>
      <c r="B83" s="50" t="s">
        <v>92</v>
      </c>
      <c r="C83" s="50"/>
      <c r="D83" s="124">
        <v>0</v>
      </c>
      <c r="E83" s="125">
        <v>0</v>
      </c>
      <c r="F83" s="87">
        <v>1</v>
      </c>
      <c r="G83" s="74">
        <f>D83*E83*F83</f>
        <v>0</v>
      </c>
      <c r="H83" s="69">
        <f>H82</f>
        <v>180</v>
      </c>
      <c r="I83" s="51">
        <f t="shared" si="4"/>
        <v>0</v>
      </c>
      <c r="J83" s="50"/>
      <c r="K83" s="7"/>
    </row>
    <row r="84" spans="1:11" ht="15.75" customHeight="1">
      <c r="A84" s="7"/>
      <c r="B84" s="50" t="s">
        <v>17</v>
      </c>
      <c r="C84" s="50"/>
      <c r="D84" s="124">
        <v>3</v>
      </c>
      <c r="E84" s="125">
        <v>30</v>
      </c>
      <c r="F84" s="87">
        <v>0.04</v>
      </c>
      <c r="G84" s="68">
        <f>D84*E84*F84</f>
        <v>3.6</v>
      </c>
      <c r="H84" s="69">
        <f>H82</f>
        <v>180</v>
      </c>
      <c r="I84" s="51">
        <f>D84*E84*H84/2000*F84</f>
        <v>0.32400000000000001</v>
      </c>
      <c r="J84" s="50"/>
      <c r="K84" s="7"/>
    </row>
    <row r="85" spans="1:11" ht="15.75" customHeight="1">
      <c r="A85" s="7"/>
      <c r="B85" s="70" t="s">
        <v>24</v>
      </c>
      <c r="C85" s="48"/>
      <c r="D85" s="48"/>
      <c r="E85" s="48"/>
      <c r="F85" s="48"/>
      <c r="G85" s="72">
        <f>SUM(G81:G84)</f>
        <v>93.6</v>
      </c>
      <c r="H85" s="69"/>
      <c r="I85" s="51">
        <f>SUM(I81:I84)</f>
        <v>8.4239999999999995</v>
      </c>
      <c r="J85" s="50"/>
      <c r="K85" s="7"/>
    </row>
    <row r="86" spans="1:11" ht="15.75" customHeight="1">
      <c r="A86" s="7"/>
      <c r="B86" s="50"/>
      <c r="C86" s="50"/>
      <c r="D86" s="50"/>
      <c r="E86" s="50"/>
      <c r="F86" s="50"/>
      <c r="G86" s="53"/>
      <c r="H86" s="51"/>
      <c r="I86" s="51"/>
      <c r="J86" s="50"/>
      <c r="K86" s="7"/>
    </row>
    <row r="87" spans="1:11" ht="15.75" customHeight="1">
      <c r="A87" s="7"/>
      <c r="B87" s="54" t="s">
        <v>126</v>
      </c>
      <c r="C87" s="48"/>
      <c r="D87" s="52" t="s">
        <v>230</v>
      </c>
      <c r="E87" s="52" t="s">
        <v>22</v>
      </c>
      <c r="F87" s="52" t="s">
        <v>12</v>
      </c>
      <c r="G87" s="52" t="s">
        <v>219</v>
      </c>
      <c r="H87" s="73" t="s">
        <v>218</v>
      </c>
      <c r="I87" s="73" t="s">
        <v>2</v>
      </c>
      <c r="J87" s="50"/>
      <c r="K87" s="7"/>
    </row>
    <row r="88" spans="1:11" ht="15.75" customHeight="1">
      <c r="A88" s="7"/>
      <c r="B88" s="50" t="s">
        <v>26</v>
      </c>
      <c r="C88" s="50"/>
      <c r="D88" s="126">
        <v>0.25</v>
      </c>
      <c r="E88" s="125">
        <v>365</v>
      </c>
      <c r="F88" s="87">
        <v>1</v>
      </c>
      <c r="G88" s="68">
        <f>D88*E88*F88</f>
        <v>91.25</v>
      </c>
      <c r="H88" s="69">
        <f>Inputs!D10</f>
        <v>1200</v>
      </c>
      <c r="I88" s="51">
        <f>D88*E88*Inputs!$D10/2000*F88</f>
        <v>54.75</v>
      </c>
      <c r="J88" s="77"/>
      <c r="K88" s="7"/>
    </row>
    <row r="89" spans="1:11" ht="15.75" customHeight="1">
      <c r="A89" s="7"/>
      <c r="B89" s="50"/>
      <c r="C89" s="50"/>
      <c r="D89" s="50"/>
      <c r="E89" s="50"/>
      <c r="F89" s="50"/>
      <c r="G89" s="53"/>
      <c r="H89" s="53"/>
      <c r="I89" s="67"/>
      <c r="J89" s="50"/>
      <c r="K89" s="7"/>
    </row>
    <row r="90" spans="1:11" ht="15.75" customHeight="1">
      <c r="A90" s="7"/>
      <c r="B90" s="63" t="s">
        <v>140</v>
      </c>
      <c r="C90" s="48"/>
      <c r="D90" s="48"/>
      <c r="E90" s="48"/>
      <c r="F90" s="48"/>
      <c r="G90" s="48"/>
      <c r="H90" s="89" t="s">
        <v>193</v>
      </c>
      <c r="I90" s="61" t="s">
        <v>192</v>
      </c>
      <c r="J90" s="50"/>
      <c r="K90" s="7"/>
    </row>
    <row r="91" spans="1:11" ht="15.75" customHeight="1">
      <c r="A91" s="7"/>
      <c r="B91" s="48" t="s">
        <v>98</v>
      </c>
      <c r="C91" s="48"/>
      <c r="D91" s="48"/>
      <c r="E91" s="48"/>
      <c r="F91" s="69"/>
      <c r="G91" s="78"/>
      <c r="H91" s="129" t="s">
        <v>222</v>
      </c>
      <c r="I91" s="86">
        <v>8</v>
      </c>
      <c r="J91" s="48"/>
      <c r="K91" s="7"/>
    </row>
    <row r="92" spans="1:11" ht="15.75" customHeight="1">
      <c r="A92" s="7"/>
      <c r="B92" s="48" t="s">
        <v>0</v>
      </c>
      <c r="C92" s="48"/>
      <c r="D92" s="48"/>
      <c r="E92" s="48"/>
      <c r="F92" s="48"/>
      <c r="G92" s="48"/>
      <c r="H92" s="130" t="s">
        <v>221</v>
      </c>
      <c r="I92" s="122">
        <v>37.5</v>
      </c>
      <c r="J92" s="48"/>
      <c r="K92" s="7"/>
    </row>
    <row r="93" spans="1:11" ht="15.75" customHeight="1">
      <c r="A93" s="7"/>
      <c r="B93" s="48" t="s">
        <v>223</v>
      </c>
      <c r="C93" s="50"/>
      <c r="D93" s="50"/>
      <c r="E93" s="80"/>
      <c r="F93" s="48"/>
      <c r="G93" s="48"/>
      <c r="H93" s="130" t="s">
        <v>224</v>
      </c>
      <c r="I93" s="127">
        <v>2.5000000000000001E-2</v>
      </c>
      <c r="J93" s="48"/>
      <c r="K93" s="7"/>
    </row>
    <row r="94" spans="1:11" ht="15.75" customHeight="1">
      <c r="A94" s="7"/>
      <c r="B94" s="48" t="s">
        <v>181</v>
      </c>
      <c r="C94" s="48"/>
      <c r="D94" s="48"/>
      <c r="E94" s="48"/>
      <c r="F94" s="48"/>
      <c r="G94" s="48"/>
      <c r="H94" s="130" t="s">
        <v>221</v>
      </c>
      <c r="I94" s="122">
        <v>8</v>
      </c>
      <c r="J94" s="48"/>
      <c r="K94" s="7"/>
    </row>
    <row r="95" spans="1:11" ht="15.75" customHeight="1">
      <c r="A95" s="7"/>
      <c r="B95" s="48" t="s">
        <v>225</v>
      </c>
      <c r="C95" s="48"/>
      <c r="D95" s="48"/>
      <c r="E95" s="48"/>
      <c r="F95" s="48"/>
      <c r="G95" s="48"/>
      <c r="H95" s="130" t="s">
        <v>221</v>
      </c>
      <c r="I95" s="122">
        <v>8.5</v>
      </c>
      <c r="J95" s="48"/>
      <c r="K95" s="7"/>
    </row>
    <row r="96" spans="1:11" ht="15.75" customHeight="1">
      <c r="A96" s="7"/>
      <c r="B96" s="48" t="s">
        <v>226</v>
      </c>
      <c r="C96" s="48"/>
      <c r="D96" s="48"/>
      <c r="E96" s="48"/>
      <c r="F96" s="48"/>
      <c r="G96" s="48"/>
      <c r="H96" s="130" t="s">
        <v>221</v>
      </c>
      <c r="I96" s="122">
        <v>45</v>
      </c>
      <c r="J96" s="48"/>
      <c r="K96" s="7"/>
    </row>
    <row r="97" spans="1:11" ht="15.75" customHeight="1">
      <c r="A97" s="7"/>
      <c r="B97" s="48" t="s">
        <v>227</v>
      </c>
      <c r="C97" s="48"/>
      <c r="D97" s="48"/>
      <c r="E97" s="48"/>
      <c r="F97" s="48"/>
      <c r="G97" s="48"/>
      <c r="H97" s="130" t="s">
        <v>221</v>
      </c>
      <c r="I97" s="122">
        <v>0</v>
      </c>
      <c r="J97" s="48"/>
      <c r="K97" s="7"/>
    </row>
    <row r="98" spans="1:11" ht="15.75" customHeight="1">
      <c r="A98" s="7"/>
      <c r="B98" s="48" t="s">
        <v>10</v>
      </c>
      <c r="C98" s="48"/>
      <c r="D98" s="48"/>
      <c r="E98" s="48"/>
      <c r="F98" s="48"/>
      <c r="G98" s="48"/>
      <c r="H98" s="130" t="s">
        <v>221</v>
      </c>
      <c r="I98" s="122">
        <v>1</v>
      </c>
      <c r="J98" s="48"/>
      <c r="K98" s="7"/>
    </row>
    <row r="99" spans="1:11" ht="15.75" customHeight="1">
      <c r="A99" s="7"/>
      <c r="B99" s="48" t="s">
        <v>32</v>
      </c>
      <c r="C99" s="48"/>
      <c r="D99" s="48"/>
      <c r="E99" s="48"/>
      <c r="F99" s="48"/>
      <c r="G99" s="48"/>
      <c r="H99" s="130" t="s">
        <v>221</v>
      </c>
      <c r="I99" s="122">
        <v>6</v>
      </c>
      <c r="J99" s="48"/>
      <c r="K99" s="7"/>
    </row>
    <row r="100" spans="1:11" ht="15.75" customHeight="1">
      <c r="A100" s="7"/>
      <c r="B100" s="48"/>
      <c r="C100" s="48"/>
      <c r="D100" s="48"/>
      <c r="E100" s="48"/>
      <c r="F100" s="48"/>
      <c r="G100" s="81"/>
      <c r="H100" s="79"/>
      <c r="I100" s="79"/>
      <c r="J100" s="48"/>
      <c r="K100" s="7"/>
    </row>
    <row r="101" spans="1:11" ht="15.75" customHeight="1">
      <c r="A101" s="7"/>
      <c r="B101" s="63" t="s">
        <v>127</v>
      </c>
      <c r="C101" s="50"/>
      <c r="D101" s="50"/>
      <c r="E101" s="50"/>
      <c r="F101" s="50"/>
      <c r="G101" s="50"/>
      <c r="H101" s="50"/>
      <c r="I101" s="48"/>
      <c r="J101" s="48"/>
      <c r="K101" s="7"/>
    </row>
    <row r="102" spans="1:11" ht="15.75" customHeight="1">
      <c r="A102" s="7"/>
      <c r="B102" s="50" t="s">
        <v>84</v>
      </c>
      <c r="C102" s="48"/>
      <c r="D102" s="50"/>
      <c r="E102" s="82"/>
      <c r="F102" s="50"/>
      <c r="G102" s="48"/>
      <c r="H102" s="50"/>
      <c r="I102" s="87">
        <v>0.87</v>
      </c>
      <c r="J102" s="48"/>
      <c r="K102" s="7"/>
    </row>
    <row r="103" spans="1:11" ht="15.75" customHeight="1">
      <c r="A103" s="7"/>
      <c r="B103" s="63"/>
      <c r="C103" s="50"/>
      <c r="D103" s="50"/>
      <c r="E103" s="50"/>
      <c r="F103" s="50"/>
      <c r="G103" s="50"/>
      <c r="H103" s="50"/>
      <c r="I103" s="48"/>
      <c r="J103" s="48"/>
      <c r="K103" s="7"/>
    </row>
    <row r="104" spans="1:11" ht="15.75" customHeight="1">
      <c r="A104" s="7"/>
      <c r="B104" s="56"/>
      <c r="C104" s="56" t="s">
        <v>185</v>
      </c>
      <c r="D104" s="52" t="s">
        <v>229</v>
      </c>
      <c r="E104" s="52" t="s">
        <v>228</v>
      </c>
      <c r="F104" s="52" t="s">
        <v>231</v>
      </c>
      <c r="G104" s="50"/>
      <c r="H104" s="52" t="s">
        <v>82</v>
      </c>
      <c r="I104" s="48"/>
      <c r="J104" s="48"/>
      <c r="K104" s="7"/>
    </row>
    <row r="105" spans="1:11" ht="15.75" customHeight="1">
      <c r="A105" s="7"/>
      <c r="C105" s="86" t="s">
        <v>81</v>
      </c>
      <c r="D105" s="122">
        <v>53.67</v>
      </c>
      <c r="E105" s="131">
        <f>40/60</f>
        <v>0.66666666666666663</v>
      </c>
      <c r="F105" s="86">
        <v>75</v>
      </c>
      <c r="G105" s="50"/>
      <c r="H105" s="59">
        <f>D105*E105*F105</f>
        <v>2683.5</v>
      </c>
      <c r="I105" s="48"/>
      <c r="J105" s="48"/>
      <c r="K105" s="7"/>
    </row>
    <row r="106" spans="1:11" ht="15.75" customHeight="1">
      <c r="A106" s="7"/>
      <c r="C106" s="86" t="s">
        <v>80</v>
      </c>
      <c r="D106" s="122">
        <v>40</v>
      </c>
      <c r="E106" s="86">
        <v>0.5</v>
      </c>
      <c r="F106" s="86">
        <v>30</v>
      </c>
      <c r="G106" s="50"/>
      <c r="H106" s="59">
        <f>D106*E106*F106</f>
        <v>600</v>
      </c>
      <c r="I106" s="48"/>
      <c r="J106" s="48"/>
      <c r="K106" s="7"/>
    </row>
    <row r="107" spans="1:11" ht="15.75" customHeight="1">
      <c r="A107" s="7"/>
      <c r="C107" s="86" t="s">
        <v>83</v>
      </c>
      <c r="D107" s="122">
        <v>20</v>
      </c>
      <c r="E107" s="86">
        <v>3</v>
      </c>
      <c r="F107" s="86">
        <v>8</v>
      </c>
      <c r="G107" s="50"/>
      <c r="H107" s="59">
        <f>D107*E107*F107</f>
        <v>480</v>
      </c>
      <c r="I107" s="48"/>
      <c r="J107" s="48"/>
      <c r="K107" s="7"/>
    </row>
    <row r="108" spans="1:11" ht="15.75" customHeight="1">
      <c r="A108" s="7"/>
      <c r="C108" s="86" t="s">
        <v>109</v>
      </c>
      <c r="D108" s="122">
        <v>12</v>
      </c>
      <c r="E108" s="86">
        <v>1</v>
      </c>
      <c r="F108" s="86">
        <v>180</v>
      </c>
      <c r="G108" s="48"/>
      <c r="H108" s="59">
        <f>D108*E108*F108</f>
        <v>2160</v>
      </c>
      <c r="I108" s="48"/>
      <c r="J108" s="48"/>
      <c r="K108" s="7"/>
    </row>
    <row r="109" spans="1:11" ht="15.75" customHeight="1">
      <c r="A109" s="7"/>
      <c r="B109" s="48"/>
      <c r="C109" s="48"/>
      <c r="D109" s="48"/>
      <c r="E109" s="48"/>
      <c r="F109" s="48"/>
      <c r="G109" s="83" t="s">
        <v>2</v>
      </c>
      <c r="H109" s="59">
        <f>SUM(H105:H108)</f>
        <v>5923.5</v>
      </c>
      <c r="I109" s="48"/>
      <c r="J109" s="48"/>
      <c r="K109" s="7"/>
    </row>
    <row r="110" spans="1:11" ht="15.75" customHeight="1">
      <c r="A110" s="7"/>
      <c r="B110" s="48"/>
      <c r="C110" s="48"/>
      <c r="D110" s="48"/>
      <c r="E110" s="48"/>
      <c r="F110" s="48"/>
      <c r="G110" s="48"/>
      <c r="H110" s="48"/>
      <c r="I110" s="48"/>
      <c r="J110" s="48"/>
      <c r="K110" s="7"/>
    </row>
    <row r="111" spans="1:11" ht="15.75" customHeight="1">
      <c r="B111" s="55"/>
      <c r="C111" s="48"/>
      <c r="D111" s="48"/>
      <c r="E111" s="48"/>
      <c r="F111" s="84" t="s">
        <v>44</v>
      </c>
      <c r="G111" s="84" t="s">
        <v>33</v>
      </c>
      <c r="H111" s="84" t="s">
        <v>232</v>
      </c>
      <c r="I111" s="85" t="s">
        <v>233</v>
      </c>
      <c r="J111" s="48"/>
      <c r="K111" s="7"/>
    </row>
    <row r="112" spans="1:11" ht="15.75" customHeight="1">
      <c r="B112" s="48" t="s">
        <v>47</v>
      </c>
      <c r="C112" s="48"/>
      <c r="D112" s="48"/>
      <c r="E112" s="48"/>
      <c r="F112" s="88">
        <v>14000</v>
      </c>
      <c r="G112" s="60">
        <f>F112/I44</f>
        <v>280</v>
      </c>
      <c r="H112" s="86">
        <v>20</v>
      </c>
      <c r="I112" s="87">
        <v>0.35</v>
      </c>
      <c r="J112" s="48"/>
    </row>
    <row r="113" spans="11:11" ht="15.75" hidden="1" customHeight="1">
      <c r="K113" s="7"/>
    </row>
    <row r="114" spans="11:11" ht="15.75" hidden="1" customHeight="1">
      <c r="K114" s="7"/>
    </row>
    <row r="115" spans="11:11" ht="15.75" hidden="1" customHeight="1">
      <c r="K115" s="7"/>
    </row>
    <row r="116" spans="11:11" ht="15.75" hidden="1" customHeight="1">
      <c r="K116" s="7"/>
    </row>
    <row r="117" spans="11:11" ht="15.75" hidden="1" customHeight="1">
      <c r="K117" s="7"/>
    </row>
    <row r="118" spans="11:11" ht="15.75" hidden="1" customHeight="1">
      <c r="K118" s="7"/>
    </row>
    <row r="119" spans="11:11" ht="15.75" hidden="1" customHeight="1">
      <c r="K119" s="7"/>
    </row>
    <row r="120" spans="11:11" ht="15.75" hidden="1" customHeight="1">
      <c r="K120" s="7"/>
    </row>
    <row r="121" spans="11:11" ht="15.75" hidden="1" customHeight="1">
      <c r="K121" s="7"/>
    </row>
    <row r="122" spans="11:11" ht="15.75" hidden="1" customHeight="1">
      <c r="K122" s="7"/>
    </row>
    <row r="123" spans="11:11" ht="15.75" hidden="1" customHeight="1">
      <c r="K123" s="7"/>
    </row>
    <row r="124" spans="11:11" ht="15.75" hidden="1" customHeight="1">
      <c r="K124" s="7"/>
    </row>
    <row r="125" spans="11:11" ht="15.75" hidden="1" customHeight="1">
      <c r="K125" s="7"/>
    </row>
    <row r="126" spans="11:11" ht="15.75" hidden="1" customHeight="1">
      <c r="K126" s="7"/>
    </row>
    <row r="127" spans="11:11" ht="15.75" hidden="1" customHeight="1">
      <c r="K127" s="7"/>
    </row>
    <row r="128" spans="11:11" ht="15.75" hidden="1" customHeight="1">
      <c r="K128" s="7"/>
    </row>
    <row r="129" spans="11:11" ht="15.75" hidden="1" customHeight="1">
      <c r="K129" s="7"/>
    </row>
    <row r="130" spans="11:11" ht="15.75" hidden="1" customHeight="1">
      <c r="K130" s="7"/>
    </row>
    <row r="131" spans="11:11" ht="15.75" hidden="1" customHeight="1">
      <c r="K131" s="7"/>
    </row>
    <row r="132" spans="11:11" ht="15.75" hidden="1" customHeight="1">
      <c r="K132" s="7"/>
    </row>
    <row r="133" spans="11:11" ht="15.75" hidden="1" customHeight="1">
      <c r="K133" s="7"/>
    </row>
    <row r="134" spans="11:11" ht="15.75" hidden="1" customHeight="1">
      <c r="K134" s="7"/>
    </row>
    <row r="135" spans="11:11" ht="15.75" hidden="1" customHeight="1">
      <c r="K135" s="7"/>
    </row>
    <row r="136" spans="11:11" ht="15.75" hidden="1" customHeight="1">
      <c r="K136" s="7"/>
    </row>
    <row r="137" spans="11:11" ht="15.75" hidden="1" customHeight="1">
      <c r="K137" s="7"/>
    </row>
    <row r="138" spans="11:11" ht="15.75" hidden="1" customHeight="1">
      <c r="K138" s="7"/>
    </row>
    <row r="139" spans="11:11" ht="15.75" hidden="1" customHeight="1">
      <c r="K139" s="7"/>
    </row>
    <row r="140" spans="11:11" ht="15.75" hidden="1" customHeight="1">
      <c r="K140" s="7"/>
    </row>
    <row r="141" spans="11:11" ht="15.75" hidden="1" customHeight="1">
      <c r="K141" s="7"/>
    </row>
    <row r="142" spans="11:11" ht="15.75" hidden="1" customHeight="1">
      <c r="K142" s="7"/>
    </row>
    <row r="143" spans="11:11" ht="15.75" hidden="1" customHeight="1">
      <c r="K143" s="7"/>
    </row>
    <row r="144" spans="11:11" ht="15.75" hidden="1" customHeight="1">
      <c r="K144" s="7"/>
    </row>
    <row r="145" spans="11:11" ht="15.75" hidden="1" customHeight="1">
      <c r="K145" s="7"/>
    </row>
    <row r="146" spans="11:11" ht="15.75" hidden="1" customHeight="1">
      <c r="K146" s="7"/>
    </row>
    <row r="147" spans="11:11" ht="15.75" hidden="1" customHeight="1">
      <c r="K147" s="7"/>
    </row>
    <row r="148" spans="11:11" ht="15.75" hidden="1" customHeight="1">
      <c r="K148" s="7"/>
    </row>
    <row r="149" spans="11:11" ht="15.75" hidden="1" customHeight="1">
      <c r="K149" s="7"/>
    </row>
    <row r="150" spans="11:11" ht="15.75" hidden="1" customHeight="1">
      <c r="K150" s="7"/>
    </row>
    <row r="151" spans="11:11" ht="15.75" hidden="1" customHeight="1">
      <c r="K151" s="7"/>
    </row>
    <row r="152" spans="11:11" ht="15.75" hidden="1" customHeight="1">
      <c r="K152" s="7"/>
    </row>
    <row r="153" spans="11:11" ht="15.75" hidden="1" customHeight="1">
      <c r="K153" s="7"/>
    </row>
    <row r="154" spans="11:11" ht="15.75" hidden="1" customHeight="1">
      <c r="K154" s="7"/>
    </row>
    <row r="155" spans="11:11" ht="15.75" hidden="1" customHeight="1">
      <c r="K155" s="7"/>
    </row>
    <row r="156" spans="11:11" ht="15.75" hidden="1" customHeight="1">
      <c r="K156" s="7"/>
    </row>
    <row r="157" spans="11:11" ht="15.75" hidden="1" customHeight="1">
      <c r="K157" s="7"/>
    </row>
    <row r="158" spans="11:11" ht="15.75" hidden="1" customHeight="1">
      <c r="K158" s="7"/>
    </row>
    <row r="159" spans="11:11" ht="15.75" hidden="1" customHeight="1">
      <c r="K159" s="7"/>
    </row>
    <row r="160" spans="11:11" ht="15.75" hidden="1" customHeight="1">
      <c r="K160" s="7"/>
    </row>
    <row r="161" spans="11:11" ht="15.75" hidden="1" customHeight="1">
      <c r="K161" s="7"/>
    </row>
  </sheetData>
  <sheetProtection sheet="1" objects="1" scenarios="1"/>
  <mergeCells count="1">
    <mergeCell ref="B1:J1"/>
  </mergeCells>
  <phoneticPr fontId="0" type="noConversion"/>
  <pageMargins left="0.75" right="0.75" top="0.75" bottom="0.75" header="0" footer="0"/>
  <pageSetup scale="87" orientation="portrait" r:id="rId1"/>
  <headerFooter alignWithMargins="0"/>
  <rowBreaks count="1" manualBreakCount="1">
    <brk id="89" max="16383" man="1"/>
  </rowBreaks>
  <ignoredErrors>
    <ignoredError sqref="F65 E105 H76:H7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G98"/>
  <sheetViews>
    <sheetView showOutlineSymbols="0" topLeftCell="A27" zoomScale="120" zoomScaleNormal="120" zoomScaleSheetLayoutView="120" workbookViewId="0">
      <selection activeCell="K91" sqref="K91"/>
    </sheetView>
  </sheetViews>
  <sheetFormatPr defaultColWidth="0" defaultRowHeight="15.75" customHeight="1" zeroHeight="1"/>
  <cols>
    <col min="1" max="1" width="2.77734375" style="1" customWidth="1"/>
    <col min="2" max="2" width="2.6640625" style="1" customWidth="1"/>
    <col min="3" max="3" width="14.77734375" style="1" customWidth="1"/>
    <col min="4" max="4" width="9.77734375" style="1" customWidth="1"/>
    <col min="5" max="5" width="6.109375" style="1" customWidth="1"/>
    <col min="6" max="6" width="9.77734375" style="1" customWidth="1"/>
    <col min="7" max="7" width="11.33203125" style="1" customWidth="1"/>
    <col min="8" max="8" width="12.77734375" style="1" customWidth="1"/>
    <col min="9" max="9" width="2.5546875" style="1" customWidth="1"/>
    <col min="10" max="11" width="10.77734375" style="1" customWidth="1"/>
    <col min="12" max="33" width="0" style="1" hidden="1" customWidth="1"/>
    <col min="34" max="16384" width="8.6640625" style="1" hidden="1"/>
  </cols>
  <sheetData>
    <row r="1" spans="1:12" ht="20.100000000000001" customHeight="1">
      <c r="B1" s="313" t="s">
        <v>151</v>
      </c>
      <c r="C1" s="314"/>
      <c r="D1" s="314"/>
      <c r="E1" s="314"/>
      <c r="F1" s="314"/>
      <c r="G1" s="314"/>
      <c r="H1" s="314"/>
      <c r="I1" s="314"/>
      <c r="J1" s="315"/>
      <c r="L1" s="6"/>
    </row>
    <row r="2" spans="1:12" ht="15.95" customHeight="1">
      <c r="B2" s="263"/>
      <c r="C2" s="264"/>
      <c r="D2" s="264"/>
      <c r="E2" s="264"/>
      <c r="F2" s="264"/>
      <c r="G2" s="264"/>
      <c r="H2" s="264"/>
      <c r="I2" s="264"/>
      <c r="J2" s="265"/>
      <c r="L2" s="26"/>
    </row>
    <row r="3" spans="1:12" ht="15.95" customHeight="1">
      <c r="A3" s="7"/>
      <c r="B3" s="92"/>
      <c r="C3" s="93"/>
      <c r="D3" s="93"/>
      <c r="E3" s="93"/>
      <c r="F3" s="93"/>
      <c r="G3" s="143"/>
      <c r="H3" s="144" t="s">
        <v>149</v>
      </c>
      <c r="I3" s="143"/>
      <c r="J3" s="95" t="s">
        <v>150</v>
      </c>
    </row>
    <row r="4" spans="1:12" ht="15.95" customHeight="1">
      <c r="A4" s="7"/>
      <c r="B4" s="148" t="s">
        <v>154</v>
      </c>
      <c r="C4" s="97"/>
      <c r="D4" s="97"/>
      <c r="E4" s="97"/>
      <c r="F4" s="97"/>
      <c r="G4" s="97"/>
      <c r="H4" s="97"/>
      <c r="I4" s="97"/>
      <c r="J4" s="98"/>
    </row>
    <row r="5" spans="1:12" ht="15.95" customHeight="1">
      <c r="A5" s="28"/>
      <c r="B5" s="99"/>
      <c r="C5" s="97" t="str">
        <f>"Bred heifer sales, springer ($"&amp;F68&amp;"*"&amp;H71&amp;" head)"</f>
        <v>Bred heifer sales, springer ($3000*0.875 head)</v>
      </c>
      <c r="D5" s="97"/>
      <c r="E5" s="97"/>
      <c r="F5" s="97"/>
      <c r="G5" s="257"/>
      <c r="H5" s="252">
        <f>F68*H71</f>
        <v>2625</v>
      </c>
      <c r="I5" s="257"/>
      <c r="J5" s="100" t="s">
        <v>3</v>
      </c>
    </row>
    <row r="6" spans="1:12" ht="15.95" customHeight="1">
      <c r="A6" s="28"/>
      <c r="B6" s="99"/>
      <c r="C6" s="97" t="str">
        <f>"Cull heifer sales ("&amp;H72&amp;" head)"</f>
        <v>Cull heifer sales (0.05 head)</v>
      </c>
      <c r="D6" s="97"/>
      <c r="E6" s="97"/>
      <c r="F6" s="97"/>
      <c r="G6" s="257"/>
      <c r="H6" s="252">
        <f>H49*F66/100*H72</f>
        <v>111.49235000000002</v>
      </c>
      <c r="I6" s="257"/>
      <c r="J6" s="100" t="s">
        <v>3</v>
      </c>
    </row>
    <row r="7" spans="1:12" ht="15.95" customHeight="1">
      <c r="A7" s="28"/>
      <c r="B7" s="99"/>
      <c r="C7" s="97" t="s">
        <v>152</v>
      </c>
      <c r="D7" s="97"/>
      <c r="E7" s="97"/>
      <c r="F7" s="97"/>
      <c r="G7" s="257"/>
      <c r="H7" s="252">
        <f>G48*F67/100*H73</f>
        <v>107.55</v>
      </c>
      <c r="I7" s="257"/>
      <c r="J7" s="100" t="s">
        <v>3</v>
      </c>
    </row>
    <row r="8" spans="1:12" ht="15.95" customHeight="1">
      <c r="A8" s="28"/>
      <c r="B8" s="99"/>
      <c r="C8" s="97" t="str">
        <f>"Less death loss ("&amp;H74&amp;" of heifer sales)"</f>
        <v>Less death loss (0.01 of heifer sales)</v>
      </c>
      <c r="D8" s="97"/>
      <c r="E8" s="97"/>
      <c r="F8" s="97"/>
      <c r="G8" s="257"/>
      <c r="H8" s="252">
        <f>-SUM(H5:H7)*H74</f>
        <v>-28.440423500000001</v>
      </c>
      <c r="I8" s="257"/>
      <c r="J8" s="100" t="s">
        <v>3</v>
      </c>
    </row>
    <row r="9" spans="1:12" ht="15.95" customHeight="1">
      <c r="A9" s="7"/>
      <c r="B9" s="96"/>
      <c r="C9" s="97"/>
      <c r="E9" s="97"/>
      <c r="F9" s="97"/>
      <c r="G9" s="254" t="s">
        <v>155</v>
      </c>
      <c r="H9" s="255">
        <f>H5+H6+H7+H8</f>
        <v>2815.6019265</v>
      </c>
      <c r="I9" s="256"/>
      <c r="J9" s="150"/>
    </row>
    <row r="10" spans="1:12" ht="15.95" customHeight="1">
      <c r="A10" s="7"/>
      <c r="B10" s="96"/>
      <c r="C10" s="97"/>
      <c r="D10" s="97"/>
      <c r="E10" s="97"/>
      <c r="F10" s="97"/>
      <c r="G10" s="258"/>
      <c r="H10" s="255"/>
      <c r="I10" s="256"/>
      <c r="J10" s="150"/>
    </row>
    <row r="11" spans="1:12" ht="15.95" customHeight="1">
      <c r="A11" s="7"/>
      <c r="B11" s="96" t="s">
        <v>153</v>
      </c>
      <c r="C11" s="97"/>
      <c r="D11" s="97"/>
      <c r="E11" s="97"/>
      <c r="F11" s="97"/>
      <c r="G11" s="97"/>
      <c r="H11" s="252"/>
      <c r="I11" s="97"/>
      <c r="J11" s="98"/>
    </row>
    <row r="12" spans="1:12" ht="15.95" customHeight="1">
      <c r="A12" s="7"/>
      <c r="B12" s="96"/>
      <c r="C12" s="97" t="str">
        <f>"Purchased heifer calf ("&amp;F48&amp;" lbs@ $"&amp;F65&amp;"/cwt.)"</f>
        <v>Purchased heifer calf (550 lbs@ $261.34/cwt.)</v>
      </c>
      <c r="D12" s="97"/>
      <c r="E12" s="97"/>
      <c r="F12" s="97"/>
      <c r="G12" s="97"/>
      <c r="H12" s="252">
        <f>F48*F65/100</f>
        <v>1437.37</v>
      </c>
      <c r="I12" s="97"/>
      <c r="J12" s="100" t="s">
        <v>3</v>
      </c>
    </row>
    <row r="13" spans="1:12" ht="15.95" customHeight="1">
      <c r="A13" s="7"/>
      <c r="B13" s="99"/>
      <c r="C13" s="97" t="str">
        <f>"Summer pasture ("&amp;FIXED(H61,2,TRUE)&amp;" AUMs @$"&amp;FIXED(D57,2)&amp;"/AUM)"</f>
        <v>Summer pasture (8.17 AUMs @$20.00/AUM)</v>
      </c>
      <c r="D13" s="97"/>
      <c r="E13" s="97"/>
      <c r="F13" s="97"/>
      <c r="G13" s="258"/>
      <c r="H13" s="252">
        <f>D57*H61</f>
        <v>163.41666666666669</v>
      </c>
      <c r="I13" s="258"/>
      <c r="J13" s="100" t="s">
        <v>3</v>
      </c>
    </row>
    <row r="14" spans="1:12" ht="15.95" customHeight="1">
      <c r="A14" s="7"/>
      <c r="B14" s="99"/>
      <c r="C14" s="97" t="str">
        <f>"Mixed hay ("&amp;J54&amp;" lbs. @ $"&amp;D54&amp;"/ton)"</f>
        <v>Mixed hay (1250 lbs. @ $115/ton)</v>
      </c>
      <c r="D14" s="97"/>
      <c r="E14" s="97"/>
      <c r="F14" s="97"/>
      <c r="G14" s="257"/>
      <c r="H14" s="252">
        <f>J54/2000*D54</f>
        <v>71.875</v>
      </c>
      <c r="I14" s="257"/>
      <c r="J14" s="100" t="s">
        <v>3</v>
      </c>
      <c r="K14" s="306"/>
      <c r="L14" s="7"/>
    </row>
    <row r="15" spans="1:12" ht="15.95" customHeight="1">
      <c r="A15" s="7"/>
      <c r="B15" s="99"/>
      <c r="C15" s="97" t="str">
        <f>"Corn ("&amp;FIXED(J55/56,2)&amp;" bu. @ $"&amp;FIXED(D55,2)&amp;"/bu.)"</f>
        <v>Corn (5.89 bu. @ $5.54/bu.)</v>
      </c>
      <c r="D15" s="97"/>
      <c r="E15" s="97"/>
      <c r="F15" s="97"/>
      <c r="G15" s="257"/>
      <c r="H15" s="252">
        <f>J55*D55/56</f>
        <v>32.646428571428572</v>
      </c>
      <c r="I15" s="257"/>
      <c r="J15" s="100" t="s">
        <v>3</v>
      </c>
      <c r="L15" s="7"/>
    </row>
    <row r="16" spans="1:12" ht="15.95" customHeight="1">
      <c r="A16" s="7"/>
      <c r="B16" s="99"/>
      <c r="C16" s="97" t="str">
        <f>"Protein supplement ("&amp;J56&amp;" lbs. @ $"&amp;D56&amp;"/ton)"</f>
        <v>Protein supplement (330 lbs. @ $180/ton)</v>
      </c>
      <c r="D16" s="97"/>
      <c r="E16" s="97"/>
      <c r="F16" s="97"/>
      <c r="G16" s="257"/>
      <c r="H16" s="252">
        <f>(F56+G56+H56)*D56/2000</f>
        <v>29.7</v>
      </c>
      <c r="I16" s="257"/>
      <c r="J16" s="100" t="s">
        <v>3</v>
      </c>
      <c r="L16" s="7"/>
    </row>
    <row r="17" spans="1:11" ht="15.95" customHeight="1">
      <c r="A17" s="7"/>
      <c r="B17" s="99"/>
      <c r="C17" s="97" t="str">
        <f>"Mineral and salt ("&amp;J58&amp;" lbs. @ $"&amp;D58&amp;"/ton)"</f>
        <v>Mineral and salt (104 lbs. @ $1200/ton)</v>
      </c>
      <c r="D17" s="97"/>
      <c r="E17" s="97"/>
      <c r="F17" s="97"/>
      <c r="G17" s="257"/>
      <c r="H17" s="252">
        <f>(F58+G58+H58)*D58/2000</f>
        <v>62.4</v>
      </c>
      <c r="I17" s="257"/>
      <c r="J17" s="100" t="s">
        <v>3</v>
      </c>
    </row>
    <row r="18" spans="1:11" ht="15.95" customHeight="1">
      <c r="A18" s="7"/>
      <c r="B18" s="105"/>
      <c r="C18" s="97" t="str">
        <f>"Labor ("&amp;H77&amp;" hrs. @ $"&amp;Inputs!D13&amp;" /hr)"</f>
        <v>Labor (5 hrs. @ $19.8 /hr)</v>
      </c>
      <c r="D18" s="97"/>
      <c r="E18" s="97"/>
      <c r="F18" s="97"/>
      <c r="G18" s="259"/>
      <c r="H18" s="252">
        <f>H77*Inputs!D13</f>
        <v>99</v>
      </c>
      <c r="I18" s="259"/>
      <c r="J18" s="100" t="s">
        <v>3</v>
      </c>
    </row>
    <row r="19" spans="1:11" ht="15.95" customHeight="1">
      <c r="A19" s="7"/>
      <c r="B19" s="102"/>
      <c r="C19" s="97" t="s">
        <v>0</v>
      </c>
      <c r="D19" s="97"/>
      <c r="E19" s="97"/>
      <c r="F19" s="97"/>
      <c r="G19" s="257"/>
      <c r="H19" s="252">
        <f>H78</f>
        <v>35</v>
      </c>
      <c r="I19" s="257"/>
      <c r="J19" s="100" t="s">
        <v>3</v>
      </c>
      <c r="K19" s="306"/>
    </row>
    <row r="20" spans="1:11" ht="15.95" customHeight="1">
      <c r="A20" s="7"/>
      <c r="B20" s="102"/>
      <c r="C20" s="97" t="s">
        <v>5</v>
      </c>
      <c r="D20" s="97"/>
      <c r="E20" s="97"/>
      <c r="F20" s="97"/>
      <c r="G20" s="259"/>
      <c r="H20" s="252">
        <f>(H5+H6+H7)*H79</f>
        <v>85.321270499999997</v>
      </c>
      <c r="I20" s="259"/>
      <c r="J20" s="100" t="s">
        <v>3</v>
      </c>
    </row>
    <row r="21" spans="1:11" ht="15.95" customHeight="1">
      <c r="A21" s="7"/>
      <c r="B21" s="102"/>
      <c r="C21" s="97" t="s">
        <v>110</v>
      </c>
      <c r="D21" s="97"/>
      <c r="E21" s="97"/>
      <c r="F21" s="97"/>
      <c r="G21" s="259"/>
      <c r="H21" s="252">
        <f>H80</f>
        <v>45</v>
      </c>
      <c r="I21" s="259"/>
      <c r="J21" s="100" t="s">
        <v>3</v>
      </c>
    </row>
    <row r="22" spans="1:11" ht="15.95" customHeight="1">
      <c r="A22" s="7"/>
      <c r="B22" s="102"/>
      <c r="C22" s="97" t="s">
        <v>144</v>
      </c>
      <c r="D22" s="97"/>
      <c r="E22" s="97"/>
      <c r="F22" s="97"/>
      <c r="G22" s="257"/>
      <c r="H22" s="252">
        <f>((G92+G93+G94+G95)*F97/F98)+H81</f>
        <v>110.67400000000001</v>
      </c>
      <c r="I22" s="257"/>
      <c r="J22" s="100" t="s">
        <v>3</v>
      </c>
    </row>
    <row r="23" spans="1:11" ht="15.95" customHeight="1">
      <c r="A23" s="7"/>
      <c r="B23" s="102"/>
      <c r="C23" s="97" t="s">
        <v>99</v>
      </c>
      <c r="D23" s="97"/>
      <c r="E23" s="97"/>
      <c r="F23" s="97"/>
      <c r="G23" s="257"/>
      <c r="H23" s="252">
        <f>H82</f>
        <v>8.5</v>
      </c>
      <c r="I23" s="257"/>
      <c r="J23" s="100" t="s">
        <v>3</v>
      </c>
    </row>
    <row r="24" spans="1:11" ht="15.95" customHeight="1">
      <c r="A24" s="7"/>
      <c r="B24" s="102"/>
      <c r="C24" s="97" t="s">
        <v>10</v>
      </c>
      <c r="D24" s="97"/>
      <c r="E24" s="97"/>
      <c r="F24" s="97"/>
      <c r="G24" s="257"/>
      <c r="H24" s="252">
        <f>H83</f>
        <v>2</v>
      </c>
      <c r="I24" s="257"/>
      <c r="J24" s="100" t="s">
        <v>3</v>
      </c>
    </row>
    <row r="25" spans="1:11" ht="15.95" customHeight="1">
      <c r="A25" s="7"/>
      <c r="B25" s="102"/>
      <c r="C25" s="97" t="s">
        <v>32</v>
      </c>
      <c r="D25" s="97"/>
      <c r="E25" s="97"/>
      <c r="F25" s="97"/>
      <c r="G25" s="257"/>
      <c r="H25" s="252">
        <f>H84</f>
        <v>4</v>
      </c>
      <c r="I25" s="257"/>
      <c r="J25" s="100" t="s">
        <v>3</v>
      </c>
    </row>
    <row r="26" spans="1:11" ht="15.95" customHeight="1">
      <c r="A26" s="7"/>
      <c r="B26" s="102"/>
      <c r="C26" s="97" t="str">
        <f>"Interest on calf purchase and 1/2 of operating costs "</f>
        <v xml:space="preserve">Interest on calf purchase and 1/2 of operating costs </v>
      </c>
      <c r="D26" s="97"/>
      <c r="E26" s="97"/>
      <c r="F26" s="97"/>
      <c r="G26" s="257"/>
      <c r="H26" s="134">
        <f>((SUM(H13:H25)+H32-H20)/2+H12)*Inputs!D14*J50/365</f>
        <v>143.75567034970808</v>
      </c>
      <c r="I26" s="257"/>
      <c r="J26" s="100" t="s">
        <v>3</v>
      </c>
    </row>
    <row r="27" spans="1:11" ht="15.95" customHeight="1">
      <c r="A27" s="7"/>
      <c r="B27" s="102"/>
      <c r="C27" s="46"/>
      <c r="E27" s="97"/>
      <c r="F27" s="97"/>
      <c r="G27" s="254" t="s">
        <v>158</v>
      </c>
      <c r="H27" s="255">
        <f>SUM(H12:H26)</f>
        <v>2330.6590360878031</v>
      </c>
      <c r="I27" s="257"/>
      <c r="J27" s="100" t="s">
        <v>3</v>
      </c>
    </row>
    <row r="28" spans="1:11" ht="15.95" customHeight="1">
      <c r="A28" s="7"/>
      <c r="B28" s="102"/>
      <c r="C28" s="97"/>
      <c r="D28" s="97"/>
      <c r="E28" s="97"/>
      <c r="F28" s="97"/>
      <c r="G28" s="257"/>
      <c r="H28" s="252"/>
      <c r="I28" s="257"/>
      <c r="J28" s="100"/>
    </row>
    <row r="29" spans="1:11" ht="15.95" customHeight="1">
      <c r="A29" s="7"/>
      <c r="B29" s="96" t="s">
        <v>157</v>
      </c>
      <c r="C29" s="97"/>
      <c r="D29" s="97"/>
      <c r="E29" s="97"/>
      <c r="F29" s="97"/>
      <c r="G29" s="257"/>
      <c r="H29" s="252"/>
      <c r="I29" s="257"/>
      <c r="J29" s="100"/>
    </row>
    <row r="30" spans="1:11" ht="15.95" customHeight="1">
      <c r="A30" s="7"/>
      <c r="B30" s="102"/>
      <c r="C30" s="97" t="s">
        <v>100</v>
      </c>
      <c r="D30" s="97"/>
      <c r="E30" s="97"/>
      <c r="F30" s="97"/>
      <c r="G30" s="257"/>
      <c r="H30" s="252">
        <f>(D89*(1-G89)/F89)</f>
        <v>9.75</v>
      </c>
      <c r="I30" s="257"/>
      <c r="J30" s="100" t="s">
        <v>3</v>
      </c>
    </row>
    <row r="31" spans="1:11" ht="15.95" customHeight="1">
      <c r="A31" s="7"/>
      <c r="B31" s="102"/>
      <c r="C31" s="97" t="s">
        <v>101</v>
      </c>
      <c r="D31" s="97"/>
      <c r="E31" s="97"/>
      <c r="F31" s="97"/>
      <c r="G31" s="257"/>
      <c r="H31" s="260">
        <f>(D89/2)*Inputs!$D$15*J50/365</f>
        <v>11.321917808219178</v>
      </c>
      <c r="I31" s="257"/>
      <c r="J31" s="100" t="s">
        <v>3</v>
      </c>
    </row>
    <row r="32" spans="1:11" ht="15.95" customHeight="1">
      <c r="A32" s="7"/>
      <c r="B32" s="102"/>
      <c r="C32" s="97" t="s">
        <v>102</v>
      </c>
      <c r="D32" s="97"/>
      <c r="E32" s="97"/>
      <c r="F32" s="97"/>
      <c r="G32" s="257"/>
      <c r="H32" s="106">
        <f>D89*(Inputs!D17+Inputs!D16)+((F65/100*F48+F68)/2)*(Inputs!D19+Inputs!D18)</f>
        <v>24.431244500000002</v>
      </c>
      <c r="I32" s="257"/>
      <c r="J32" s="100" t="s">
        <v>3</v>
      </c>
    </row>
    <row r="33" spans="1:33" ht="15.95" customHeight="1">
      <c r="A33" s="7"/>
      <c r="B33" s="102"/>
      <c r="C33" s="46"/>
      <c r="E33" s="97"/>
      <c r="F33" s="97"/>
      <c r="G33" s="254" t="s">
        <v>159</v>
      </c>
      <c r="H33" s="261">
        <f>SUM(H30:H32)</f>
        <v>45.503162308219174</v>
      </c>
      <c r="I33" s="257"/>
      <c r="J33" s="100" t="s">
        <v>3</v>
      </c>
    </row>
    <row r="34" spans="1:33" ht="15.95" customHeight="1">
      <c r="A34" s="7"/>
      <c r="B34" s="102"/>
      <c r="C34" s="253"/>
      <c r="D34" s="97"/>
      <c r="E34" s="97"/>
      <c r="F34" s="97"/>
      <c r="G34" s="257"/>
      <c r="H34" s="260"/>
      <c r="I34" s="257"/>
      <c r="J34" s="100"/>
    </row>
    <row r="35" spans="1:33" ht="15.95" customHeight="1">
      <c r="A35" s="7"/>
      <c r="B35" s="96"/>
      <c r="C35" s="253"/>
      <c r="E35" s="97"/>
      <c r="F35" s="97"/>
      <c r="G35" s="254" t="s">
        <v>160</v>
      </c>
      <c r="H35" s="261">
        <f>H27+H33</f>
        <v>2376.1621983960222</v>
      </c>
      <c r="I35" s="257"/>
      <c r="J35" s="100"/>
    </row>
    <row r="36" spans="1:33" ht="15.95" customHeight="1">
      <c r="A36" s="7"/>
      <c r="B36" s="149"/>
      <c r="C36" s="135"/>
      <c r="D36" s="93"/>
      <c r="E36" s="93"/>
      <c r="F36" s="93"/>
      <c r="G36" s="145"/>
      <c r="H36" s="106"/>
      <c r="I36" s="145"/>
      <c r="J36" s="107"/>
    </row>
    <row r="37" spans="1:33" ht="15.95" customHeight="1">
      <c r="A37" s="7"/>
      <c r="B37" s="90"/>
      <c r="C37" s="253" t="s">
        <v>161</v>
      </c>
      <c r="D37" s="97"/>
      <c r="E37" s="97"/>
      <c r="F37" s="97"/>
      <c r="G37" s="257"/>
      <c r="H37" s="261">
        <f>H9-H27</f>
        <v>484.9428904121969</v>
      </c>
      <c r="I37" s="257"/>
      <c r="J37" s="100"/>
    </row>
    <row r="38" spans="1:33" ht="15.95" customHeight="1">
      <c r="A38" s="7"/>
      <c r="B38" s="151"/>
      <c r="C38" s="135" t="s">
        <v>111</v>
      </c>
      <c r="D38" s="93"/>
      <c r="E38" s="93"/>
      <c r="F38" s="93"/>
      <c r="G38" s="145"/>
      <c r="H38" s="146">
        <f>H9-H35</f>
        <v>439.43972810397781</v>
      </c>
      <c r="I38" s="145"/>
      <c r="J38" s="107"/>
    </row>
    <row r="39" spans="1:33" ht="15.95" customHeight="1">
      <c r="A39" s="7"/>
      <c r="B39" s="96"/>
      <c r="C39" s="253"/>
      <c r="D39" s="97"/>
      <c r="E39" s="97"/>
      <c r="F39" s="97" t="s">
        <v>131</v>
      </c>
      <c r="G39" s="257"/>
      <c r="H39" s="119"/>
      <c r="I39" s="257"/>
      <c r="J39" s="100"/>
    </row>
    <row r="40" spans="1:33" ht="15.95" customHeight="1">
      <c r="A40" s="7"/>
      <c r="B40" s="96"/>
      <c r="C40" s="97" t="s">
        <v>112</v>
      </c>
      <c r="D40" s="97"/>
      <c r="E40" s="97"/>
      <c r="F40" s="97"/>
      <c r="G40" s="257"/>
      <c r="H40" s="262">
        <f>(H35-H12)/J50</f>
        <v>2.4705057852526902</v>
      </c>
      <c r="I40" s="257"/>
      <c r="J40" s="100"/>
    </row>
    <row r="41" spans="1:33" ht="15.95" customHeight="1">
      <c r="A41" s="7"/>
      <c r="B41" s="96"/>
      <c r="C41" s="97" t="s">
        <v>104</v>
      </c>
      <c r="D41" s="97"/>
      <c r="E41" s="97"/>
      <c r="F41" s="97"/>
      <c r="G41" s="257"/>
      <c r="H41" s="262">
        <f>(H35-H12-H6-H7-H8)/(H49*H71-F48)</f>
        <v>2.3021239135262226</v>
      </c>
      <c r="I41" s="257"/>
      <c r="J41" s="100"/>
    </row>
    <row r="42" spans="1:33" ht="15.95" customHeight="1" thickBot="1">
      <c r="A42" s="7"/>
      <c r="B42" s="152"/>
      <c r="C42" s="137" t="s">
        <v>162</v>
      </c>
      <c r="D42" s="137"/>
      <c r="E42" s="137"/>
      <c r="F42" s="137"/>
      <c r="G42" s="153"/>
      <c r="H42" s="154">
        <f>(H35-H6-H7)/(1-H72-H73-H74)</f>
        <v>2493.780171556095</v>
      </c>
      <c r="I42" s="153"/>
      <c r="J42" s="117"/>
    </row>
    <row r="43" spans="1:33" ht="15.95" customHeight="1">
      <c r="A43" s="7"/>
      <c r="B43" s="147" t="s">
        <v>163</v>
      </c>
      <c r="C43" s="97"/>
      <c r="D43" s="97"/>
      <c r="E43" s="97"/>
      <c r="F43" s="97"/>
      <c r="G43" s="97"/>
      <c r="H43" s="97"/>
      <c r="I43" s="97"/>
      <c r="J43" s="97"/>
    </row>
    <row r="44" spans="1:33" ht="15.95" customHeight="1">
      <c r="A44" s="7"/>
      <c r="B44" s="50"/>
      <c r="C44" s="50"/>
      <c r="D44" s="50"/>
      <c r="E44" s="50"/>
      <c r="F44" s="50"/>
      <c r="G44" s="50"/>
      <c r="H44" s="48"/>
      <c r="I44" s="50"/>
      <c r="J44" s="142">
        <f ca="1">Inputs!D20</f>
        <v>45589.399859143516</v>
      </c>
    </row>
    <row r="45" spans="1:33" ht="15.75" customHeight="1">
      <c r="A45" s="7"/>
      <c r="B45" s="63" t="s">
        <v>234</v>
      </c>
      <c r="C45" s="50"/>
      <c r="D45" s="50"/>
      <c r="E45" s="50"/>
      <c r="F45" s="50"/>
      <c r="G45" s="50"/>
      <c r="H45" s="53"/>
      <c r="I45" s="53"/>
      <c r="J45" s="53"/>
      <c r="K45" s="50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1:33" ht="15.75" customHeight="1">
      <c r="A46" s="7"/>
      <c r="B46" s="50"/>
      <c r="C46" s="50"/>
      <c r="D46" s="48"/>
      <c r="E46" s="48"/>
      <c r="F46" s="169" t="s">
        <v>49</v>
      </c>
      <c r="G46" s="169"/>
      <c r="H46" s="170"/>
      <c r="I46" s="170"/>
      <c r="J46" s="170"/>
      <c r="K46" s="50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</row>
    <row r="47" spans="1:33" ht="15.75" customHeight="1">
      <c r="A47" s="7"/>
      <c r="B47" s="50"/>
      <c r="C47" s="50"/>
      <c r="D47" s="48"/>
      <c r="E47" s="48"/>
      <c r="F47" s="52" t="s">
        <v>86</v>
      </c>
      <c r="G47" s="121" t="s">
        <v>48</v>
      </c>
      <c r="H47" s="121" t="s">
        <v>85</v>
      </c>
      <c r="I47" s="121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1:33" ht="15.75" customHeight="1">
      <c r="A48" s="7"/>
      <c r="B48" s="50" t="s">
        <v>50</v>
      </c>
      <c r="C48" s="50"/>
      <c r="D48" s="48"/>
      <c r="E48" s="48"/>
      <c r="F48" s="86">
        <v>550</v>
      </c>
      <c r="G48" s="59">
        <f>F49</f>
        <v>750</v>
      </c>
      <c r="H48" s="59">
        <f>G49</f>
        <v>925</v>
      </c>
      <c r="I48" s="59"/>
      <c r="J48" s="50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1:33" ht="15.75" customHeight="1">
      <c r="A49" s="7"/>
      <c r="B49" s="50" t="s">
        <v>51</v>
      </c>
      <c r="C49" s="50"/>
      <c r="D49" s="48"/>
      <c r="E49" s="48"/>
      <c r="F49" s="86">
        <v>750</v>
      </c>
      <c r="G49" s="86">
        <v>925</v>
      </c>
      <c r="H49" s="86">
        <v>1000</v>
      </c>
      <c r="I49" s="59"/>
      <c r="J49" s="121" t="s">
        <v>2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</row>
    <row r="50" spans="1:33" ht="15.75" customHeight="1">
      <c r="A50" s="7"/>
      <c r="B50" s="50" t="s">
        <v>22</v>
      </c>
      <c r="C50" s="50"/>
      <c r="D50" s="48"/>
      <c r="E50" s="48"/>
      <c r="F50" s="86">
        <v>170</v>
      </c>
      <c r="G50" s="86">
        <v>150</v>
      </c>
      <c r="H50" s="86">
        <v>60</v>
      </c>
      <c r="I50" s="59"/>
      <c r="J50" s="59">
        <f>F50+G50+H50</f>
        <v>380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</row>
    <row r="51" spans="1:33" ht="15.75" customHeight="1">
      <c r="A51" s="7"/>
      <c r="B51" s="50"/>
      <c r="C51" s="50"/>
      <c r="D51" s="48"/>
      <c r="E51" s="50"/>
      <c r="F51" s="59"/>
      <c r="G51" s="59"/>
      <c r="H51" s="59"/>
      <c r="I51" s="59"/>
      <c r="J51" s="59"/>
      <c r="K51" s="50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</row>
    <row r="52" spans="1:33" ht="15.75" customHeight="1">
      <c r="A52" s="7"/>
      <c r="B52" s="50" t="s">
        <v>31</v>
      </c>
      <c r="C52" s="50"/>
      <c r="D52" s="89"/>
      <c r="E52" s="89" t="s">
        <v>193</v>
      </c>
      <c r="F52" s="52" t="s">
        <v>86</v>
      </c>
      <c r="G52" s="121" t="s">
        <v>48</v>
      </c>
      <c r="H52" s="121" t="s">
        <v>85</v>
      </c>
      <c r="I52" s="121"/>
      <c r="J52" s="121" t="s">
        <v>2</v>
      </c>
      <c r="K52" s="48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</row>
    <row r="53" spans="1:33" ht="15.75" customHeight="1">
      <c r="A53" s="7"/>
      <c r="B53" s="50"/>
      <c r="C53" s="50"/>
      <c r="D53" s="89"/>
      <c r="E53" s="89"/>
      <c r="F53" s="316" t="s">
        <v>235</v>
      </c>
      <c r="G53" s="316"/>
      <c r="H53" s="316"/>
      <c r="I53" s="121"/>
      <c r="J53" s="121"/>
      <c r="K53" s="48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</row>
    <row r="54" spans="1:33" ht="15.75" customHeight="1">
      <c r="A54" s="7"/>
      <c r="B54" s="70"/>
      <c r="C54" s="50" t="s">
        <v>138</v>
      </c>
      <c r="D54" s="79">
        <f>Inputs!D4</f>
        <v>115</v>
      </c>
      <c r="E54" s="185" t="s">
        <v>52</v>
      </c>
      <c r="F54" s="88">
        <v>1250</v>
      </c>
      <c r="G54" s="88">
        <v>0</v>
      </c>
      <c r="H54" s="88">
        <v>0</v>
      </c>
      <c r="I54" s="171"/>
      <c r="J54" s="59">
        <f>F54+G54+H54</f>
        <v>1250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</row>
    <row r="55" spans="1:33" ht="15.75" customHeight="1">
      <c r="A55" s="7"/>
      <c r="B55" s="70"/>
      <c r="C55" s="50" t="s">
        <v>237</v>
      </c>
      <c r="D55" s="79">
        <f>Inputs!D7+(Inputs!D11/100*56)</f>
        <v>5.54</v>
      </c>
      <c r="E55" s="185" t="s">
        <v>54</v>
      </c>
      <c r="F55" s="88">
        <v>240</v>
      </c>
      <c r="G55" s="88">
        <v>0</v>
      </c>
      <c r="H55" s="88">
        <v>90</v>
      </c>
      <c r="I55" s="173"/>
      <c r="J55" s="59">
        <f>F55+G55+H55</f>
        <v>330</v>
      </c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</row>
    <row r="56" spans="1:33" ht="15.75" customHeight="1">
      <c r="A56" s="7"/>
      <c r="B56" s="70"/>
      <c r="C56" s="50" t="s">
        <v>136</v>
      </c>
      <c r="D56" s="79">
        <f>Inputs!D9</f>
        <v>180</v>
      </c>
      <c r="E56" s="185" t="s">
        <v>52</v>
      </c>
      <c r="F56" s="88">
        <v>240</v>
      </c>
      <c r="G56" s="88">
        <v>0</v>
      </c>
      <c r="H56" s="88">
        <v>90</v>
      </c>
      <c r="I56" s="172"/>
      <c r="J56" s="59">
        <f>F56+G56+H56</f>
        <v>330</v>
      </c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</row>
    <row r="57" spans="1:33" ht="15.75" customHeight="1">
      <c r="A57" s="7"/>
      <c r="B57" s="70"/>
      <c r="C57" s="71" t="s">
        <v>15</v>
      </c>
      <c r="D57" s="79">
        <f>Inputs!D2</f>
        <v>20</v>
      </c>
      <c r="E57" s="185" t="s">
        <v>173</v>
      </c>
      <c r="F57" s="88">
        <v>95</v>
      </c>
      <c r="G57" s="88">
        <v>150</v>
      </c>
      <c r="H57" s="88">
        <v>60</v>
      </c>
      <c r="I57" s="172"/>
      <c r="J57" s="59">
        <f>F57+G57+H57</f>
        <v>305</v>
      </c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</row>
    <row r="58" spans="1:33" ht="15.75" customHeight="1">
      <c r="A58" s="7"/>
      <c r="B58" s="70"/>
      <c r="C58" s="71" t="s">
        <v>236</v>
      </c>
      <c r="D58" s="79">
        <f>Inputs!D10</f>
        <v>1200</v>
      </c>
      <c r="E58" s="185" t="s">
        <v>52</v>
      </c>
      <c r="F58" s="88">
        <v>49</v>
      </c>
      <c r="G58" s="88">
        <v>39</v>
      </c>
      <c r="H58" s="88">
        <v>16</v>
      </c>
      <c r="I58" s="172"/>
      <c r="J58" s="59">
        <f>F58+G58+H58</f>
        <v>104</v>
      </c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1:33" ht="15.75" customHeight="1">
      <c r="A59" s="7"/>
      <c r="B59" s="70"/>
      <c r="C59" s="186" t="s">
        <v>57</v>
      </c>
      <c r="D59" s="48"/>
      <c r="E59" s="71"/>
      <c r="F59" s="174"/>
      <c r="G59" s="83"/>
      <c r="H59" s="174"/>
      <c r="I59" s="83"/>
      <c r="J59" s="174"/>
      <c r="K59" s="50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</row>
    <row r="60" spans="1:33" ht="15.75" customHeight="1">
      <c r="A60" s="7"/>
      <c r="B60" s="48"/>
      <c r="C60" s="48"/>
      <c r="D60" s="48"/>
      <c r="E60" s="48"/>
      <c r="F60" s="48"/>
      <c r="G60" s="48"/>
      <c r="H60" s="60"/>
      <c r="I60" s="83"/>
      <c r="J60" s="174"/>
      <c r="K60" s="50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</row>
    <row r="61" spans="1:33" ht="15.75" customHeight="1">
      <c r="A61" s="7"/>
      <c r="B61" s="48" t="s">
        <v>75</v>
      </c>
      <c r="C61" s="48"/>
      <c r="D61" s="48"/>
      <c r="E61" s="48"/>
      <c r="F61" s="48"/>
      <c r="G61" s="48"/>
      <c r="H61" s="69">
        <f>F57/30*(F48+F49)/2/1000+G57/30*(G48+G49)/2/1000+H57/30*(H48+H49)/2/1000</f>
        <v>8.1708333333333343</v>
      </c>
      <c r="I61" s="83"/>
      <c r="J61" s="174"/>
      <c r="K61" s="50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</row>
    <row r="62" spans="1:33" ht="15.75" customHeight="1">
      <c r="A62" s="7"/>
      <c r="B62" s="129" t="s">
        <v>76</v>
      </c>
      <c r="C62" s="48"/>
      <c r="D62" s="48"/>
      <c r="E62" s="48"/>
      <c r="F62" s="48"/>
      <c r="G62" s="48"/>
      <c r="H62" s="48"/>
      <c r="I62" s="83"/>
      <c r="J62" s="174"/>
      <c r="K62" s="50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 ht="15.75" customHeight="1">
      <c r="A63" s="7"/>
      <c r="B63" s="48"/>
      <c r="C63" s="48"/>
      <c r="D63" s="48"/>
      <c r="E63" s="48"/>
      <c r="F63" s="48"/>
      <c r="G63" s="48"/>
      <c r="H63" s="48"/>
      <c r="I63" s="83"/>
      <c r="J63" s="174"/>
      <c r="K63" s="50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ht="15.75" customHeight="1">
      <c r="A64" s="7"/>
      <c r="B64" s="70"/>
      <c r="C64" s="48"/>
      <c r="D64" s="48"/>
      <c r="E64" s="89" t="s">
        <v>193</v>
      </c>
      <c r="F64" s="61" t="s">
        <v>192</v>
      </c>
      <c r="G64" s="83"/>
      <c r="H64" s="174"/>
      <c r="I64" s="83"/>
      <c r="J64" s="174"/>
      <c r="K64" s="50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1:33" ht="15.75" customHeight="1">
      <c r="A65" s="7"/>
      <c r="B65" s="70" t="s">
        <v>239</v>
      </c>
      <c r="C65" s="71"/>
      <c r="D65" s="48"/>
      <c r="E65" s="186" t="s">
        <v>29</v>
      </c>
      <c r="F65" s="323">
        <f>'Cow-calf (Spr)'!F57</f>
        <v>261.33999999999997</v>
      </c>
      <c r="G65" s="83"/>
      <c r="H65" s="174"/>
      <c r="I65" s="83"/>
      <c r="J65" s="48"/>
      <c r="K65" s="50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1:33" ht="15.75" customHeight="1">
      <c r="A66" s="7"/>
      <c r="B66" s="70" t="s">
        <v>280</v>
      </c>
      <c r="C66" s="48"/>
      <c r="D66" s="48"/>
      <c r="E66" s="186" t="s">
        <v>29</v>
      </c>
      <c r="F66" s="122">
        <v>222.9847</v>
      </c>
      <c r="G66" s="83"/>
      <c r="H66" s="174"/>
      <c r="I66" s="83"/>
      <c r="J66" s="48"/>
      <c r="K66" s="50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</row>
    <row r="67" spans="1:33" ht="15.75" customHeight="1">
      <c r="A67" s="7"/>
      <c r="B67" s="70" t="s">
        <v>240</v>
      </c>
      <c r="C67" s="71"/>
      <c r="D67" s="48"/>
      <c r="E67" s="186" t="s">
        <v>29</v>
      </c>
      <c r="F67" s="122">
        <v>191.2</v>
      </c>
      <c r="G67" s="71"/>
      <c r="H67" s="174"/>
      <c r="I67" s="83"/>
      <c r="J67" s="48"/>
      <c r="K67" s="50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</row>
    <row r="68" spans="1:33" ht="15.75" customHeight="1">
      <c r="A68" s="7"/>
      <c r="B68" s="70" t="s">
        <v>241</v>
      </c>
      <c r="C68" s="71"/>
      <c r="D68" s="48"/>
      <c r="E68" s="186" t="s">
        <v>238</v>
      </c>
      <c r="F68" s="122">
        <v>3000</v>
      </c>
      <c r="G68" s="71"/>
      <c r="H68" s="174"/>
      <c r="I68" s="83"/>
      <c r="J68" s="48"/>
      <c r="K68" s="50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</row>
    <row r="69" spans="1:33" ht="15.75" customHeight="1">
      <c r="B69" s="71"/>
      <c r="C69" s="71"/>
      <c r="D69" s="48"/>
      <c r="E69" s="71"/>
      <c r="F69" s="83"/>
      <c r="G69" s="83"/>
      <c r="H69" s="83"/>
      <c r="I69" s="83"/>
      <c r="J69" s="175"/>
      <c r="K69" s="48"/>
    </row>
    <row r="70" spans="1:33" ht="15.75" customHeight="1">
      <c r="A70" s="7"/>
      <c r="B70" s="54" t="s">
        <v>243</v>
      </c>
      <c r="C70" s="48"/>
      <c r="D70" s="48"/>
      <c r="E70" s="48"/>
      <c r="F70" s="48"/>
      <c r="G70" s="194" t="s">
        <v>193</v>
      </c>
      <c r="H70" s="61" t="s">
        <v>192</v>
      </c>
      <c r="I70" s="48"/>
      <c r="J70" s="48"/>
      <c r="K70" s="50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</row>
    <row r="71" spans="1:33" ht="15.75" customHeight="1">
      <c r="A71" s="7"/>
      <c r="B71" s="50" t="s">
        <v>66</v>
      </c>
      <c r="C71" s="50"/>
      <c r="D71" s="50"/>
      <c r="E71" s="50"/>
      <c r="F71" s="50"/>
      <c r="G71" s="128" t="s">
        <v>12</v>
      </c>
      <c r="H71" s="193">
        <v>0.875</v>
      </c>
      <c r="I71" s="53"/>
      <c r="J71" s="48"/>
      <c r="K71" s="50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</row>
    <row r="72" spans="1:33" ht="15.75" customHeight="1">
      <c r="A72" s="7"/>
      <c r="B72" s="50" t="s">
        <v>56</v>
      </c>
      <c r="C72" s="50"/>
      <c r="D72" s="50"/>
      <c r="E72" s="50"/>
      <c r="F72" s="50"/>
      <c r="G72" s="128" t="s">
        <v>12</v>
      </c>
      <c r="H72" s="193">
        <v>0.05</v>
      </c>
      <c r="I72" s="53"/>
      <c r="J72" s="48"/>
      <c r="K72" s="50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33" ht="15.75" customHeight="1">
      <c r="A73" s="7"/>
      <c r="B73" s="50" t="s">
        <v>55</v>
      </c>
      <c r="C73" s="50"/>
      <c r="D73" s="50"/>
      <c r="E73" s="50"/>
      <c r="F73" s="50"/>
      <c r="G73" s="128" t="s">
        <v>12</v>
      </c>
      <c r="H73" s="193">
        <v>7.4999999999999997E-2</v>
      </c>
      <c r="I73" s="53"/>
      <c r="J73" s="48"/>
      <c r="K73" s="50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ht="15.75" customHeight="1">
      <c r="A74" s="7"/>
      <c r="B74" s="50" t="s">
        <v>9</v>
      </c>
      <c r="C74" s="50"/>
      <c r="D74" s="50"/>
      <c r="E74" s="50"/>
      <c r="F74" s="50"/>
      <c r="G74" s="128" t="s">
        <v>12</v>
      </c>
      <c r="H74" s="193">
        <v>0.01</v>
      </c>
      <c r="I74" s="53"/>
      <c r="J74" s="48"/>
      <c r="K74" s="50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5" spans="1:33" ht="15.75" customHeight="1">
      <c r="A75" s="7"/>
      <c r="B75" s="50"/>
      <c r="C75" s="50"/>
      <c r="D75" s="50"/>
      <c r="E75" s="50"/>
      <c r="F75" s="50"/>
      <c r="G75" s="53"/>
      <c r="H75" s="181"/>
      <c r="I75" s="53"/>
      <c r="J75" s="48"/>
      <c r="K75" s="50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</row>
    <row r="76" spans="1:33" ht="15.75" customHeight="1">
      <c r="B76" s="54" t="s">
        <v>120</v>
      </c>
      <c r="C76" s="48"/>
      <c r="D76" s="48"/>
      <c r="E76" s="48"/>
      <c r="F76" s="48"/>
      <c r="G76" s="194" t="s">
        <v>193</v>
      </c>
      <c r="H76" s="61" t="s">
        <v>192</v>
      </c>
      <c r="I76" s="48"/>
      <c r="J76" s="48"/>
      <c r="K76" s="48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</row>
    <row r="77" spans="1:33" ht="15.75" customHeight="1">
      <c r="B77" s="48" t="s">
        <v>98</v>
      </c>
      <c r="C77" s="48"/>
      <c r="D77" s="48"/>
      <c r="E77" s="48"/>
      <c r="F77" s="69"/>
      <c r="G77" s="128" t="s">
        <v>244</v>
      </c>
      <c r="H77" s="122">
        <v>5</v>
      </c>
      <c r="I77" s="48"/>
      <c r="J77" s="48"/>
      <c r="K77" s="48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</row>
    <row r="78" spans="1:33" ht="15.75" customHeight="1">
      <c r="B78" s="50" t="s">
        <v>0</v>
      </c>
      <c r="C78" s="48"/>
      <c r="D78" s="50"/>
      <c r="E78" s="50"/>
      <c r="F78" s="50"/>
      <c r="G78" s="128" t="s">
        <v>245</v>
      </c>
      <c r="H78" s="122">
        <v>35</v>
      </c>
      <c r="I78" s="48"/>
      <c r="J78" s="48"/>
      <c r="K78" s="48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 ht="15.75" customHeight="1">
      <c r="B79" s="48" t="s">
        <v>223</v>
      </c>
      <c r="C79" s="48"/>
      <c r="D79" s="48"/>
      <c r="E79" s="48"/>
      <c r="F79" s="48"/>
      <c r="G79" s="128" t="s">
        <v>224</v>
      </c>
      <c r="H79" s="193">
        <v>0.03</v>
      </c>
      <c r="I79" s="48"/>
      <c r="J79" s="48"/>
      <c r="K79" s="48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 ht="15.75" customHeight="1">
      <c r="B80" s="50" t="s">
        <v>247</v>
      </c>
      <c r="C80" s="48"/>
      <c r="D80" s="50"/>
      <c r="E80" s="50"/>
      <c r="F80" s="50"/>
      <c r="G80" s="128" t="s">
        <v>245</v>
      </c>
      <c r="H80" s="122">
        <v>45</v>
      </c>
      <c r="I80" s="48"/>
      <c r="J80" s="48"/>
      <c r="K80" s="48"/>
    </row>
    <row r="81" spans="2:11" ht="15.75" customHeight="1">
      <c r="B81" s="50" t="s">
        <v>181</v>
      </c>
      <c r="C81" s="48"/>
      <c r="D81" s="50"/>
      <c r="E81" s="50"/>
      <c r="F81" s="50"/>
      <c r="G81" s="128" t="s">
        <v>245</v>
      </c>
      <c r="H81" s="122">
        <v>8</v>
      </c>
      <c r="I81" s="48"/>
      <c r="J81" s="48"/>
      <c r="K81" s="48"/>
    </row>
    <row r="82" spans="2:11" ht="15.75" customHeight="1">
      <c r="B82" s="50" t="s">
        <v>246</v>
      </c>
      <c r="C82" s="48"/>
      <c r="D82" s="50"/>
      <c r="E82" s="50"/>
      <c r="F82" s="50"/>
      <c r="G82" s="128" t="s">
        <v>245</v>
      </c>
      <c r="H82" s="122">
        <v>8.5</v>
      </c>
      <c r="I82" s="48"/>
      <c r="J82" s="48"/>
      <c r="K82" s="48"/>
    </row>
    <row r="83" spans="2:11" ht="15.75" customHeight="1">
      <c r="B83" s="50" t="s">
        <v>10</v>
      </c>
      <c r="C83" s="48"/>
      <c r="D83" s="50"/>
      <c r="E83" s="50"/>
      <c r="F83" s="50"/>
      <c r="G83" s="128" t="s">
        <v>245</v>
      </c>
      <c r="H83" s="122">
        <v>2</v>
      </c>
      <c r="I83" s="48"/>
      <c r="J83" s="48"/>
      <c r="K83" s="48"/>
    </row>
    <row r="84" spans="2:11" ht="15.75" customHeight="1">
      <c r="B84" s="50" t="s">
        <v>32</v>
      </c>
      <c r="C84" s="48"/>
      <c r="D84" s="50"/>
      <c r="E84" s="50"/>
      <c r="F84" s="50"/>
      <c r="G84" s="128" t="s">
        <v>245</v>
      </c>
      <c r="H84" s="122">
        <v>4</v>
      </c>
      <c r="I84" s="48"/>
      <c r="J84" s="48"/>
      <c r="K84" s="48"/>
    </row>
    <row r="85" spans="2:11" ht="15.75" customHeight="1">
      <c r="B85" s="48"/>
      <c r="C85" s="48"/>
      <c r="D85" s="48"/>
      <c r="E85" s="48"/>
      <c r="F85" s="48"/>
      <c r="G85" s="48"/>
      <c r="H85" s="48"/>
      <c r="I85" s="48"/>
      <c r="J85" s="48"/>
      <c r="K85" s="48"/>
    </row>
    <row r="86" spans="2:11" ht="15.75" customHeight="1">
      <c r="B86" s="167" t="s">
        <v>127</v>
      </c>
      <c r="C86" s="48"/>
      <c r="D86" s="48"/>
      <c r="E86" s="48"/>
      <c r="F86" s="48"/>
      <c r="G86" s="48"/>
      <c r="H86" s="48"/>
      <c r="I86" s="48"/>
      <c r="J86" s="48"/>
      <c r="K86" s="182"/>
    </row>
    <row r="87" spans="2:11" ht="15.75" customHeight="1">
      <c r="B87" s="71"/>
      <c r="C87" s="71"/>
      <c r="D87" s="85" t="s">
        <v>58</v>
      </c>
      <c r="E87" s="85"/>
      <c r="F87" s="85" t="s">
        <v>4</v>
      </c>
      <c r="G87" s="85" t="s">
        <v>59</v>
      </c>
      <c r="H87" s="48"/>
      <c r="I87" s="48"/>
      <c r="J87" s="48"/>
      <c r="K87" s="182"/>
    </row>
    <row r="88" spans="2:11" ht="15.75" customHeight="1">
      <c r="B88" s="71"/>
      <c r="C88" s="71"/>
      <c r="D88" s="191" t="s">
        <v>60</v>
      </c>
      <c r="E88" s="192"/>
      <c r="F88" s="191" t="s">
        <v>61</v>
      </c>
      <c r="G88" s="191" t="s">
        <v>62</v>
      </c>
      <c r="H88" s="48"/>
      <c r="I88" s="48"/>
      <c r="J88" s="48"/>
      <c r="K88" s="182"/>
    </row>
    <row r="89" spans="2:11" ht="15.75" customHeight="1">
      <c r="B89" s="70" t="s">
        <v>63</v>
      </c>
      <c r="C89" s="71"/>
      <c r="D89" s="189">
        <v>300</v>
      </c>
      <c r="E89" s="83"/>
      <c r="F89" s="190">
        <v>20</v>
      </c>
      <c r="G89" s="87">
        <v>0.35</v>
      </c>
      <c r="H89" s="48"/>
      <c r="I89" s="48"/>
      <c r="J89" s="48"/>
      <c r="K89" s="182"/>
    </row>
    <row r="90" spans="2:11" ht="15.75" customHeight="1">
      <c r="B90" s="48"/>
      <c r="C90" s="48"/>
      <c r="D90" s="48"/>
      <c r="E90" s="48"/>
      <c r="F90" s="48"/>
      <c r="G90" s="48"/>
      <c r="H90" s="48"/>
      <c r="I90" s="48"/>
      <c r="J90" s="48"/>
      <c r="K90" s="182"/>
    </row>
    <row r="91" spans="2:11" ht="15.75" customHeight="1">
      <c r="B91" s="50"/>
      <c r="C91" s="56" t="s">
        <v>185</v>
      </c>
      <c r="D91" s="52" t="s">
        <v>229</v>
      </c>
      <c r="E91" s="52" t="s">
        <v>228</v>
      </c>
      <c r="F91" s="52" t="s">
        <v>231</v>
      </c>
      <c r="G91" s="183" t="s">
        <v>82</v>
      </c>
      <c r="H91" s="183" t="s">
        <v>143</v>
      </c>
      <c r="I91" s="176"/>
      <c r="J91" s="183" t="s">
        <v>142</v>
      </c>
    </row>
    <row r="92" spans="2:11" ht="15.75" customHeight="1">
      <c r="B92" s="50"/>
      <c r="C92" s="86" t="s">
        <v>81</v>
      </c>
      <c r="D92" s="122">
        <v>53.67</v>
      </c>
      <c r="E92" s="131">
        <f>40/60</f>
        <v>0.66666666666666663</v>
      </c>
      <c r="F92" s="86">
        <v>75</v>
      </c>
      <c r="G92" s="59">
        <f>D92*E92*F92</f>
        <v>2683.5</v>
      </c>
      <c r="H92" s="60">
        <f>G92*$F$97</f>
        <v>348.85500000000002</v>
      </c>
      <c r="I92" s="60"/>
      <c r="J92" s="60">
        <f>H92/$F$98</f>
        <v>46.514000000000003</v>
      </c>
    </row>
    <row r="93" spans="2:11" ht="15.75" customHeight="1">
      <c r="B93" s="50"/>
      <c r="C93" s="86" t="s">
        <v>80</v>
      </c>
      <c r="D93" s="122">
        <v>40</v>
      </c>
      <c r="E93" s="86">
        <v>0.5</v>
      </c>
      <c r="F93" s="86">
        <v>30</v>
      </c>
      <c r="G93" s="59">
        <f>D93*E93*F93</f>
        <v>600</v>
      </c>
      <c r="H93" s="60">
        <f>G93*$F$97</f>
        <v>78</v>
      </c>
      <c r="I93" s="60"/>
      <c r="J93" s="60">
        <f>H93/$F$98</f>
        <v>10.4</v>
      </c>
    </row>
    <row r="94" spans="2:11" ht="15.75" customHeight="1">
      <c r="B94" s="50"/>
      <c r="C94" s="86" t="s">
        <v>83</v>
      </c>
      <c r="D94" s="122">
        <v>20</v>
      </c>
      <c r="E94" s="86">
        <v>3</v>
      </c>
      <c r="F94" s="86">
        <v>8</v>
      </c>
      <c r="G94" s="59">
        <f>D94*E94*F94</f>
        <v>480</v>
      </c>
      <c r="H94" s="60">
        <f>G94*$F$97</f>
        <v>62.400000000000006</v>
      </c>
      <c r="I94" s="60"/>
      <c r="J94" s="60">
        <f>H94/$F$98</f>
        <v>8.32</v>
      </c>
    </row>
    <row r="95" spans="2:11" ht="15.75" customHeight="1">
      <c r="B95" s="50"/>
      <c r="C95" s="86" t="s">
        <v>109</v>
      </c>
      <c r="D95" s="122">
        <v>12</v>
      </c>
      <c r="E95" s="86">
        <v>1</v>
      </c>
      <c r="F95" s="86">
        <v>180</v>
      </c>
      <c r="G95" s="59">
        <f>D95*E95*F95</f>
        <v>2160</v>
      </c>
      <c r="H95" s="60">
        <f>G95*$F$97</f>
        <v>280.8</v>
      </c>
      <c r="I95" s="59"/>
      <c r="J95" s="60">
        <f>H95/$F$98</f>
        <v>37.440000000000005</v>
      </c>
    </row>
    <row r="96" spans="2:11" ht="15.75" customHeight="1">
      <c r="G96" s="187">
        <f>SUM(G92:G95)</f>
        <v>5923.5</v>
      </c>
      <c r="H96" s="188">
        <f>SUM(H92:H95)</f>
        <v>770.05500000000006</v>
      </c>
      <c r="I96" s="60"/>
      <c r="J96" s="188">
        <f>SUM(J92:J95)</f>
        <v>102.67400000000001</v>
      </c>
    </row>
    <row r="97" spans="2:11" ht="15.75" customHeight="1">
      <c r="B97" s="50" t="s">
        <v>93</v>
      </c>
      <c r="C97" s="50"/>
      <c r="D97" s="82"/>
      <c r="E97" s="50"/>
      <c r="F97" s="87">
        <v>0.13</v>
      </c>
      <c r="H97" s="50"/>
      <c r="I97" s="50"/>
      <c r="J97" s="50"/>
      <c r="K97" s="80"/>
    </row>
    <row r="98" spans="2:11" ht="15.75" customHeight="1">
      <c r="B98" s="48" t="s">
        <v>242</v>
      </c>
      <c r="C98" s="48"/>
      <c r="D98" s="48"/>
      <c r="E98" s="48"/>
      <c r="F98" s="86">
        <v>7.5</v>
      </c>
    </row>
  </sheetData>
  <sheetProtection sheet="1" objects="1" scenarios="1"/>
  <mergeCells count="2">
    <mergeCell ref="B1:J1"/>
    <mergeCell ref="F53:H53"/>
  </mergeCells>
  <phoneticPr fontId="0" type="noConversion"/>
  <pageMargins left="0.75" right="0.75" top="0.75" bottom="0.75" header="0" footer="0"/>
  <pageSetup scale="80" orientation="portrait" r:id="rId1"/>
  <headerFooter alignWithMargins="0"/>
  <ignoredErrors>
    <ignoredError sqref="E92" unlockedFormula="1"/>
    <ignoredError sqref="H20 H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ntry="1" codeName="Sheet3"/>
  <dimension ref="A1:V89"/>
  <sheetViews>
    <sheetView showOutlineSymbols="0" topLeftCell="A16" zoomScaleNormal="100" zoomScaleSheetLayoutView="110" workbookViewId="0">
      <selection activeCell="N84" sqref="N84"/>
    </sheetView>
  </sheetViews>
  <sheetFormatPr defaultColWidth="0" defaultRowHeight="0" customHeight="1" zeroHeight="1"/>
  <cols>
    <col min="1" max="2" width="2.6640625" style="1" customWidth="1"/>
    <col min="3" max="3" width="15.77734375" style="1" customWidth="1"/>
    <col min="4" max="5" width="8.6640625" style="1" customWidth="1"/>
    <col min="6" max="6" width="9.33203125" style="1" customWidth="1"/>
    <col min="7" max="8" width="10.77734375" style="1" customWidth="1"/>
    <col min="9" max="9" width="1.77734375" style="1" customWidth="1"/>
    <col min="10" max="10" width="9.33203125" style="1" customWidth="1"/>
    <col min="11" max="12" width="2.77734375" style="1" customWidth="1"/>
    <col min="13" max="13" width="2.6640625" style="1" customWidth="1"/>
    <col min="14" max="14" width="15.77734375" style="1" customWidth="1"/>
    <col min="15" max="16" width="8.6640625" style="1" customWidth="1"/>
    <col min="17" max="17" width="9.33203125" style="1" customWidth="1"/>
    <col min="18" max="19" width="10.77734375" style="1" customWidth="1"/>
    <col min="20" max="20" width="1.77734375" style="1" customWidth="1"/>
    <col min="21" max="21" width="9.33203125" style="1" customWidth="1"/>
    <col min="22" max="22" width="2.77734375" style="1" customWidth="1"/>
    <col min="23" max="16384" width="8.6640625" style="1" hidden="1"/>
  </cols>
  <sheetData>
    <row r="1" spans="1:21" ht="20.100000000000001" customHeight="1">
      <c r="B1" s="317" t="s">
        <v>133</v>
      </c>
      <c r="C1" s="318"/>
      <c r="D1" s="318"/>
      <c r="E1" s="318"/>
      <c r="F1" s="318"/>
      <c r="G1" s="318"/>
      <c r="H1" s="318"/>
      <c r="I1" s="318"/>
      <c r="J1" s="319"/>
      <c r="K1" s="11"/>
      <c r="M1" s="317" t="s">
        <v>132</v>
      </c>
      <c r="N1" s="318"/>
      <c r="O1" s="318"/>
      <c r="P1" s="318"/>
      <c r="Q1" s="318"/>
      <c r="R1" s="318"/>
      <c r="S1" s="318"/>
      <c r="T1" s="318"/>
      <c r="U1" s="319"/>
    </row>
    <row r="2" spans="1:21" ht="15.95" customHeight="1">
      <c r="B2" s="197"/>
      <c r="C2" s="180"/>
      <c r="D2" s="180"/>
      <c r="E2" s="180"/>
      <c r="F2" s="180"/>
      <c r="G2" s="180"/>
      <c r="H2" s="274"/>
      <c r="I2" s="275"/>
      <c r="J2" s="276"/>
      <c r="K2" s="48"/>
      <c r="L2" s="48"/>
      <c r="M2" s="197"/>
      <c r="N2" s="180"/>
      <c r="O2" s="180"/>
      <c r="P2" s="180"/>
      <c r="Q2" s="180"/>
      <c r="R2" s="277"/>
      <c r="S2" s="277"/>
      <c r="T2" s="274"/>
      <c r="U2" s="276"/>
    </row>
    <row r="3" spans="1:21" ht="31.5" customHeight="1">
      <c r="B3" s="197"/>
      <c r="C3" s="180"/>
      <c r="D3" s="180"/>
      <c r="E3" s="180"/>
      <c r="F3" s="180"/>
      <c r="G3" s="198" t="s">
        <v>257</v>
      </c>
      <c r="H3" s="198" t="s">
        <v>156</v>
      </c>
      <c r="I3" s="180"/>
      <c r="J3" s="199" t="s">
        <v>150</v>
      </c>
      <c r="K3" s="48"/>
      <c r="L3" s="48"/>
      <c r="M3" s="197"/>
      <c r="N3" s="180"/>
      <c r="O3" s="180"/>
      <c r="P3" s="180"/>
      <c r="Q3" s="180"/>
      <c r="R3" s="198" t="s">
        <v>257</v>
      </c>
      <c r="S3" s="198" t="s">
        <v>156</v>
      </c>
      <c r="T3" s="180"/>
      <c r="U3" s="199" t="s">
        <v>150</v>
      </c>
    </row>
    <row r="4" spans="1:21" ht="15.95" customHeight="1">
      <c r="B4" s="200" t="s">
        <v>154</v>
      </c>
      <c r="C4" s="48"/>
      <c r="D4" s="48"/>
      <c r="E4" s="48"/>
      <c r="F4" s="48"/>
      <c r="G4" s="48"/>
      <c r="H4" s="48"/>
      <c r="I4" s="48"/>
      <c r="J4" s="196"/>
      <c r="K4" s="48"/>
      <c r="L4" s="48"/>
      <c r="M4" s="200" t="s">
        <v>154</v>
      </c>
      <c r="N4" s="48"/>
      <c r="O4" s="48"/>
      <c r="P4" s="48"/>
      <c r="Q4" s="48"/>
      <c r="R4" s="48"/>
      <c r="S4" s="48"/>
      <c r="T4" s="48"/>
      <c r="U4" s="196"/>
    </row>
    <row r="5" spans="1:21" ht="15.95" customHeight="1">
      <c r="A5" s="4"/>
      <c r="B5" s="195"/>
      <c r="C5" s="78" t="str">
        <f>"Market steer sales "&amp;G53&amp;" lbs. @ $"&amp;G54&amp;"/cwt."</f>
        <v>Market steer sales 815 lbs. @ $265.52/cwt.</v>
      </c>
      <c r="D5" s="48"/>
      <c r="E5" s="48"/>
      <c r="F5" s="48"/>
      <c r="G5" s="278">
        <f>G53*G54/100</f>
        <v>2163.9879999999998</v>
      </c>
      <c r="H5" s="278"/>
      <c r="I5" s="48"/>
      <c r="J5" s="201" t="s">
        <v>3</v>
      </c>
      <c r="K5" s="48"/>
      <c r="L5" s="202"/>
      <c r="M5" s="195"/>
      <c r="N5" s="78" t="str">
        <f>"Market steer sales "&amp;R52&amp;" lbs. @ $"&amp;R53&amp;"/cwt."</f>
        <v>Market steer sales 775 lbs. @ $275.11/cwt.</v>
      </c>
      <c r="O5" s="48"/>
      <c r="P5" s="48"/>
      <c r="Q5" s="48"/>
      <c r="R5" s="278">
        <f>R52*R53/100</f>
        <v>2132.1025</v>
      </c>
      <c r="S5" s="278"/>
      <c r="T5" s="203"/>
      <c r="U5" s="201" t="s">
        <v>3</v>
      </c>
    </row>
    <row r="6" spans="1:21" ht="15.95" customHeight="1">
      <c r="A6" s="4"/>
      <c r="B6" s="195"/>
      <c r="C6" s="78" t="str">
        <f>"Market heifer sales "&amp;H53&amp;" lbs. @ $"&amp;H54&amp;"/cwt."</f>
        <v>Market heifer sales 750 lbs. @ $251.29/cwt.</v>
      </c>
      <c r="D6" s="48"/>
      <c r="E6" s="48"/>
      <c r="F6" s="48"/>
      <c r="G6" s="278"/>
      <c r="H6" s="278">
        <f>H53*H54/100</f>
        <v>1884.675</v>
      </c>
      <c r="I6" s="48"/>
      <c r="J6" s="201" t="s">
        <v>3</v>
      </c>
      <c r="K6" s="48"/>
      <c r="L6" s="202"/>
      <c r="M6" s="195"/>
      <c r="N6" s="78" t="str">
        <f>"Market heifer sales "&amp;S52&amp;" lbs. @ $"&amp;S53&amp;"/cwt."</f>
        <v>Market heifer sales 710 lbs. @ $260.89/cwt.</v>
      </c>
      <c r="O6" s="48"/>
      <c r="P6" s="48"/>
      <c r="Q6" s="48"/>
      <c r="R6" s="278"/>
      <c r="S6" s="278">
        <f>S52*S53/100</f>
        <v>1852.319</v>
      </c>
      <c r="T6" s="203"/>
      <c r="U6" s="201" t="s">
        <v>3</v>
      </c>
    </row>
    <row r="7" spans="1:21" ht="15.95" customHeight="1">
      <c r="A7" s="4"/>
      <c r="B7" s="195"/>
      <c r="C7" s="78" t="str">
        <f>"Less death loss"</f>
        <v>Less death loss</v>
      </c>
      <c r="D7" s="48"/>
      <c r="E7" s="48"/>
      <c r="F7" s="48"/>
      <c r="G7" s="278">
        <f>-G5*G58</f>
        <v>-21.639879999999998</v>
      </c>
      <c r="H7" s="278">
        <f>-H6*H58</f>
        <v>-18.84675</v>
      </c>
      <c r="I7" s="48"/>
      <c r="J7" s="201" t="s">
        <v>3</v>
      </c>
      <c r="K7" s="48"/>
      <c r="L7" s="202"/>
      <c r="M7" s="195"/>
      <c r="N7" s="78" t="str">
        <f>"Less death loss"</f>
        <v>Less death loss</v>
      </c>
      <c r="O7" s="48"/>
      <c r="P7" s="48"/>
      <c r="Q7" s="48"/>
      <c r="R7" s="278">
        <f>-R5*R57</f>
        <v>-21.321024999999999</v>
      </c>
      <c r="S7" s="278">
        <f>-S6*S57</f>
        <v>-18.52319</v>
      </c>
      <c r="T7" s="282"/>
      <c r="U7" s="201" t="s">
        <v>3</v>
      </c>
    </row>
    <row r="8" spans="1:21" ht="15.95" customHeight="1">
      <c r="A8" s="4"/>
      <c r="B8" s="195"/>
      <c r="C8" s="78" t="s">
        <v>41</v>
      </c>
      <c r="D8" s="48"/>
      <c r="E8" s="48"/>
      <c r="F8" s="48"/>
      <c r="G8" s="278">
        <f>G59</f>
        <v>0</v>
      </c>
      <c r="H8" s="278">
        <f>H59</f>
        <v>0</v>
      </c>
      <c r="I8" s="48"/>
      <c r="J8" s="201" t="s">
        <v>3</v>
      </c>
      <c r="K8" s="48"/>
      <c r="L8" s="202"/>
      <c r="M8" s="195"/>
      <c r="N8" s="78" t="s">
        <v>41</v>
      </c>
      <c r="O8" s="48"/>
      <c r="P8" s="48"/>
      <c r="Q8" s="48"/>
      <c r="R8" s="278">
        <f>R58</f>
        <v>0</v>
      </c>
      <c r="S8" s="278">
        <f>S58</f>
        <v>0</v>
      </c>
      <c r="T8" s="282"/>
      <c r="U8" s="201" t="s">
        <v>3</v>
      </c>
    </row>
    <row r="9" spans="1:21" ht="15.95" customHeight="1">
      <c r="B9" s="195"/>
      <c r="C9" s="55"/>
      <c r="E9" s="48"/>
      <c r="F9" s="279" t="s">
        <v>155</v>
      </c>
      <c r="G9" s="280">
        <f>SUM(G5:G8)</f>
        <v>2142.3481199999997</v>
      </c>
      <c r="H9" s="280">
        <f>SUM(H5:H8)</f>
        <v>1865.82825</v>
      </c>
      <c r="I9" s="48"/>
      <c r="J9" s="201" t="s">
        <v>3</v>
      </c>
      <c r="K9" s="48"/>
      <c r="L9" s="48"/>
      <c r="M9" s="195"/>
      <c r="N9" s="55"/>
      <c r="O9" s="48"/>
      <c r="P9" s="48"/>
      <c r="Q9" s="279" t="s">
        <v>155</v>
      </c>
      <c r="R9" s="280">
        <f>SUM(R5:R8)</f>
        <v>2110.7814749999998</v>
      </c>
      <c r="S9" s="280">
        <f>SUM(S5:S8)</f>
        <v>1833.7958100000001</v>
      </c>
      <c r="T9" s="203"/>
      <c r="U9" s="201" t="s">
        <v>3</v>
      </c>
    </row>
    <row r="10" spans="1:21" ht="15.95" customHeight="1">
      <c r="B10" s="195"/>
      <c r="C10" s="55"/>
      <c r="D10" s="48"/>
      <c r="E10" s="48"/>
      <c r="F10" s="48"/>
      <c r="G10" s="278"/>
      <c r="H10" s="278"/>
      <c r="I10" s="48"/>
      <c r="J10" s="201"/>
      <c r="K10" s="48"/>
      <c r="L10" s="48"/>
      <c r="M10" s="195"/>
      <c r="N10" s="48"/>
      <c r="O10" s="48"/>
      <c r="P10" s="48"/>
      <c r="Q10" s="48"/>
      <c r="R10" s="278"/>
      <c r="S10" s="278"/>
      <c r="T10" s="203"/>
      <c r="U10" s="201"/>
    </row>
    <row r="11" spans="1:21" ht="15.95" customHeight="1">
      <c r="B11" s="200" t="s">
        <v>153</v>
      </c>
      <c r="C11" s="48"/>
      <c r="D11" s="48"/>
      <c r="E11" s="48"/>
      <c r="F11" s="48"/>
      <c r="G11" s="278"/>
      <c r="H11" s="278"/>
      <c r="I11" s="48"/>
      <c r="J11" s="196"/>
      <c r="K11" s="48"/>
      <c r="L11" s="48"/>
      <c r="M11" s="200" t="s">
        <v>153</v>
      </c>
      <c r="N11" s="48"/>
      <c r="O11" s="48"/>
      <c r="P11" s="48"/>
      <c r="Q11" s="48"/>
      <c r="R11" s="278"/>
      <c r="S11" s="278"/>
      <c r="T11" s="48"/>
      <c r="U11" s="196"/>
    </row>
    <row r="12" spans="1:21" ht="15.95" customHeight="1">
      <c r="B12" s="195"/>
      <c r="C12" s="48" t="str">
        <f>"Fall purchased steer: "&amp;G51&amp;" pounds @ $"&amp;G52&amp;"/cwt."</f>
        <v>Fall purchased steer: 590 pounds @ $283.38/cwt.</v>
      </c>
      <c r="D12" s="48"/>
      <c r="E12" s="48"/>
      <c r="F12" s="48"/>
      <c r="G12" s="278">
        <f>G51*G52/100</f>
        <v>1671.942</v>
      </c>
      <c r="H12" s="278"/>
      <c r="I12" s="48"/>
      <c r="J12" s="201" t="s">
        <v>3</v>
      </c>
      <c r="K12" s="48"/>
      <c r="L12" s="48"/>
      <c r="M12" s="195"/>
      <c r="N12" s="48" t="str">
        <f>"Spring purchased steer: "&amp;R50&amp;" pounds @ $"&amp;R51&amp;"/cwt."</f>
        <v>Spring purchased steer: 590 pounds @ $295.02/cwt.</v>
      </c>
      <c r="O12" s="48"/>
      <c r="P12" s="48"/>
      <c r="Q12" s="48"/>
      <c r="R12" s="278">
        <f>R50*R51/100</f>
        <v>1740.6179999999999</v>
      </c>
      <c r="S12" s="278"/>
      <c r="T12" s="48"/>
      <c r="U12" s="201" t="s">
        <v>3</v>
      </c>
    </row>
    <row r="13" spans="1:21" ht="15.95" customHeight="1">
      <c r="B13" s="195"/>
      <c r="C13" s="48" t="str">
        <f>"Fall purchased heifer: "&amp;H51&amp;" pounds @ $"&amp;H52&amp;"/cwt."</f>
        <v>Fall purchased heifer: 550 pounds @ $261.34/cwt.</v>
      </c>
      <c r="D13" s="48"/>
      <c r="E13" s="48"/>
      <c r="F13" s="48"/>
      <c r="G13" s="278"/>
      <c r="H13" s="278">
        <f>H51*H52/100</f>
        <v>1437.37</v>
      </c>
      <c r="I13" s="48"/>
      <c r="J13" s="201" t="s">
        <v>3</v>
      </c>
      <c r="K13" s="48"/>
      <c r="L13" s="48"/>
      <c r="M13" s="195"/>
      <c r="N13" s="48" t="str">
        <f>"Spring purchased heifer: "&amp;S50&amp;" pounds @ $"&amp;S51&amp;"/cwt."</f>
        <v>Spring purchased heifer: 550 pounds @ $272.99/cwt.</v>
      </c>
      <c r="O13" s="48"/>
      <c r="P13" s="48"/>
      <c r="Q13" s="48"/>
      <c r="R13" s="278"/>
      <c r="S13" s="278">
        <f>S50*S51/100</f>
        <v>1501.4449999999999</v>
      </c>
      <c r="T13" s="48"/>
      <c r="U13" s="201" t="s">
        <v>3</v>
      </c>
    </row>
    <row r="14" spans="1:21" ht="15.95" customHeight="1">
      <c r="B14" s="195"/>
      <c r="C14" s="50" t="s">
        <v>96</v>
      </c>
      <c r="D14" s="48"/>
      <c r="E14" s="48"/>
      <c r="F14" s="48"/>
      <c r="G14" s="281">
        <f>($E64*(G51+G53)/2/1000*G64/30)</f>
        <v>0</v>
      </c>
      <c r="H14" s="281">
        <f>($E64*(H51+H53)/2/1000*H64/30)</f>
        <v>0</v>
      </c>
      <c r="I14" s="48"/>
      <c r="J14" s="201" t="s">
        <v>3</v>
      </c>
      <c r="K14" s="48"/>
      <c r="L14" s="48"/>
      <c r="M14" s="195"/>
      <c r="N14" s="50" t="s">
        <v>96</v>
      </c>
      <c r="O14" s="48"/>
      <c r="P14" s="48"/>
      <c r="Q14" s="48"/>
      <c r="R14" s="281">
        <f>($P63*(R50+R52)/2/1000*R63/30)</f>
        <v>47.774999999999999</v>
      </c>
      <c r="S14" s="281">
        <f>($P63*(S50+S52)/2/1000*S63/30)</f>
        <v>44.1</v>
      </c>
      <c r="T14" s="53"/>
      <c r="U14" s="201" t="s">
        <v>3</v>
      </c>
    </row>
    <row r="15" spans="1:21" ht="15.95" customHeight="1">
      <c r="B15" s="195"/>
      <c r="C15" s="50" t="s">
        <v>138</v>
      </c>
      <c r="D15" s="48"/>
      <c r="E15" s="48"/>
      <c r="F15" s="278">
        <f>SUM(G15:G18)</f>
        <v>134.31535714285715</v>
      </c>
      <c r="G15" s="278">
        <f>$E62/2000*G62</f>
        <v>60.547499999999999</v>
      </c>
      <c r="H15" s="278">
        <f>$E62/2000*H62</f>
        <v>60.547499999999999</v>
      </c>
      <c r="I15" s="48"/>
      <c r="J15" s="201" t="s">
        <v>3</v>
      </c>
      <c r="K15" s="48"/>
      <c r="L15" s="48"/>
      <c r="M15" s="195"/>
      <c r="N15" s="50" t="s">
        <v>138</v>
      </c>
      <c r="O15" s="48"/>
      <c r="P15" s="48"/>
      <c r="Q15" s="48"/>
      <c r="R15" s="278">
        <f>$P61/2000*R61</f>
        <v>0</v>
      </c>
      <c r="S15" s="278">
        <f>$P61/2000*S61</f>
        <v>0</v>
      </c>
      <c r="T15" s="282"/>
      <c r="U15" s="201" t="s">
        <v>3</v>
      </c>
    </row>
    <row r="16" spans="1:21" ht="15.95" customHeight="1">
      <c r="B16" s="195"/>
      <c r="C16" s="50" t="s">
        <v>1</v>
      </c>
      <c r="D16" s="48"/>
      <c r="E16" s="48"/>
      <c r="F16" s="282"/>
      <c r="G16" s="278">
        <f>$E61/56*G61</f>
        <v>37.767857142857146</v>
      </c>
      <c r="H16" s="278">
        <f>$E61/56*H61</f>
        <v>37.767857142857146</v>
      </c>
      <c r="I16" s="48"/>
      <c r="J16" s="201" t="s">
        <v>3</v>
      </c>
      <c r="K16" s="48"/>
      <c r="L16" s="48"/>
      <c r="M16" s="195"/>
      <c r="N16" s="50" t="s">
        <v>1</v>
      </c>
      <c r="O16" s="48"/>
      <c r="P16" s="48"/>
      <c r="Q16" s="282"/>
      <c r="R16" s="278">
        <f>$P60/56*R60</f>
        <v>0</v>
      </c>
      <c r="S16" s="278">
        <f>$P60/56*S60</f>
        <v>0</v>
      </c>
      <c r="T16" s="282"/>
      <c r="U16" s="201" t="s">
        <v>3</v>
      </c>
    </row>
    <row r="17" spans="1:21" ht="15.95" customHeight="1">
      <c r="B17" s="195"/>
      <c r="C17" s="50" t="s">
        <v>136</v>
      </c>
      <c r="D17" s="48"/>
      <c r="E17" s="48"/>
      <c r="F17" s="282"/>
      <c r="G17" s="278">
        <f>$E63/2000*G63</f>
        <v>24.3</v>
      </c>
      <c r="H17" s="278">
        <f>$E63/2000*H63</f>
        <v>24.3</v>
      </c>
      <c r="I17" s="48"/>
      <c r="J17" s="201" t="s">
        <v>3</v>
      </c>
      <c r="K17" s="48"/>
      <c r="L17" s="48"/>
      <c r="M17" s="195"/>
      <c r="N17" s="50" t="s">
        <v>136</v>
      </c>
      <c r="O17" s="48"/>
      <c r="P17" s="48"/>
      <c r="Q17" s="278"/>
      <c r="R17" s="278">
        <f>$P62/2000*R62</f>
        <v>47.25</v>
      </c>
      <c r="S17" s="278">
        <f>$P62/2000*S62</f>
        <v>47.25</v>
      </c>
      <c r="T17" s="282"/>
      <c r="U17" s="201" t="s">
        <v>3</v>
      </c>
    </row>
    <row r="18" spans="1:21" ht="15.95" customHeight="1">
      <c r="B18" s="195"/>
      <c r="C18" s="50" t="s">
        <v>114</v>
      </c>
      <c r="D18" s="48"/>
      <c r="E18" s="48"/>
      <c r="F18" s="48"/>
      <c r="G18" s="278">
        <f>$E66/2000*G66+(G65*E65)</f>
        <v>11.7</v>
      </c>
      <c r="H18" s="278">
        <f>$E66/2000*H66+H65*E65</f>
        <v>11.7</v>
      </c>
      <c r="I18" s="48"/>
      <c r="J18" s="201" t="s">
        <v>3</v>
      </c>
      <c r="K18" s="48"/>
      <c r="L18" s="48"/>
      <c r="M18" s="195"/>
      <c r="N18" s="50" t="s">
        <v>113</v>
      </c>
      <c r="O18" s="48"/>
      <c r="P18" s="48"/>
      <c r="Q18" s="282"/>
      <c r="R18" s="278">
        <f>$P65/2000*R65+(R64*P64)</f>
        <v>16.59</v>
      </c>
      <c r="S18" s="278">
        <f>$P65/2000*S65+S64*P64</f>
        <v>16.59</v>
      </c>
      <c r="T18" s="282"/>
      <c r="U18" s="201" t="s">
        <v>3</v>
      </c>
    </row>
    <row r="19" spans="1:21" ht="15.95" customHeight="1">
      <c r="B19" s="195"/>
      <c r="C19" s="50" t="s">
        <v>98</v>
      </c>
      <c r="D19" s="48"/>
      <c r="E19" s="48"/>
      <c r="F19" s="48"/>
      <c r="G19" s="278">
        <f>$E55*G55</f>
        <v>49.5</v>
      </c>
      <c r="H19" s="278">
        <f>$E55*H55</f>
        <v>49.5</v>
      </c>
      <c r="I19" s="48"/>
      <c r="J19" s="201" t="s">
        <v>3</v>
      </c>
      <c r="K19" s="48"/>
      <c r="L19" s="48"/>
      <c r="M19" s="195"/>
      <c r="N19" s="50" t="s">
        <v>98</v>
      </c>
      <c r="O19" s="48"/>
      <c r="P19" s="48"/>
      <c r="Q19" s="48"/>
      <c r="R19" s="278">
        <f>$P54*R54</f>
        <v>29.700000000000003</v>
      </c>
      <c r="S19" s="278">
        <f>$P54*S54</f>
        <v>29.700000000000003</v>
      </c>
      <c r="T19" s="282"/>
      <c r="U19" s="201" t="s">
        <v>3</v>
      </c>
    </row>
    <row r="20" spans="1:21" ht="15.95" customHeight="1">
      <c r="B20" s="195"/>
      <c r="C20" s="50" t="s">
        <v>0</v>
      </c>
      <c r="D20" s="48"/>
      <c r="E20" s="48"/>
      <c r="F20" s="48"/>
      <c r="G20" s="278">
        <f t="shared" ref="G20:H22" si="0">G69</f>
        <v>20</v>
      </c>
      <c r="H20" s="278">
        <f t="shared" si="0"/>
        <v>20</v>
      </c>
      <c r="I20" s="48"/>
      <c r="J20" s="201" t="s">
        <v>3</v>
      </c>
      <c r="K20" s="48"/>
      <c r="L20" s="48"/>
      <c r="M20" s="195"/>
      <c r="N20" s="50" t="s">
        <v>0</v>
      </c>
      <c r="O20" s="48"/>
      <c r="P20" s="48"/>
      <c r="Q20" s="48"/>
      <c r="R20" s="278">
        <f t="shared" ref="R20:S22" si="1">R68</f>
        <v>17</v>
      </c>
      <c r="S20" s="278">
        <f t="shared" si="1"/>
        <v>17</v>
      </c>
      <c r="T20" s="282"/>
      <c r="U20" s="201" t="s">
        <v>3</v>
      </c>
    </row>
    <row r="21" spans="1:21" ht="15.95" customHeight="1">
      <c r="B21" s="195"/>
      <c r="C21" s="50" t="s">
        <v>103</v>
      </c>
      <c r="D21" s="48"/>
      <c r="E21" s="48"/>
      <c r="F21" s="48"/>
      <c r="G21" s="278">
        <f t="shared" si="0"/>
        <v>54.099699999999999</v>
      </c>
      <c r="H21" s="278">
        <f t="shared" si="0"/>
        <v>47.116875</v>
      </c>
      <c r="I21" s="48"/>
      <c r="J21" s="201" t="s">
        <v>3</v>
      </c>
      <c r="K21" s="48"/>
      <c r="L21" s="48"/>
      <c r="M21" s="195"/>
      <c r="N21" s="50" t="s">
        <v>103</v>
      </c>
      <c r="O21" s="48"/>
      <c r="P21" s="48"/>
      <c r="Q21" s="48"/>
      <c r="R21" s="278">
        <f t="shared" si="1"/>
        <v>53.302562500000001</v>
      </c>
      <c r="S21" s="278">
        <f t="shared" si="1"/>
        <v>46.307974999999999</v>
      </c>
      <c r="T21" s="282"/>
      <c r="U21" s="201" t="s">
        <v>3</v>
      </c>
    </row>
    <row r="22" spans="1:21" ht="15.95" customHeight="1">
      <c r="B22" s="195"/>
      <c r="C22" s="283" t="s">
        <v>74</v>
      </c>
      <c r="D22" s="48"/>
      <c r="E22" s="48"/>
      <c r="F22" s="48"/>
      <c r="G22" s="278">
        <f t="shared" si="0"/>
        <v>0</v>
      </c>
      <c r="H22" s="278">
        <f t="shared" si="0"/>
        <v>0</v>
      </c>
      <c r="I22" s="48"/>
      <c r="J22" s="201" t="s">
        <v>3</v>
      </c>
      <c r="K22" s="48"/>
      <c r="L22" s="48"/>
      <c r="M22" s="195"/>
      <c r="N22" s="283" t="s">
        <v>74</v>
      </c>
      <c r="O22" s="48"/>
      <c r="P22" s="48"/>
      <c r="Q22" s="48"/>
      <c r="R22" s="278">
        <f t="shared" si="1"/>
        <v>0</v>
      </c>
      <c r="S22" s="278">
        <f t="shared" si="1"/>
        <v>0</v>
      </c>
      <c r="T22" s="282"/>
      <c r="U22" s="201" t="s">
        <v>3</v>
      </c>
    </row>
    <row r="23" spans="1:21" ht="15.95" customHeight="1">
      <c r="B23" s="195"/>
      <c r="C23" s="283" t="s">
        <v>144</v>
      </c>
      <c r="D23" s="48"/>
      <c r="E23" s="48"/>
      <c r="F23" s="48"/>
      <c r="G23" s="278">
        <f>G72+(H79+H80+H81+H82)/G89</f>
        <v>69.232142857142861</v>
      </c>
      <c r="H23" s="278">
        <f>H72+(H79+H80+H81+H82)/G89</f>
        <v>69.232142857142861</v>
      </c>
      <c r="I23" s="48"/>
      <c r="J23" s="201" t="s">
        <v>3</v>
      </c>
      <c r="K23" s="48"/>
      <c r="L23" s="48"/>
      <c r="M23" s="195"/>
      <c r="N23" s="283" t="s">
        <v>144</v>
      </c>
      <c r="O23" s="48"/>
      <c r="P23" s="48"/>
      <c r="Q23" s="48"/>
      <c r="R23" s="278">
        <f>R71+(S78+S79+S80+S81)/R88</f>
        <v>30.045454545454547</v>
      </c>
      <c r="S23" s="278">
        <f>S71+(S78+S79+S80+S81)/R88</f>
        <v>30.045454545454547</v>
      </c>
      <c r="T23" s="282"/>
      <c r="U23" s="201" t="s">
        <v>3</v>
      </c>
    </row>
    <row r="24" spans="1:21" ht="15.95" customHeight="1">
      <c r="B24" s="195"/>
      <c r="C24" s="50" t="s">
        <v>99</v>
      </c>
      <c r="D24" s="48"/>
      <c r="E24" s="48"/>
      <c r="F24" s="48"/>
      <c r="G24" s="278">
        <f t="shared" ref="G24:H26" si="2">G73</f>
        <v>4</v>
      </c>
      <c r="H24" s="278">
        <f t="shared" si="2"/>
        <v>4</v>
      </c>
      <c r="I24" s="48"/>
      <c r="J24" s="201" t="s">
        <v>3</v>
      </c>
      <c r="K24" s="48"/>
      <c r="L24" s="48"/>
      <c r="M24" s="195"/>
      <c r="N24" s="50" t="s">
        <v>99</v>
      </c>
      <c r="O24" s="48"/>
      <c r="P24" s="48"/>
      <c r="Q24" s="48"/>
      <c r="R24" s="278">
        <f t="shared" ref="R24:S26" si="3">R72</f>
        <v>1</v>
      </c>
      <c r="S24" s="278">
        <f t="shared" si="3"/>
        <v>1</v>
      </c>
      <c r="T24" s="282"/>
      <c r="U24" s="201" t="s">
        <v>3</v>
      </c>
    </row>
    <row r="25" spans="1:21" ht="15.95" customHeight="1">
      <c r="B25" s="195"/>
      <c r="C25" s="50" t="s">
        <v>10</v>
      </c>
      <c r="D25" s="48"/>
      <c r="E25" s="48"/>
      <c r="F25" s="48"/>
      <c r="G25" s="278">
        <f t="shared" si="2"/>
        <v>1</v>
      </c>
      <c r="H25" s="278">
        <f t="shared" si="2"/>
        <v>1</v>
      </c>
      <c r="I25" s="48"/>
      <c r="J25" s="201" t="s">
        <v>3</v>
      </c>
      <c r="K25" s="48"/>
      <c r="L25" s="48"/>
      <c r="M25" s="195"/>
      <c r="N25" s="50" t="s">
        <v>10</v>
      </c>
      <c r="O25" s="48"/>
      <c r="P25" s="48"/>
      <c r="Q25" s="48"/>
      <c r="R25" s="278">
        <f t="shared" si="3"/>
        <v>1</v>
      </c>
      <c r="S25" s="278">
        <f t="shared" si="3"/>
        <v>1</v>
      </c>
      <c r="T25" s="282"/>
      <c r="U25" s="201" t="s">
        <v>3</v>
      </c>
    </row>
    <row r="26" spans="1:21" ht="15.95" customHeight="1">
      <c r="B26" s="195"/>
      <c r="C26" s="283" t="s">
        <v>32</v>
      </c>
      <c r="D26" s="48"/>
      <c r="E26" s="48"/>
      <c r="F26" s="48"/>
      <c r="G26" s="278">
        <f t="shared" si="2"/>
        <v>4</v>
      </c>
      <c r="H26" s="278">
        <f t="shared" si="2"/>
        <v>4</v>
      </c>
      <c r="I26" s="48"/>
      <c r="J26" s="201" t="s">
        <v>3</v>
      </c>
      <c r="K26" s="48"/>
      <c r="L26" s="48"/>
      <c r="M26" s="195"/>
      <c r="N26" s="50" t="s">
        <v>32</v>
      </c>
      <c r="O26" s="48"/>
      <c r="P26" s="48"/>
      <c r="Q26" s="48"/>
      <c r="R26" s="278">
        <f t="shared" si="3"/>
        <v>4</v>
      </c>
      <c r="S26" s="278">
        <f t="shared" si="3"/>
        <v>4</v>
      </c>
      <c r="T26" s="282"/>
      <c r="U26" s="201" t="s">
        <v>3</v>
      </c>
    </row>
    <row r="27" spans="1:21" ht="15.95" customHeight="1">
      <c r="B27" s="195"/>
      <c r="C27" s="50" t="str">
        <f>"Operating interest"</f>
        <v>Operating interest</v>
      </c>
      <c r="D27" s="48"/>
      <c r="E27" s="48"/>
      <c r="F27" s="48"/>
      <c r="G27" s="205">
        <f>((SUM(G14:G26)+G33-G21)/2+G12)*Inputs!$D$14*G48/365</f>
        <v>40.485524992679792</v>
      </c>
      <c r="H27" s="205">
        <f>((SUM(H14:H26)+H33-H21)/2+H13)*Inputs!$D$14*H48/365</f>
        <v>35.248694206399826</v>
      </c>
      <c r="I27" s="48"/>
      <c r="J27" s="201" t="s">
        <v>3</v>
      </c>
      <c r="K27" s="48"/>
      <c r="L27" s="48"/>
      <c r="M27" s="195"/>
      <c r="N27" s="50" t="str">
        <f>"Operating interest"</f>
        <v>Operating interest</v>
      </c>
      <c r="O27" s="48"/>
      <c r="P27" s="48"/>
      <c r="Q27" s="48"/>
      <c r="R27" s="205">
        <f>((SUM(R14:R26)+R33-R21)/2+R12)*Inputs!$D$14*Background!R48/365</f>
        <v>41.028841072499411</v>
      </c>
      <c r="S27" s="205">
        <f>((SUM(S14:S26)+S33-S21)/2+S13)*Inputs!$D$14*Background!S48/365</f>
        <v>35.648396349008408</v>
      </c>
      <c r="T27" s="282"/>
      <c r="U27" s="201" t="s">
        <v>3</v>
      </c>
    </row>
    <row r="28" spans="1:21" ht="15.95" customHeight="1">
      <c r="B28" s="195"/>
      <c r="C28" s="50"/>
      <c r="E28" s="48"/>
      <c r="F28" s="279" t="s">
        <v>158</v>
      </c>
      <c r="G28" s="284">
        <f>SUM(G12:G27)</f>
        <v>2048.5747249926799</v>
      </c>
      <c r="H28" s="284">
        <f>SUM(H12:H27)</f>
        <v>1801.7830692063997</v>
      </c>
      <c r="I28" s="48"/>
      <c r="J28" s="201" t="s">
        <v>3</v>
      </c>
      <c r="K28" s="48"/>
      <c r="L28" s="48"/>
      <c r="M28" s="195"/>
      <c r="N28" s="50"/>
      <c r="P28" s="48"/>
      <c r="Q28" s="279" t="s">
        <v>158</v>
      </c>
      <c r="R28" s="284">
        <f>SUM(R12:R27)</f>
        <v>2029.309858117954</v>
      </c>
      <c r="S28" s="284">
        <f>SUM(S12:S27)</f>
        <v>1774.0868258944627</v>
      </c>
      <c r="T28" s="282"/>
      <c r="U28" s="201" t="s">
        <v>3</v>
      </c>
    </row>
    <row r="29" spans="1:21" ht="15.95" customHeight="1">
      <c r="B29" s="195"/>
      <c r="C29" s="283"/>
      <c r="D29" s="48"/>
      <c r="E29" s="48"/>
      <c r="F29" s="48"/>
      <c r="G29" s="285"/>
      <c r="H29" s="285"/>
      <c r="I29" s="48"/>
      <c r="J29" s="201"/>
      <c r="K29" s="48"/>
      <c r="L29" s="48"/>
      <c r="M29" s="195"/>
      <c r="N29" s="283"/>
      <c r="O29" s="48"/>
      <c r="P29" s="48"/>
      <c r="Q29" s="48"/>
      <c r="R29" s="285"/>
      <c r="S29" s="285"/>
      <c r="T29" s="282"/>
      <c r="U29" s="201"/>
    </row>
    <row r="30" spans="1:21" ht="15.95" customHeight="1">
      <c r="B30" s="200" t="s">
        <v>157</v>
      </c>
      <c r="C30" s="78"/>
      <c r="D30" s="48"/>
      <c r="E30" s="48"/>
      <c r="F30" s="48"/>
      <c r="G30" s="278"/>
      <c r="H30" s="278"/>
      <c r="I30" s="48"/>
      <c r="J30" s="201"/>
      <c r="K30" s="48"/>
      <c r="L30" s="48"/>
      <c r="M30" s="200" t="s">
        <v>157</v>
      </c>
      <c r="N30" s="78"/>
      <c r="O30" s="48"/>
      <c r="P30" s="48"/>
      <c r="Q30" s="48"/>
      <c r="R30" s="278"/>
      <c r="S30" s="278"/>
      <c r="T30" s="203"/>
      <c r="U30" s="201"/>
    </row>
    <row r="31" spans="1:21" ht="15.95" customHeight="1">
      <c r="A31" s="4"/>
      <c r="B31" s="195"/>
      <c r="C31" s="78" t="s">
        <v>100</v>
      </c>
      <c r="D31" s="48"/>
      <c r="E31" s="48"/>
      <c r="F31" s="48"/>
      <c r="G31" s="281">
        <f>(E87*(1-G87)/F87)</f>
        <v>3.8691250000000004</v>
      </c>
      <c r="H31" s="281">
        <f>(E87*(1-G87)/F87)</f>
        <v>3.8691250000000004</v>
      </c>
      <c r="I31" s="48"/>
      <c r="J31" s="201" t="s">
        <v>3</v>
      </c>
      <c r="K31" s="48"/>
      <c r="L31" s="202"/>
      <c r="M31" s="195"/>
      <c r="N31" s="78" t="s">
        <v>100</v>
      </c>
      <c r="O31" s="48"/>
      <c r="P31" s="48"/>
      <c r="Q31" s="48"/>
      <c r="R31" s="281">
        <f>(P86*(1-R86)/Q86)</f>
        <v>0.61555000000000004</v>
      </c>
      <c r="S31" s="281">
        <f>(P86*(1-R86)/Q86)</f>
        <v>0.61555000000000004</v>
      </c>
      <c r="T31" s="290"/>
      <c r="U31" s="201" t="s">
        <v>3</v>
      </c>
    </row>
    <row r="32" spans="1:21" ht="15.95" customHeight="1">
      <c r="A32" s="4"/>
      <c r="B32" s="195"/>
      <c r="C32" s="78" t="s">
        <v>101</v>
      </c>
      <c r="D32" s="48"/>
      <c r="E32" s="48"/>
      <c r="F32" s="48"/>
      <c r="G32" s="285">
        <f>($E$87/2*Inputs!$D$15)</f>
        <v>4.3155624999999995</v>
      </c>
      <c r="H32" s="285">
        <f>($E$87/2*Inputs!$D$15)</f>
        <v>4.3155624999999995</v>
      </c>
      <c r="I32" s="48"/>
      <c r="J32" s="201" t="s">
        <v>3</v>
      </c>
      <c r="K32" s="48"/>
      <c r="L32" s="202"/>
      <c r="M32" s="195"/>
      <c r="N32" s="78" t="s">
        <v>101</v>
      </c>
      <c r="O32" s="48"/>
      <c r="P32" s="48"/>
      <c r="Q32" s="48"/>
      <c r="R32" s="285">
        <f>($P$86/2*Inputs!$D$15)</f>
        <v>0.68657500000000005</v>
      </c>
      <c r="S32" s="285">
        <f>($P$86/2*Inputs!$D$15)</f>
        <v>0.68657500000000005</v>
      </c>
      <c r="T32" s="290"/>
      <c r="U32" s="201" t="s">
        <v>3</v>
      </c>
    </row>
    <row r="33" spans="1:22" ht="15.95" customHeight="1">
      <c r="A33" s="4"/>
      <c r="B33" s="195"/>
      <c r="C33" s="78" t="s">
        <v>102</v>
      </c>
      <c r="D33" s="48"/>
      <c r="E33" s="48"/>
      <c r="F33" s="48"/>
      <c r="G33" s="206">
        <f>($E$87*(Inputs!$D$17+Inputs!$D$16))+((G51*G52/100)+(G53*G54/100))/2*Inputs!$D$19</f>
        <v>5.9496974999999992</v>
      </c>
      <c r="H33" s="206">
        <f>($E$87*(Inputs!$D$17+Inputs!$D$16))+((H51*H52/100)+(H53*H54/100))/2*Inputs!$D$19</f>
        <v>5.3073412500000003</v>
      </c>
      <c r="I33" s="48"/>
      <c r="J33" s="201" t="s">
        <v>3</v>
      </c>
      <c r="K33" s="48"/>
      <c r="L33" s="202"/>
      <c r="M33" s="195"/>
      <c r="N33" s="78" t="s">
        <v>102</v>
      </c>
      <c r="O33" s="48"/>
      <c r="P33" s="48"/>
      <c r="Q33" s="48"/>
      <c r="R33" s="206">
        <f>($P$86*(Inputs!$D$17+Inputs!$D$16))+((R50*R51/100)+(R52*R53/100))/2*Inputs!$D$19</f>
        <v>5.0246186249999996</v>
      </c>
      <c r="S33" s="206">
        <f>($P$86*(Inputs!$D$17+Inputs!$D$16))+((S50*S51/100)+(S52*S53/100))/2*Inputs!$D$19</f>
        <v>4.3759230000000002</v>
      </c>
      <c r="T33" s="290"/>
      <c r="U33" s="201" t="s">
        <v>3</v>
      </c>
    </row>
    <row r="34" spans="1:22" ht="15.95" customHeight="1">
      <c r="B34" s="195"/>
      <c r="C34" s="48"/>
      <c r="E34" s="48"/>
      <c r="F34" s="279" t="s">
        <v>159</v>
      </c>
      <c r="G34" s="280">
        <f>SUM(G31:G33)</f>
        <v>14.134384999999998</v>
      </c>
      <c r="H34" s="280">
        <f>SUM(H31:H33)</f>
        <v>13.492028749999999</v>
      </c>
      <c r="I34" s="48"/>
      <c r="J34" s="201" t="s">
        <v>3</v>
      </c>
      <c r="K34" s="48"/>
      <c r="L34" s="48"/>
      <c r="M34" s="195"/>
      <c r="N34" s="48"/>
      <c r="P34" s="48"/>
      <c r="Q34" s="279" t="s">
        <v>159</v>
      </c>
      <c r="R34" s="280">
        <f>SUM(R31:R33)</f>
        <v>6.3267436249999998</v>
      </c>
      <c r="S34" s="280">
        <f>SUM(S31:S33)</f>
        <v>5.6780480000000004</v>
      </c>
      <c r="T34" s="203"/>
      <c r="U34" s="201" t="s">
        <v>3</v>
      </c>
    </row>
    <row r="35" spans="1:22" ht="15.95" customHeight="1">
      <c r="B35" s="195"/>
      <c r="C35" s="48"/>
      <c r="D35" s="55"/>
      <c r="E35" s="48"/>
      <c r="F35" s="48"/>
      <c r="G35" s="280"/>
      <c r="H35" s="280"/>
      <c r="I35" s="48"/>
      <c r="J35" s="201"/>
      <c r="K35" s="48"/>
      <c r="L35" s="48"/>
      <c r="M35" s="195"/>
      <c r="N35" s="48"/>
      <c r="O35" s="55"/>
      <c r="P35" s="48"/>
      <c r="Q35" s="48"/>
      <c r="R35" s="280"/>
      <c r="S35" s="280"/>
      <c r="T35" s="203"/>
      <c r="U35" s="201"/>
    </row>
    <row r="36" spans="1:22" ht="15.95" customHeight="1">
      <c r="A36" s="7"/>
      <c r="B36" s="207"/>
      <c r="C36" s="50"/>
      <c r="E36" s="50"/>
      <c r="F36" s="55" t="s">
        <v>160</v>
      </c>
      <c r="G36" s="286">
        <f>+G28+G34</f>
        <v>2062.7091099926797</v>
      </c>
      <c r="H36" s="286">
        <f>+H28+H34</f>
        <v>1815.2750979563996</v>
      </c>
      <c r="I36" s="48"/>
      <c r="J36" s="201" t="s">
        <v>3</v>
      </c>
      <c r="K36" s="48"/>
      <c r="L36" s="50"/>
      <c r="M36" s="207"/>
      <c r="N36" s="50"/>
      <c r="P36" s="50"/>
      <c r="Q36" s="55" t="s">
        <v>160</v>
      </c>
      <c r="R36" s="291">
        <f>R28+R34</f>
        <v>2035.6366017429541</v>
      </c>
      <c r="S36" s="291">
        <f>S28+S34</f>
        <v>1779.7648738944627</v>
      </c>
      <c r="T36" s="53"/>
      <c r="U36" s="201" t="s">
        <v>3</v>
      </c>
    </row>
    <row r="37" spans="1:22" ht="15.95" customHeight="1">
      <c r="A37" s="7"/>
      <c r="B37" s="208"/>
      <c r="C37" s="178"/>
      <c r="D37" s="178"/>
      <c r="E37" s="178"/>
      <c r="F37" s="178"/>
      <c r="G37" s="206"/>
      <c r="H37" s="206"/>
      <c r="I37" s="180"/>
      <c r="J37" s="204"/>
      <c r="K37" s="48"/>
      <c r="L37" s="50"/>
      <c r="M37" s="211"/>
      <c r="N37" s="178"/>
      <c r="O37" s="178"/>
      <c r="P37" s="178"/>
      <c r="Q37" s="178"/>
      <c r="R37" s="209"/>
      <c r="S37" s="209"/>
      <c r="T37" s="179"/>
      <c r="U37" s="204"/>
    </row>
    <row r="38" spans="1:22" ht="15.95" customHeight="1">
      <c r="A38" s="7"/>
      <c r="B38" s="210"/>
      <c r="C38" s="287" t="s">
        <v>161</v>
      </c>
      <c r="D38" s="50"/>
      <c r="E38" s="50"/>
      <c r="F38" s="50"/>
      <c r="G38" s="286">
        <f>G9-G28</f>
        <v>93.773395007319778</v>
      </c>
      <c r="H38" s="286">
        <f>H9-H28</f>
        <v>64.045180793600366</v>
      </c>
      <c r="I38" s="48"/>
      <c r="J38" s="201" t="s">
        <v>3</v>
      </c>
      <c r="K38" s="48"/>
      <c r="L38" s="50"/>
      <c r="M38" s="210"/>
      <c r="N38" s="287" t="s">
        <v>161</v>
      </c>
      <c r="O38" s="50"/>
      <c r="P38" s="50"/>
      <c r="Q38" s="50"/>
      <c r="R38" s="291">
        <f>R9-R28</f>
        <v>81.471616882045737</v>
      </c>
      <c r="S38" s="291">
        <f>S9-S28</f>
        <v>59.708984105537411</v>
      </c>
      <c r="T38" s="53"/>
      <c r="U38" s="201" t="s">
        <v>3</v>
      </c>
    </row>
    <row r="39" spans="1:22" ht="15.95" customHeight="1">
      <c r="A39" s="7"/>
      <c r="B39" s="211"/>
      <c r="C39" s="212" t="s">
        <v>111</v>
      </c>
      <c r="D39" s="178"/>
      <c r="E39" s="178"/>
      <c r="F39" s="178"/>
      <c r="G39" s="213">
        <f>G9-G36</f>
        <v>79.639010007319939</v>
      </c>
      <c r="H39" s="213">
        <f>H9-H36</f>
        <v>50.553152043600448</v>
      </c>
      <c r="I39" s="180"/>
      <c r="J39" s="204" t="s">
        <v>3</v>
      </c>
      <c r="K39" s="48"/>
      <c r="L39" s="50"/>
      <c r="M39" s="211"/>
      <c r="N39" s="212" t="s">
        <v>111</v>
      </c>
      <c r="O39" s="178"/>
      <c r="P39" s="178"/>
      <c r="Q39" s="178"/>
      <c r="R39" s="214">
        <f>R9-R36</f>
        <v>75.144873257045674</v>
      </c>
      <c r="S39" s="214">
        <f>S9-S36</f>
        <v>54.030936105537421</v>
      </c>
      <c r="T39" s="179"/>
      <c r="U39" s="204" t="s">
        <v>3</v>
      </c>
    </row>
    <row r="40" spans="1:22" ht="15.95" customHeight="1">
      <c r="A40" s="7"/>
      <c r="B40" s="210"/>
      <c r="C40" s="287"/>
      <c r="D40" s="50"/>
      <c r="E40" s="50"/>
      <c r="F40" s="50"/>
      <c r="G40" s="288"/>
      <c r="H40" s="288"/>
      <c r="I40" s="48"/>
      <c r="J40" s="201"/>
      <c r="K40" s="48"/>
      <c r="L40" s="50"/>
      <c r="M40" s="210"/>
      <c r="N40" s="287"/>
      <c r="O40" s="50"/>
      <c r="P40" s="50"/>
      <c r="Q40" s="50"/>
      <c r="R40" s="292"/>
      <c r="S40" s="292"/>
      <c r="T40" s="53"/>
      <c r="U40" s="201"/>
    </row>
    <row r="41" spans="1:22" ht="15.95" customHeight="1">
      <c r="A41" s="7"/>
      <c r="B41" s="210"/>
      <c r="C41" s="50" t="s">
        <v>167</v>
      </c>
      <c r="D41" s="50"/>
      <c r="E41" s="50"/>
      <c r="F41" s="50"/>
      <c r="G41" s="165">
        <f>(G53*(1-G58)-G51)</f>
        <v>216.85000000000002</v>
      </c>
      <c r="H41" s="165">
        <f>(H53*(1-H58)-H51)</f>
        <v>192.5</v>
      </c>
      <c r="I41" s="53"/>
      <c r="J41" s="201" t="s">
        <v>3</v>
      </c>
      <c r="K41" s="61"/>
      <c r="L41" s="50"/>
      <c r="M41" s="210"/>
      <c r="N41" s="50" t="s">
        <v>167</v>
      </c>
      <c r="O41" s="50"/>
      <c r="P41" s="50"/>
      <c r="Q41" s="50"/>
      <c r="R41" s="165">
        <f>(R52*(1-R57)-R50)</f>
        <v>177.25</v>
      </c>
      <c r="S41" s="165">
        <f>(S52*(1-S57)-S50)</f>
        <v>152.89999999999998</v>
      </c>
      <c r="T41" s="53"/>
      <c r="U41" s="201" t="s">
        <v>3</v>
      </c>
    </row>
    <row r="42" spans="1:22" ht="15.95" customHeight="1">
      <c r="A42" s="7"/>
      <c r="B42" s="210"/>
      <c r="C42" s="50" t="s">
        <v>146</v>
      </c>
      <c r="D42" s="50"/>
      <c r="E42" s="50"/>
      <c r="F42" s="50"/>
      <c r="G42" s="51">
        <f>SUM(G14:G18)/G41</f>
        <v>0.61939293125597017</v>
      </c>
      <c r="H42" s="51">
        <f>SUM(H14:H18)/H41</f>
        <v>0.69774211502782935</v>
      </c>
      <c r="I42" s="289"/>
      <c r="J42" s="201" t="s">
        <v>3</v>
      </c>
      <c r="K42" s="61"/>
      <c r="L42" s="50"/>
      <c r="M42" s="210"/>
      <c r="N42" s="50" t="s">
        <v>146</v>
      </c>
      <c r="O42" s="50"/>
      <c r="P42" s="50"/>
      <c r="Q42" s="50"/>
      <c r="R42" s="51">
        <f>SUM(R14:R18)/R41</f>
        <v>0.62970380818053606</v>
      </c>
      <c r="S42" s="51">
        <f>SUM(S14:S18)/S41</f>
        <v>0.70595160235448018</v>
      </c>
      <c r="T42" s="289"/>
      <c r="U42" s="201" t="s">
        <v>3</v>
      </c>
    </row>
    <row r="43" spans="1:22" ht="15.95" customHeight="1" thickBot="1">
      <c r="A43" s="7"/>
      <c r="B43" s="215"/>
      <c r="C43" s="216" t="s">
        <v>145</v>
      </c>
      <c r="D43" s="216"/>
      <c r="E43" s="216"/>
      <c r="F43" s="216"/>
      <c r="G43" s="217">
        <f>G36/(G53*(1-G58))</f>
        <v>2.5564963871756579</v>
      </c>
      <c r="H43" s="217">
        <f>H36/(H53*(1-H58))</f>
        <v>2.4448149467426257</v>
      </c>
      <c r="I43" s="218"/>
      <c r="J43" s="219" t="s">
        <v>3</v>
      </c>
      <c r="K43" s="48"/>
      <c r="L43" s="50"/>
      <c r="M43" s="215"/>
      <c r="N43" s="216" t="s">
        <v>145</v>
      </c>
      <c r="O43" s="216"/>
      <c r="P43" s="216"/>
      <c r="Q43" s="216"/>
      <c r="R43" s="217">
        <f>R36/(R52*(1-R57))</f>
        <v>2.6531594678956716</v>
      </c>
      <c r="S43" s="217">
        <f>S36/(S52*(1-S57))</f>
        <v>2.5320314040325265</v>
      </c>
      <c r="T43" s="218"/>
      <c r="U43" s="219" t="s">
        <v>3</v>
      </c>
    </row>
    <row r="44" spans="1:22" ht="15.95" customHeight="1">
      <c r="A44" s="7"/>
      <c r="B44" s="47"/>
      <c r="C44" s="47"/>
      <c r="D44" s="47"/>
      <c r="E44" s="47"/>
      <c r="F44" s="47"/>
      <c r="G44" s="47"/>
      <c r="H44" s="47"/>
      <c r="I44" s="47"/>
      <c r="J44" s="47"/>
      <c r="K44" s="61"/>
      <c r="L44" s="50"/>
      <c r="M44" s="47"/>
      <c r="N44" s="47"/>
      <c r="O44" s="47"/>
      <c r="P44" s="47"/>
      <c r="Q44" s="47"/>
      <c r="R44" s="47"/>
      <c r="S44" s="47"/>
      <c r="T44" s="47"/>
      <c r="U44" s="47"/>
    </row>
    <row r="45" spans="1:22" ht="15.95" customHeight="1">
      <c r="B45" s="50"/>
      <c r="C45" s="78"/>
      <c r="D45" s="48"/>
      <c r="E45" s="48"/>
      <c r="F45" s="48"/>
      <c r="G45" s="220"/>
      <c r="H45" s="48"/>
      <c r="I45" s="220"/>
      <c r="J45" s="142">
        <f ca="1">Inputs!D20</f>
        <v>45589.399859143516</v>
      </c>
      <c r="K45" s="220"/>
      <c r="L45" s="48"/>
      <c r="M45" s="50"/>
      <c r="N45" s="78"/>
      <c r="O45" s="48"/>
      <c r="P45" s="48"/>
      <c r="Q45" s="48"/>
      <c r="R45" s="220"/>
      <c r="S45" s="221"/>
      <c r="T45" s="220"/>
      <c r="U45" s="222">
        <f ca="1">Inputs!D20</f>
        <v>45589.399859143516</v>
      </c>
      <c r="V45" s="9"/>
    </row>
    <row r="46" spans="1:22" ht="15.75" customHeight="1">
      <c r="B46" s="89" t="s">
        <v>259</v>
      </c>
      <c r="C46" s="48"/>
      <c r="D46" s="48"/>
      <c r="E46" s="48"/>
      <c r="F46" s="48"/>
      <c r="G46" s="48"/>
      <c r="H46" s="203"/>
      <c r="I46" s="203"/>
      <c r="J46" s="203"/>
      <c r="K46" s="203"/>
      <c r="L46" s="48"/>
      <c r="M46" s="89" t="s">
        <v>260</v>
      </c>
      <c r="N46" s="48"/>
      <c r="O46" s="48"/>
      <c r="P46" s="48"/>
      <c r="Q46" s="48"/>
      <c r="R46" s="48"/>
      <c r="S46" s="203"/>
      <c r="T46" s="3"/>
      <c r="U46" s="3"/>
      <c r="V46" s="3"/>
    </row>
    <row r="47" spans="1:22" ht="15.75" customHeight="1">
      <c r="B47" s="180"/>
      <c r="C47" s="180"/>
      <c r="D47" s="180"/>
      <c r="E47" s="180"/>
      <c r="F47" s="223"/>
      <c r="G47" s="224" t="s">
        <v>68</v>
      </c>
      <c r="H47" s="223" t="s">
        <v>67</v>
      </c>
      <c r="I47" s="224"/>
      <c r="J47" s="180" t="s">
        <v>193</v>
      </c>
      <c r="K47" s="48"/>
      <c r="L47" s="48"/>
      <c r="M47" s="180"/>
      <c r="N47" s="180"/>
      <c r="O47" s="180"/>
      <c r="P47" s="180"/>
      <c r="Q47" s="223"/>
      <c r="R47" s="224" t="s">
        <v>68</v>
      </c>
      <c r="S47" s="223" t="s">
        <v>67</v>
      </c>
      <c r="T47" s="224"/>
      <c r="U47" s="180" t="s">
        <v>193</v>
      </c>
    </row>
    <row r="48" spans="1:22" ht="15.75" customHeight="1">
      <c r="B48" s="48" t="s">
        <v>69</v>
      </c>
      <c r="C48" s="48"/>
      <c r="D48" s="48"/>
      <c r="E48" s="48"/>
      <c r="F48" s="48"/>
      <c r="G48" s="88">
        <v>105</v>
      </c>
      <c r="H48" s="88">
        <v>105</v>
      </c>
      <c r="I48" s="58"/>
      <c r="J48" s="129" t="s">
        <v>22</v>
      </c>
      <c r="K48" s="48"/>
      <c r="L48" s="48"/>
      <c r="M48" s="48" t="s">
        <v>253</v>
      </c>
      <c r="N48" s="48"/>
      <c r="O48" s="48"/>
      <c r="P48" s="48"/>
      <c r="Q48" s="48"/>
      <c r="R48" s="88">
        <v>105</v>
      </c>
      <c r="S48" s="88">
        <v>105</v>
      </c>
      <c r="T48" s="12"/>
      <c r="U48" s="129" t="s">
        <v>22</v>
      </c>
    </row>
    <row r="49" spans="2:22" ht="15.75" customHeight="1">
      <c r="B49" s="48" t="s">
        <v>8</v>
      </c>
      <c r="C49" s="48"/>
      <c r="D49" s="48"/>
      <c r="E49" s="48"/>
      <c r="F49" s="48"/>
      <c r="G49" s="69">
        <f>(G53-G51)/G48</f>
        <v>2.1428571428571428</v>
      </c>
      <c r="H49" s="69">
        <f>(H53-H51)/H48</f>
        <v>1.9047619047619047</v>
      </c>
      <c r="I49" s="69"/>
      <c r="J49" s="129" t="s">
        <v>251</v>
      </c>
      <c r="K49" s="48"/>
      <c r="L49" s="48"/>
      <c r="M49" s="48" t="s">
        <v>8</v>
      </c>
      <c r="N49" s="48"/>
      <c r="O49" s="48"/>
      <c r="P49" s="48"/>
      <c r="Q49" s="48"/>
      <c r="R49" s="69">
        <f>(R52-R50)/R48</f>
        <v>1.7619047619047619</v>
      </c>
      <c r="S49" s="69">
        <f>(S52-S50)/S48</f>
        <v>1.5238095238095237</v>
      </c>
      <c r="T49" s="13"/>
      <c r="U49" s="129" t="s">
        <v>251</v>
      </c>
    </row>
    <row r="50" spans="2:22" ht="15.75" customHeight="1">
      <c r="B50" s="48" t="s">
        <v>70</v>
      </c>
      <c r="C50" s="48"/>
      <c r="D50" s="48"/>
      <c r="E50" s="48"/>
      <c r="F50" s="48"/>
      <c r="G50" s="122">
        <v>8</v>
      </c>
      <c r="H50" s="122">
        <v>9</v>
      </c>
      <c r="I50" s="157"/>
      <c r="J50" s="129" t="s">
        <v>252</v>
      </c>
      <c r="K50" s="48"/>
      <c r="L50" s="48"/>
      <c r="M50" s="48" t="s">
        <v>148</v>
      </c>
      <c r="N50" s="48"/>
      <c r="O50" s="48"/>
      <c r="P50" s="48"/>
      <c r="Q50" s="60"/>
      <c r="R50" s="122">
        <v>590</v>
      </c>
      <c r="S50" s="122">
        <v>550</v>
      </c>
      <c r="T50" s="12"/>
      <c r="U50" s="129" t="s">
        <v>251</v>
      </c>
    </row>
    <row r="51" spans="2:22" ht="15.75" customHeight="1">
      <c r="B51" s="48" t="s">
        <v>248</v>
      </c>
      <c r="C51" s="48"/>
      <c r="D51" s="48"/>
      <c r="E51" s="48"/>
      <c r="F51" s="60"/>
      <c r="G51" s="88">
        <v>590</v>
      </c>
      <c r="H51" s="88">
        <v>550</v>
      </c>
      <c r="I51" s="58"/>
      <c r="J51" s="129" t="s">
        <v>251</v>
      </c>
      <c r="K51" s="48"/>
      <c r="L51" s="48"/>
      <c r="M51" s="48" t="s">
        <v>71</v>
      </c>
      <c r="N51" s="48"/>
      <c r="O51" s="48"/>
      <c r="P51" s="48"/>
      <c r="Q51" s="225"/>
      <c r="R51" s="122">
        <f>'Cow-calf (Fall)'!F56</f>
        <v>295.02</v>
      </c>
      <c r="S51" s="122">
        <f>'Cow-calf (Fall)'!F57</f>
        <v>272.99</v>
      </c>
      <c r="T51" s="14"/>
      <c r="U51" s="186" t="s">
        <v>29</v>
      </c>
    </row>
    <row r="52" spans="2:22" ht="15.75" customHeight="1">
      <c r="B52" s="48" t="s">
        <v>71</v>
      </c>
      <c r="C52" s="48"/>
      <c r="D52" s="48"/>
      <c r="E52" s="48"/>
      <c r="F52" s="225"/>
      <c r="G52" s="323">
        <f>'Cow-calf (Spr)'!F56</f>
        <v>283.38</v>
      </c>
      <c r="H52" s="323">
        <f>'Cow-calf (Spr)'!F57</f>
        <v>261.33999999999997</v>
      </c>
      <c r="I52" s="177"/>
      <c r="J52" s="186" t="s">
        <v>29</v>
      </c>
      <c r="K52" s="48"/>
      <c r="L52" s="48"/>
      <c r="M52" s="71" t="s">
        <v>147</v>
      </c>
      <c r="N52" s="48"/>
      <c r="O52" s="79"/>
      <c r="P52" s="78"/>
      <c r="Q52" s="172"/>
      <c r="R52" s="122">
        <v>775</v>
      </c>
      <c r="S52" s="122">
        <v>710</v>
      </c>
      <c r="T52" s="12"/>
      <c r="U52" s="129" t="s">
        <v>251</v>
      </c>
    </row>
    <row r="53" spans="2:22" ht="15.75" customHeight="1">
      <c r="B53" s="71" t="s">
        <v>249</v>
      </c>
      <c r="C53" s="48"/>
      <c r="D53" s="79"/>
      <c r="E53" s="78"/>
      <c r="F53" s="172"/>
      <c r="G53" s="122">
        <v>815</v>
      </c>
      <c r="H53" s="122">
        <v>750</v>
      </c>
      <c r="I53" s="58"/>
      <c r="J53" s="129" t="s">
        <v>251</v>
      </c>
      <c r="K53" s="48"/>
      <c r="L53" s="48"/>
      <c r="M53" s="71" t="s">
        <v>72</v>
      </c>
      <c r="N53" s="48"/>
      <c r="O53" s="79"/>
      <c r="P53" s="78"/>
      <c r="Q53" s="172"/>
      <c r="R53" s="122">
        <v>275.11</v>
      </c>
      <c r="S53" s="122">
        <v>260.89</v>
      </c>
      <c r="T53" s="14"/>
      <c r="U53" s="186" t="s">
        <v>29</v>
      </c>
    </row>
    <row r="54" spans="2:22" ht="15.75" customHeight="1">
      <c r="B54" s="71" t="s">
        <v>250</v>
      </c>
      <c r="C54" s="48"/>
      <c r="D54" s="79"/>
      <c r="E54" s="78"/>
      <c r="F54" s="172"/>
      <c r="G54" s="122">
        <v>265.52</v>
      </c>
      <c r="H54" s="122">
        <v>251.29</v>
      </c>
      <c r="I54" s="177"/>
      <c r="J54" s="186" t="s">
        <v>29</v>
      </c>
      <c r="K54" s="48"/>
      <c r="L54" s="48"/>
      <c r="M54" s="180" t="s">
        <v>64</v>
      </c>
      <c r="N54" s="180"/>
      <c r="O54" s="180"/>
      <c r="P54" s="226">
        <f>Inputs!$D13</f>
        <v>19.8</v>
      </c>
      <c r="Q54" s="227" t="s">
        <v>65</v>
      </c>
      <c r="R54" s="233">
        <v>1.5</v>
      </c>
      <c r="S54" s="233">
        <v>1.5</v>
      </c>
      <c r="T54" s="16"/>
      <c r="U54" s="186" t="s">
        <v>141</v>
      </c>
    </row>
    <row r="55" spans="2:22" ht="15.75" customHeight="1">
      <c r="B55" s="180" t="s">
        <v>64</v>
      </c>
      <c r="C55" s="180"/>
      <c r="D55" s="180"/>
      <c r="E55" s="226">
        <f>Inputs!$D13</f>
        <v>19.8</v>
      </c>
      <c r="F55" s="227" t="s">
        <v>65</v>
      </c>
      <c r="G55" s="233">
        <v>2.5</v>
      </c>
      <c r="H55" s="233">
        <v>2.5</v>
      </c>
      <c r="I55" s="228"/>
      <c r="J55" s="186" t="s">
        <v>141</v>
      </c>
      <c r="K55" s="48"/>
      <c r="L55" s="48"/>
      <c r="M55" s="48"/>
      <c r="N55" s="71"/>
      <c r="O55" s="71"/>
      <c r="P55" s="79"/>
      <c r="Q55" s="78"/>
      <c r="R55" s="172"/>
      <c r="S55" s="172"/>
      <c r="T55" s="15"/>
      <c r="U55" s="15"/>
    </row>
    <row r="56" spans="2:22" ht="15.75" customHeight="1">
      <c r="B56" s="71"/>
      <c r="C56" s="71"/>
      <c r="D56" s="79"/>
      <c r="E56" s="78"/>
      <c r="F56" s="172"/>
      <c r="G56" s="172"/>
      <c r="H56" s="172"/>
      <c r="I56" s="172"/>
      <c r="J56" s="172"/>
      <c r="K56" s="48"/>
      <c r="L56" s="48"/>
      <c r="M56" s="229" t="s">
        <v>120</v>
      </c>
      <c r="N56" s="180"/>
      <c r="O56" s="180"/>
      <c r="P56" s="180"/>
      <c r="Q56" s="180"/>
      <c r="R56" s="224" t="s">
        <v>68</v>
      </c>
      <c r="S56" s="223" t="s">
        <v>67</v>
      </c>
      <c r="T56" s="224"/>
      <c r="U56" s="180" t="s">
        <v>193</v>
      </c>
    </row>
    <row r="57" spans="2:22" ht="15.75" customHeight="1">
      <c r="B57" s="229" t="s">
        <v>120</v>
      </c>
      <c r="C57" s="180"/>
      <c r="D57" s="180"/>
      <c r="E57" s="180"/>
      <c r="F57" s="180"/>
      <c r="G57" s="224" t="s">
        <v>68</v>
      </c>
      <c r="H57" s="223" t="s">
        <v>67</v>
      </c>
      <c r="I57" s="224"/>
      <c r="J57" s="180" t="s">
        <v>193</v>
      </c>
      <c r="K57" s="48"/>
      <c r="L57" s="48"/>
      <c r="M57" s="48" t="s">
        <v>9</v>
      </c>
      <c r="N57" s="48"/>
      <c r="O57" s="48"/>
      <c r="P57" s="48"/>
      <c r="Q57" s="48"/>
      <c r="R57" s="193">
        <v>0.01</v>
      </c>
      <c r="S57" s="193">
        <v>0.01</v>
      </c>
      <c r="T57" s="18"/>
      <c r="U57" s="186" t="s">
        <v>12</v>
      </c>
    </row>
    <row r="58" spans="2:22" ht="15.75" customHeight="1">
      <c r="B58" s="48" t="s">
        <v>9</v>
      </c>
      <c r="C58" s="48"/>
      <c r="D58" s="48"/>
      <c r="E58" s="48"/>
      <c r="F58" s="48"/>
      <c r="G58" s="193">
        <v>0.01</v>
      </c>
      <c r="H58" s="193">
        <v>0.01</v>
      </c>
      <c r="I58" s="181"/>
      <c r="J58" s="186" t="s">
        <v>12</v>
      </c>
      <c r="K58" s="48"/>
      <c r="L58" s="48"/>
      <c r="M58" s="48" t="s">
        <v>41</v>
      </c>
      <c r="N58" s="48"/>
      <c r="O58" s="48"/>
      <c r="P58" s="48"/>
      <c r="Q58" s="48"/>
      <c r="R58" s="122">
        <v>0</v>
      </c>
      <c r="S58" s="122">
        <v>0</v>
      </c>
      <c r="T58" s="19"/>
      <c r="U58" s="128" t="s">
        <v>245</v>
      </c>
    </row>
    <row r="59" spans="2:22" ht="15.75" customHeight="1">
      <c r="B59" s="48" t="s">
        <v>41</v>
      </c>
      <c r="C59" s="48"/>
      <c r="D59" s="48"/>
      <c r="E59" s="48"/>
      <c r="F59" s="48"/>
      <c r="G59" s="122">
        <v>0</v>
      </c>
      <c r="H59" s="122">
        <v>0</v>
      </c>
      <c r="I59" s="65"/>
      <c r="J59" s="128" t="s">
        <v>245</v>
      </c>
      <c r="K59" s="48"/>
      <c r="L59" s="48"/>
      <c r="M59" s="48" t="s">
        <v>277</v>
      </c>
      <c r="N59" s="48"/>
      <c r="O59" s="61" t="s">
        <v>276</v>
      </c>
      <c r="P59" s="61" t="s">
        <v>192</v>
      </c>
      <c r="Q59" s="89" t="s">
        <v>193</v>
      </c>
      <c r="R59" s="60"/>
      <c r="S59" s="60"/>
      <c r="T59" s="10"/>
      <c r="U59" s="186"/>
    </row>
    <row r="60" spans="2:22" ht="15.75" customHeight="1">
      <c r="B60" s="48" t="s">
        <v>73</v>
      </c>
      <c r="C60" s="48"/>
      <c r="D60" s="61" t="s">
        <v>12</v>
      </c>
      <c r="E60" s="61" t="s">
        <v>192</v>
      </c>
      <c r="F60" s="89" t="s">
        <v>193</v>
      </c>
      <c r="G60" s="60">
        <f>G50*(G53-G51)</f>
        <v>1800</v>
      </c>
      <c r="H60" s="60">
        <f>H50*(H53-H51)</f>
        <v>1800</v>
      </c>
      <c r="I60" s="156"/>
      <c r="J60" s="186" t="s">
        <v>273</v>
      </c>
      <c r="K60" s="48"/>
      <c r="L60" s="48"/>
      <c r="M60" s="48" t="s">
        <v>123</v>
      </c>
      <c r="N60" s="48"/>
      <c r="O60" s="249">
        <v>0</v>
      </c>
      <c r="P60" s="79">
        <f>Inputs!D7</f>
        <v>4.7</v>
      </c>
      <c r="Q60" s="235" t="s">
        <v>54</v>
      </c>
      <c r="R60" s="238">
        <f>$O$60*$R$48</f>
        <v>0</v>
      </c>
      <c r="S60" s="238">
        <f>O60*S48</f>
        <v>0</v>
      </c>
      <c r="T60" s="21"/>
      <c r="U60" s="186" t="s">
        <v>251</v>
      </c>
    </row>
    <row r="61" spans="2:22" ht="15.75" customHeight="1">
      <c r="B61" s="48" t="s">
        <v>123</v>
      </c>
      <c r="C61" s="48"/>
      <c r="D61" s="237">
        <v>0.25</v>
      </c>
      <c r="E61" s="79">
        <f>Inputs!$D7</f>
        <v>4.7</v>
      </c>
      <c r="F61" s="235" t="s">
        <v>54</v>
      </c>
      <c r="G61" s="238">
        <f>D61*$G$60</f>
        <v>450</v>
      </c>
      <c r="H61" s="238">
        <f>D61*$H$60</f>
        <v>450</v>
      </c>
      <c r="I61" s="231"/>
      <c r="J61" s="186" t="s">
        <v>251</v>
      </c>
      <c r="K61" s="48"/>
      <c r="L61" s="48"/>
      <c r="M61" s="48" t="s">
        <v>137</v>
      </c>
      <c r="N61" s="48"/>
      <c r="O61" s="249">
        <v>0</v>
      </c>
      <c r="P61" s="234">
        <f>Inputs!D4</f>
        <v>115</v>
      </c>
      <c r="Q61" s="235" t="s">
        <v>52</v>
      </c>
      <c r="R61" s="238">
        <f>O61*R48</f>
        <v>0</v>
      </c>
      <c r="S61" s="238">
        <f>O61*S48</f>
        <v>0</v>
      </c>
      <c r="T61" s="21"/>
      <c r="U61" s="186" t="s">
        <v>251</v>
      </c>
    </row>
    <row r="62" spans="2:22" ht="15.75" customHeight="1">
      <c r="B62" s="48" t="s">
        <v>137</v>
      </c>
      <c r="C62" s="48"/>
      <c r="D62" s="237">
        <v>0.58499999999999996</v>
      </c>
      <c r="E62" s="234">
        <f>Inputs!D4</f>
        <v>115</v>
      </c>
      <c r="F62" s="235" t="s">
        <v>52</v>
      </c>
      <c r="G62" s="238">
        <f t="shared" ref="G62:G66" si="4">D62*$G$60</f>
        <v>1053</v>
      </c>
      <c r="H62" s="238">
        <f t="shared" ref="H62:H66" si="5">D62*$H$60</f>
        <v>1053</v>
      </c>
      <c r="I62" s="231"/>
      <c r="J62" s="186" t="s">
        <v>251</v>
      </c>
      <c r="K62" s="48"/>
      <c r="L62" s="48"/>
      <c r="M62" s="48" t="s">
        <v>135</v>
      </c>
      <c r="N62" s="48"/>
      <c r="O62" s="249">
        <v>5</v>
      </c>
      <c r="P62" s="234">
        <f>Inputs!$D9</f>
        <v>180</v>
      </c>
      <c r="Q62" s="235" t="s">
        <v>52</v>
      </c>
      <c r="R62" s="238">
        <f>$O$62*$R$48</f>
        <v>525</v>
      </c>
      <c r="S62" s="238">
        <f>O62*S48</f>
        <v>525</v>
      </c>
      <c r="T62" s="21"/>
      <c r="U62" s="186" t="s">
        <v>251</v>
      </c>
    </row>
    <row r="63" spans="2:22" ht="15.75" customHeight="1">
      <c r="B63" s="48" t="s">
        <v>135</v>
      </c>
      <c r="C63" s="48"/>
      <c r="D63" s="237">
        <v>0.15</v>
      </c>
      <c r="E63" s="234">
        <f>Inputs!$D9</f>
        <v>180</v>
      </c>
      <c r="F63" s="235" t="s">
        <v>52</v>
      </c>
      <c r="G63" s="238">
        <f t="shared" si="4"/>
        <v>270</v>
      </c>
      <c r="H63" s="238">
        <f t="shared" si="5"/>
        <v>270</v>
      </c>
      <c r="I63" s="231"/>
      <c r="J63" s="186" t="s">
        <v>251</v>
      </c>
      <c r="K63" s="48"/>
      <c r="L63" s="48"/>
      <c r="M63" s="48" t="s">
        <v>254</v>
      </c>
      <c r="N63" s="48"/>
      <c r="O63" s="250"/>
      <c r="P63" s="234">
        <f>Inputs!$D2</f>
        <v>20</v>
      </c>
      <c r="Q63" s="235" t="s">
        <v>173</v>
      </c>
      <c r="R63" s="238">
        <f>R48</f>
        <v>105</v>
      </c>
      <c r="S63" s="238">
        <f>S48</f>
        <v>105</v>
      </c>
      <c r="T63" s="22"/>
      <c r="U63" s="186" t="s">
        <v>22</v>
      </c>
      <c r="V63" s="5"/>
    </row>
    <row r="64" spans="2:22" ht="15.75" customHeight="1">
      <c r="B64" s="48" t="s">
        <v>255</v>
      </c>
      <c r="C64" s="48"/>
      <c r="D64" s="237">
        <v>0</v>
      </c>
      <c r="E64" s="234">
        <f>Inputs!$D2</f>
        <v>20</v>
      </c>
      <c r="F64" s="235" t="s">
        <v>173</v>
      </c>
      <c r="G64" s="238">
        <f>G48*D64</f>
        <v>0</v>
      </c>
      <c r="H64" s="238">
        <f>H48*D64</f>
        <v>0</v>
      </c>
      <c r="I64" s="22"/>
      <c r="J64" s="186" t="s">
        <v>22</v>
      </c>
      <c r="K64" s="48"/>
      <c r="L64" s="48"/>
      <c r="M64" s="48" t="s">
        <v>124</v>
      </c>
      <c r="N64" s="48"/>
      <c r="O64" s="249">
        <v>0.02</v>
      </c>
      <c r="P64" s="79">
        <f>Inputs!D12/100</f>
        <v>0.1</v>
      </c>
      <c r="Q64" s="236" t="s">
        <v>77</v>
      </c>
      <c r="R64" s="238">
        <f>$O$64*$R$48</f>
        <v>2.1</v>
      </c>
      <c r="S64" s="238">
        <f>$O$64*$S$48</f>
        <v>2.1</v>
      </c>
      <c r="T64" s="20"/>
      <c r="U64" s="186" t="s">
        <v>251</v>
      </c>
    </row>
    <row r="65" spans="2:22" ht="15.75" customHeight="1">
      <c r="B65" s="48" t="s">
        <v>124</v>
      </c>
      <c r="C65" s="48"/>
      <c r="D65" s="237">
        <v>5.0000000000000001E-3</v>
      </c>
      <c r="E65" s="79">
        <f>Inputs!D12/100</f>
        <v>0.1</v>
      </c>
      <c r="F65" s="236" t="s">
        <v>77</v>
      </c>
      <c r="G65" s="238">
        <f t="shared" si="4"/>
        <v>9</v>
      </c>
      <c r="H65" s="238">
        <f t="shared" si="5"/>
        <v>9</v>
      </c>
      <c r="I65" s="81"/>
      <c r="J65" s="186" t="s">
        <v>251</v>
      </c>
      <c r="K65" s="48"/>
      <c r="L65" s="48"/>
      <c r="M65" s="48" t="s">
        <v>256</v>
      </c>
      <c r="N65" s="48"/>
      <c r="O65" s="249">
        <v>0.26</v>
      </c>
      <c r="P65" s="234">
        <f>Inputs!D10</f>
        <v>1200</v>
      </c>
      <c r="Q65" s="235" t="s">
        <v>52</v>
      </c>
      <c r="R65" s="238">
        <f>$O$65*$R$48</f>
        <v>27.3</v>
      </c>
      <c r="S65" s="238">
        <f>$O$65*$S$48</f>
        <v>27.3</v>
      </c>
      <c r="T65" s="22"/>
      <c r="U65" s="186" t="s">
        <v>251</v>
      </c>
    </row>
    <row r="66" spans="2:22" ht="15.75" customHeight="1">
      <c r="B66" s="48" t="s">
        <v>256</v>
      </c>
      <c r="C66" s="48"/>
      <c r="D66" s="237">
        <v>0.01</v>
      </c>
      <c r="E66" s="234">
        <f>Inputs!D10</f>
        <v>1200</v>
      </c>
      <c r="F66" s="235" t="s">
        <v>52</v>
      </c>
      <c r="G66" s="238">
        <f t="shared" si="4"/>
        <v>18</v>
      </c>
      <c r="H66" s="238">
        <f t="shared" si="5"/>
        <v>18</v>
      </c>
      <c r="I66" s="156"/>
      <c r="J66" s="186" t="s">
        <v>251</v>
      </c>
      <c r="K66" s="48"/>
      <c r="L66" s="48"/>
      <c r="M66" s="48"/>
      <c r="N66" s="83" t="s">
        <v>2</v>
      </c>
      <c r="O66" s="248">
        <f>O60+O61+O62+O64+O65</f>
        <v>5.2799999999999994</v>
      </c>
      <c r="P66" s="230"/>
      <c r="Q66" s="230"/>
      <c r="R66" s="59"/>
      <c r="S66" s="59"/>
      <c r="T66" s="22"/>
      <c r="U66" s="186"/>
    </row>
    <row r="67" spans="2:22" ht="15.75" customHeight="1">
      <c r="B67" s="48"/>
      <c r="C67" s="83" t="s">
        <v>2</v>
      </c>
      <c r="D67" s="230">
        <f>SUM(D61:D66)</f>
        <v>1</v>
      </c>
      <c r="E67" s="230"/>
      <c r="F67" s="230"/>
      <c r="G67" s="10"/>
      <c r="K67" s="48"/>
      <c r="L67" s="48"/>
      <c r="M67" s="48"/>
      <c r="N67" s="83"/>
      <c r="O67" s="230"/>
      <c r="P67" s="230"/>
      <c r="Q67" s="230"/>
      <c r="R67" s="184"/>
      <c r="S67" s="184"/>
      <c r="T67" s="22"/>
    </row>
    <row r="68" spans="2:22" ht="15.75" customHeight="1">
      <c r="B68" s="48"/>
      <c r="C68" s="83"/>
      <c r="D68" s="230"/>
      <c r="E68" s="230"/>
      <c r="F68" s="230"/>
      <c r="G68" s="184"/>
      <c r="H68" s="184"/>
      <c r="I68" s="156"/>
      <c r="J68" s="48"/>
      <c r="K68" s="48"/>
      <c r="L68" s="48"/>
      <c r="M68" s="48" t="s">
        <v>122</v>
      </c>
      <c r="N68" s="48"/>
      <c r="O68" s="48"/>
      <c r="P68" s="48"/>
      <c r="Q68" s="48"/>
      <c r="R68" s="122">
        <v>17</v>
      </c>
      <c r="S68" s="122">
        <v>17</v>
      </c>
      <c r="T68" s="19"/>
      <c r="U68" s="128" t="s">
        <v>245</v>
      </c>
    </row>
    <row r="69" spans="2:22" ht="15.75" customHeight="1">
      <c r="B69" s="48" t="s">
        <v>122</v>
      </c>
      <c r="C69" s="48"/>
      <c r="D69" s="48"/>
      <c r="E69" s="48"/>
      <c r="F69" s="48"/>
      <c r="G69" s="122">
        <v>20</v>
      </c>
      <c r="H69" s="122">
        <v>20</v>
      </c>
      <c r="I69" s="65"/>
      <c r="J69" s="128" t="s">
        <v>245</v>
      </c>
      <c r="K69" s="48"/>
      <c r="L69" s="48"/>
      <c r="M69" s="48" t="s">
        <v>223</v>
      </c>
      <c r="N69" s="48"/>
      <c r="O69" s="48"/>
      <c r="P69" s="130" t="s">
        <v>224</v>
      </c>
      <c r="Q69" s="127">
        <v>2.5000000000000001E-2</v>
      </c>
      <c r="R69" s="232">
        <f>(R5)*Q69</f>
        <v>53.302562500000001</v>
      </c>
      <c r="S69" s="232">
        <f>(S6)*Q69</f>
        <v>46.307974999999999</v>
      </c>
      <c r="T69" s="19"/>
      <c r="U69" s="128" t="s">
        <v>245</v>
      </c>
    </row>
    <row r="70" spans="2:22" ht="15.75" customHeight="1">
      <c r="B70" s="48" t="s">
        <v>223</v>
      </c>
      <c r="C70" s="48"/>
      <c r="D70" s="48"/>
      <c r="E70" s="130" t="s">
        <v>224</v>
      </c>
      <c r="F70" s="127">
        <v>2.5000000000000001E-2</v>
      </c>
      <c r="G70" s="232">
        <f>(G5)*$F70</f>
        <v>54.099699999999999</v>
      </c>
      <c r="H70" s="232">
        <f>(H6)*$F70</f>
        <v>47.116875</v>
      </c>
      <c r="I70" s="65"/>
      <c r="J70" s="128" t="s">
        <v>245</v>
      </c>
      <c r="K70" s="48"/>
      <c r="L70" s="48"/>
      <c r="M70" s="48" t="s">
        <v>74</v>
      </c>
      <c r="N70" s="48"/>
      <c r="O70" s="48"/>
      <c r="P70" s="48"/>
      <c r="Q70" s="48"/>
      <c r="R70" s="122">
        <v>0</v>
      </c>
      <c r="S70" s="122">
        <v>0</v>
      </c>
      <c r="T70" s="19"/>
      <c r="U70" s="128" t="s">
        <v>245</v>
      </c>
    </row>
    <row r="71" spans="2:22" ht="15.75" customHeight="1">
      <c r="B71" s="48" t="s">
        <v>74</v>
      </c>
      <c r="C71" s="48"/>
      <c r="D71" s="48"/>
      <c r="E71" s="48"/>
      <c r="F71" s="48"/>
      <c r="G71" s="122">
        <v>0</v>
      </c>
      <c r="H71" s="122">
        <v>0</v>
      </c>
      <c r="I71" s="65"/>
      <c r="J71" s="128" t="s">
        <v>245</v>
      </c>
      <c r="K71" s="48"/>
      <c r="L71" s="48"/>
      <c r="M71" s="48" t="s">
        <v>181</v>
      </c>
      <c r="N71" s="48"/>
      <c r="O71" s="48"/>
      <c r="P71" s="48"/>
      <c r="Q71" s="48"/>
      <c r="R71" s="122">
        <v>3</v>
      </c>
      <c r="S71" s="122">
        <v>3</v>
      </c>
      <c r="T71" s="19"/>
      <c r="U71" s="128" t="s">
        <v>245</v>
      </c>
    </row>
    <row r="72" spans="2:22" ht="15.75" customHeight="1">
      <c r="B72" s="48" t="s">
        <v>181</v>
      </c>
      <c r="C72" s="48"/>
      <c r="D72" s="48"/>
      <c r="E72" s="48"/>
      <c r="F72" s="48"/>
      <c r="G72" s="122">
        <v>3</v>
      </c>
      <c r="H72" s="122">
        <v>3</v>
      </c>
      <c r="I72" s="65"/>
      <c r="J72" s="128" t="s">
        <v>245</v>
      </c>
      <c r="K72" s="48"/>
      <c r="L72" s="48"/>
      <c r="M72" s="48" t="s">
        <v>246</v>
      </c>
      <c r="N72" s="48"/>
      <c r="O72" s="48"/>
      <c r="P72" s="48"/>
      <c r="Q72" s="48"/>
      <c r="R72" s="122">
        <v>1</v>
      </c>
      <c r="S72" s="122">
        <v>1</v>
      </c>
      <c r="T72" s="19"/>
      <c r="U72" s="128" t="s">
        <v>245</v>
      </c>
    </row>
    <row r="73" spans="2:22" ht="15.75" customHeight="1">
      <c r="B73" s="48" t="s">
        <v>246</v>
      </c>
      <c r="C73" s="48"/>
      <c r="D73" s="48"/>
      <c r="E73" s="48"/>
      <c r="F73" s="48"/>
      <c r="G73" s="122">
        <v>4</v>
      </c>
      <c r="H73" s="122">
        <v>4</v>
      </c>
      <c r="I73" s="65"/>
      <c r="J73" s="128" t="s">
        <v>245</v>
      </c>
      <c r="K73" s="48"/>
      <c r="L73" s="48"/>
      <c r="M73" s="48" t="s">
        <v>10</v>
      </c>
      <c r="N73" s="48"/>
      <c r="O73" s="48"/>
      <c r="P73" s="48"/>
      <c r="Q73" s="48"/>
      <c r="R73" s="122">
        <v>1</v>
      </c>
      <c r="S73" s="122">
        <v>1</v>
      </c>
      <c r="T73" s="19"/>
      <c r="U73" s="128" t="s">
        <v>245</v>
      </c>
    </row>
    <row r="74" spans="2:22" ht="15.75" customHeight="1">
      <c r="B74" s="48" t="s">
        <v>10</v>
      </c>
      <c r="C74" s="48"/>
      <c r="D74" s="48"/>
      <c r="E74" s="48"/>
      <c r="F74" s="48"/>
      <c r="G74" s="122">
        <v>1</v>
      </c>
      <c r="H74" s="122">
        <v>1</v>
      </c>
      <c r="I74" s="65"/>
      <c r="J74" s="128" t="s">
        <v>245</v>
      </c>
      <c r="K74" s="48"/>
      <c r="L74" s="48"/>
      <c r="M74" s="48" t="s">
        <v>32</v>
      </c>
      <c r="N74" s="48"/>
      <c r="O74" s="48"/>
      <c r="P74" s="48"/>
      <c r="Q74" s="48"/>
      <c r="R74" s="122">
        <v>4</v>
      </c>
      <c r="S74" s="122">
        <v>4</v>
      </c>
      <c r="T74" s="19"/>
      <c r="U74" s="128" t="s">
        <v>245</v>
      </c>
    </row>
    <row r="75" spans="2:22" ht="15.75" customHeight="1">
      <c r="B75" s="48" t="s">
        <v>32</v>
      </c>
      <c r="C75" s="48"/>
      <c r="D75" s="48"/>
      <c r="E75" s="48"/>
      <c r="F75" s="48"/>
      <c r="G75" s="122">
        <v>4</v>
      </c>
      <c r="H75" s="122">
        <v>4</v>
      </c>
      <c r="I75" s="65"/>
      <c r="J75" s="128" t="s">
        <v>245</v>
      </c>
      <c r="K75" s="48"/>
      <c r="L75" s="48"/>
      <c r="M75" s="48"/>
      <c r="N75" s="48"/>
      <c r="O75" s="48"/>
      <c r="P75" s="48"/>
      <c r="Q75" s="48"/>
      <c r="R75" s="48"/>
      <c r="S75" s="81"/>
    </row>
    <row r="76" spans="2:22" ht="15.75" customHeight="1">
      <c r="B76" s="48"/>
      <c r="C76" s="48"/>
      <c r="D76" s="48"/>
      <c r="E76" s="48"/>
      <c r="F76" s="48"/>
      <c r="G76" s="48"/>
      <c r="H76" s="81"/>
      <c r="I76" s="48"/>
      <c r="J76" s="48"/>
      <c r="K76" s="48"/>
      <c r="L76" s="48"/>
      <c r="M76" s="167" t="s">
        <v>127</v>
      </c>
      <c r="N76" s="50"/>
      <c r="O76" s="50"/>
      <c r="P76" s="50"/>
      <c r="Q76" s="50"/>
      <c r="R76" s="50"/>
      <c r="S76" s="50"/>
      <c r="T76" s="3"/>
      <c r="U76" s="3"/>
    </row>
    <row r="77" spans="2:22" ht="15.75" customHeight="1">
      <c r="B77" s="167" t="s">
        <v>127</v>
      </c>
      <c r="C77" s="50"/>
      <c r="D77" s="50"/>
      <c r="E77" s="50"/>
      <c r="F77" s="50"/>
      <c r="G77" s="50"/>
      <c r="H77" s="50"/>
      <c r="I77" s="203"/>
      <c r="J77" s="203"/>
      <c r="K77" s="203"/>
      <c r="L77" s="48"/>
      <c r="M77" s="50"/>
      <c r="N77" s="56" t="s">
        <v>185</v>
      </c>
      <c r="O77" s="52" t="s">
        <v>229</v>
      </c>
      <c r="P77" s="52" t="s">
        <v>228</v>
      </c>
      <c r="Q77" s="52" t="s">
        <v>231</v>
      </c>
      <c r="R77" s="52" t="s">
        <v>141</v>
      </c>
      <c r="S77" s="52" t="s">
        <v>82</v>
      </c>
      <c r="T77" s="3"/>
      <c r="U77" s="3"/>
      <c r="V77" s="3"/>
    </row>
    <row r="78" spans="2:22" ht="15.75" customHeight="1">
      <c r="B78" s="50"/>
      <c r="C78" s="56" t="s">
        <v>185</v>
      </c>
      <c r="D78" s="52" t="s">
        <v>229</v>
      </c>
      <c r="E78" s="52" t="s">
        <v>228</v>
      </c>
      <c r="F78" s="52" t="s">
        <v>231</v>
      </c>
      <c r="G78" s="52" t="s">
        <v>141</v>
      </c>
      <c r="H78" s="52" t="s">
        <v>82</v>
      </c>
      <c r="I78" s="203"/>
      <c r="J78" s="203"/>
      <c r="K78" s="203"/>
      <c r="L78" s="48"/>
      <c r="M78" s="50"/>
      <c r="N78" s="122" t="s">
        <v>81</v>
      </c>
      <c r="O78" s="122">
        <v>53.67</v>
      </c>
      <c r="P78" s="86">
        <v>0.5</v>
      </c>
      <c r="Q78" s="86">
        <v>0</v>
      </c>
      <c r="R78" s="50">
        <f>P78*Q78</f>
        <v>0</v>
      </c>
      <c r="S78" s="59">
        <f>O78*R78</f>
        <v>0</v>
      </c>
      <c r="T78" s="3"/>
      <c r="U78" s="3"/>
      <c r="V78" s="3"/>
    </row>
    <row r="79" spans="2:22" ht="15.75" customHeight="1">
      <c r="B79" s="50"/>
      <c r="C79" s="122" t="s">
        <v>81</v>
      </c>
      <c r="D79" s="122">
        <v>53.67</v>
      </c>
      <c r="E79" s="86">
        <v>0.5</v>
      </c>
      <c r="F79" s="86">
        <v>50</v>
      </c>
      <c r="G79" s="50">
        <f>E79*F79</f>
        <v>25</v>
      </c>
      <c r="H79" s="51">
        <f>D79*G79</f>
        <v>1341.75</v>
      </c>
      <c r="I79" s="203"/>
      <c r="J79" s="203"/>
      <c r="K79" s="203"/>
      <c r="L79" s="48"/>
      <c r="M79" s="50"/>
      <c r="N79" s="122" t="s">
        <v>80</v>
      </c>
      <c r="O79" s="122">
        <v>40</v>
      </c>
      <c r="P79" s="86">
        <v>0.5</v>
      </c>
      <c r="Q79" s="86">
        <v>20</v>
      </c>
      <c r="R79" s="50">
        <f t="shared" ref="R79:R81" si="6">P79*Q79</f>
        <v>10</v>
      </c>
      <c r="S79" s="59">
        <f t="shared" ref="S79:S81" si="7">O79*R79</f>
        <v>400</v>
      </c>
      <c r="T79" s="3"/>
      <c r="U79" s="3"/>
      <c r="V79" s="3"/>
    </row>
    <row r="80" spans="2:22" ht="15.75" customHeight="1">
      <c r="B80" s="50"/>
      <c r="C80" s="122" t="s">
        <v>80</v>
      </c>
      <c r="D80" s="122">
        <v>40</v>
      </c>
      <c r="E80" s="86">
        <v>0.5</v>
      </c>
      <c r="F80" s="86">
        <v>40</v>
      </c>
      <c r="G80" s="50">
        <f t="shared" ref="G80:G82" si="8">E80*F80</f>
        <v>20</v>
      </c>
      <c r="H80" s="51">
        <f t="shared" ref="H80:H82" si="9">D80*G80</f>
        <v>800</v>
      </c>
      <c r="I80" s="203"/>
      <c r="J80" s="203"/>
      <c r="K80" s="203"/>
      <c r="L80" s="48"/>
      <c r="M80" s="50"/>
      <c r="N80" s="122" t="s">
        <v>83</v>
      </c>
      <c r="O80" s="122">
        <v>20</v>
      </c>
      <c r="P80" s="86">
        <v>4</v>
      </c>
      <c r="Q80" s="86">
        <v>2</v>
      </c>
      <c r="R80" s="50">
        <f t="shared" si="6"/>
        <v>8</v>
      </c>
      <c r="S80" s="59">
        <f t="shared" si="7"/>
        <v>160</v>
      </c>
      <c r="T80" s="3"/>
      <c r="U80" s="3"/>
      <c r="V80" s="3"/>
    </row>
    <row r="81" spans="2:22" ht="15.75" customHeight="1">
      <c r="B81" s="50"/>
      <c r="C81" s="122" t="s">
        <v>83</v>
      </c>
      <c r="D81" s="122">
        <v>20</v>
      </c>
      <c r="E81" s="86">
        <v>4</v>
      </c>
      <c r="F81" s="86">
        <v>2</v>
      </c>
      <c r="G81" s="50">
        <f t="shared" si="8"/>
        <v>8</v>
      </c>
      <c r="H81" s="51">
        <f t="shared" si="9"/>
        <v>160</v>
      </c>
      <c r="I81" s="203"/>
      <c r="J81" s="203"/>
      <c r="K81" s="203"/>
      <c r="L81" s="48"/>
      <c r="M81" s="50"/>
      <c r="N81" s="122" t="s">
        <v>109</v>
      </c>
      <c r="O81" s="122">
        <v>12</v>
      </c>
      <c r="P81" s="86">
        <v>0.5</v>
      </c>
      <c r="Q81" s="86">
        <v>105</v>
      </c>
      <c r="R81" s="50">
        <f t="shared" si="6"/>
        <v>52.5</v>
      </c>
      <c r="S81" s="59">
        <f t="shared" si="7"/>
        <v>630</v>
      </c>
      <c r="T81" s="3"/>
      <c r="U81" s="3"/>
      <c r="V81" s="3"/>
    </row>
    <row r="82" spans="2:22" ht="15.75" customHeight="1">
      <c r="B82" s="50"/>
      <c r="C82" s="122" t="s">
        <v>109</v>
      </c>
      <c r="D82" s="122">
        <v>12</v>
      </c>
      <c r="E82" s="86">
        <v>1</v>
      </c>
      <c r="F82" s="86">
        <v>40</v>
      </c>
      <c r="G82" s="50">
        <f t="shared" si="8"/>
        <v>40</v>
      </c>
      <c r="H82" s="51">
        <f t="shared" si="9"/>
        <v>480</v>
      </c>
      <c r="I82" s="203"/>
      <c r="J82" s="203"/>
      <c r="K82" s="203"/>
      <c r="L82" s="48"/>
      <c r="M82" s="50"/>
      <c r="N82" s="48"/>
      <c r="O82" s="48"/>
      <c r="P82" s="48"/>
      <c r="Q82" s="48"/>
      <c r="R82" s="83" t="s">
        <v>2</v>
      </c>
      <c r="S82" s="59">
        <f>SUM(S78:S81)</f>
        <v>1190</v>
      </c>
      <c r="T82" s="3"/>
      <c r="U82" s="3"/>
      <c r="V82" s="3"/>
    </row>
    <row r="83" spans="2:22" ht="15.75" customHeight="1">
      <c r="B83" s="50"/>
      <c r="C83" s="48"/>
      <c r="D83" s="48"/>
      <c r="E83" s="48"/>
      <c r="F83" s="48"/>
      <c r="G83" s="83" t="s">
        <v>2</v>
      </c>
      <c r="H83" s="51">
        <f>SUM(H79:H82)</f>
        <v>2781.75</v>
      </c>
      <c r="I83" s="203"/>
      <c r="J83" s="203"/>
      <c r="K83" s="203"/>
      <c r="L83" s="48"/>
    </row>
    <row r="84" spans="2:22" ht="15.75" customHeight="1">
      <c r="M84" s="71"/>
      <c r="N84" s="71"/>
      <c r="O84" s="48"/>
      <c r="P84" s="85" t="s">
        <v>58</v>
      </c>
      <c r="Q84" s="85" t="s">
        <v>4</v>
      </c>
      <c r="R84" s="85" t="s">
        <v>59</v>
      </c>
    </row>
    <row r="85" spans="2:22" ht="15.75" customHeight="1">
      <c r="B85" s="71"/>
      <c r="C85" s="71"/>
      <c r="D85" s="48"/>
      <c r="E85" s="85" t="s">
        <v>58</v>
      </c>
      <c r="F85" s="85" t="s">
        <v>4</v>
      </c>
      <c r="G85" s="85" t="s">
        <v>59</v>
      </c>
      <c r="I85" s="46"/>
      <c r="J85" s="46"/>
      <c r="K85" s="46"/>
      <c r="L85" s="48"/>
      <c r="M85" s="71"/>
      <c r="N85" s="71"/>
      <c r="O85" s="48"/>
      <c r="P85" s="191" t="s">
        <v>60</v>
      </c>
      <c r="Q85" s="191" t="s">
        <v>61</v>
      </c>
      <c r="R85" s="191" t="s">
        <v>62</v>
      </c>
    </row>
    <row r="86" spans="2:22" ht="15.75" customHeight="1">
      <c r="B86" s="71"/>
      <c r="C86" s="71"/>
      <c r="D86" s="48"/>
      <c r="E86" s="191" t="s">
        <v>60</v>
      </c>
      <c r="F86" s="191" t="s">
        <v>61</v>
      </c>
      <c r="G86" s="191" t="s">
        <v>62</v>
      </c>
      <c r="I86" s="46"/>
      <c r="J86" s="46"/>
      <c r="K86" s="46"/>
      <c r="L86" s="48"/>
      <c r="M86" s="71" t="s">
        <v>89</v>
      </c>
      <c r="N86" s="71"/>
      <c r="O86" s="48"/>
      <c r="P86" s="189">
        <v>18.940000000000001</v>
      </c>
      <c r="Q86" s="190">
        <v>20</v>
      </c>
      <c r="R86" s="87">
        <v>0.35</v>
      </c>
    </row>
    <row r="87" spans="2:22" ht="15.75" customHeight="1">
      <c r="B87" s="71" t="s">
        <v>89</v>
      </c>
      <c r="C87" s="71"/>
      <c r="D87" s="48"/>
      <c r="E87" s="189">
        <v>119.05</v>
      </c>
      <c r="F87" s="190">
        <v>20</v>
      </c>
      <c r="G87" s="87">
        <v>0.35</v>
      </c>
      <c r="H87" s="46"/>
      <c r="I87" s="46"/>
      <c r="J87" s="46"/>
      <c r="K87" s="46"/>
      <c r="L87" s="48"/>
      <c r="M87" s="46"/>
      <c r="N87" s="46"/>
      <c r="O87" s="46"/>
      <c r="P87" s="46"/>
      <c r="Q87" s="46"/>
      <c r="R87" s="46"/>
    </row>
    <row r="88" spans="2:22" ht="15.75" customHeight="1"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8" t="s">
        <v>90</v>
      </c>
      <c r="N88" s="48"/>
      <c r="O88" s="48"/>
      <c r="P88" s="48"/>
      <c r="Q88" s="48"/>
      <c r="R88" s="86">
        <v>44</v>
      </c>
    </row>
    <row r="89" spans="2:22" ht="15.75" customHeight="1">
      <c r="B89" s="48" t="s">
        <v>91</v>
      </c>
      <c r="C89" s="48"/>
      <c r="D89" s="48"/>
      <c r="E89" s="48"/>
      <c r="F89" s="48"/>
      <c r="G89" s="86">
        <v>42</v>
      </c>
      <c r="H89" s="48"/>
      <c r="I89" s="203"/>
      <c r="J89" s="48"/>
      <c r="K89" s="48"/>
      <c r="L89" s="48"/>
    </row>
  </sheetData>
  <sheetProtection sheet="1" objects="1" scenarios="1"/>
  <mergeCells count="2">
    <mergeCell ref="B1:J1"/>
    <mergeCell ref="M1:U1"/>
  </mergeCells>
  <phoneticPr fontId="0" type="noConversion"/>
  <pageMargins left="0.75" right="0.75" top="0.75" bottom="0.5" header="0" footer="0"/>
  <pageSetup scale="93" orientation="portrait" r:id="rId1"/>
  <headerFooter alignWithMargins="0"/>
  <colBreaks count="2" manualBreakCount="2">
    <brk id="10" max="90" man="1"/>
    <brk id="21" max="89" man="1"/>
  </colBreaks>
  <ignoredErrors>
    <ignoredError sqref="H23" formula="1"/>
    <ignoredError sqref="D67 G70:H70 R69:S69 G61:G63 H61 H62:H63 G65:G66 H65:H66 G52:H52 R51:S51" unlockedFormula="1"/>
    <ignoredError sqref="R63:S63 G64:H64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226DF-2E6B-4779-AC3D-0114D4D476A5}">
  <dimension ref="A1:N86"/>
  <sheetViews>
    <sheetView topLeftCell="A14" zoomScaleNormal="100" workbookViewId="0">
      <selection activeCell="H82" sqref="H82"/>
    </sheetView>
  </sheetViews>
  <sheetFormatPr defaultColWidth="0" defaultRowHeight="15" zeroHeight="1"/>
  <cols>
    <col min="1" max="1" width="2.77734375" style="352" customWidth="1"/>
    <col min="2" max="2" width="2.6640625" style="352" customWidth="1"/>
    <col min="3" max="4" width="15.77734375" style="352" customWidth="1"/>
    <col min="5" max="5" width="10.21875" style="352" customWidth="1"/>
    <col min="6" max="6" width="8.6640625" style="352" bestFit="1" customWidth="1"/>
    <col min="7" max="7" width="12.21875" style="352" bestFit="1" customWidth="1"/>
    <col min="8" max="8" width="10.33203125" style="352" bestFit="1" customWidth="1"/>
    <col min="9" max="9" width="2.77734375" style="352" customWidth="1"/>
    <col min="10" max="10" width="8.88671875" hidden="1" customWidth="1"/>
    <col min="11" max="11" width="9" hidden="1" customWidth="1"/>
    <col min="12" max="14" width="0" hidden="1" customWidth="1"/>
    <col min="15" max="16384" width="8.88671875" hidden="1"/>
  </cols>
  <sheetData>
    <row r="1" spans="1:13" ht="20.100000000000001" customHeight="1">
      <c r="A1" s="324"/>
      <c r="B1" s="325" t="s">
        <v>188</v>
      </c>
      <c r="C1" s="326"/>
      <c r="D1" s="326"/>
      <c r="E1" s="326"/>
      <c r="F1" s="326"/>
      <c r="G1" s="326"/>
      <c r="H1" s="327"/>
      <c r="I1" s="328"/>
      <c r="J1" s="2"/>
      <c r="K1" s="2"/>
      <c r="L1" s="2"/>
    </row>
    <row r="2" spans="1:13" ht="20.100000000000001" customHeight="1">
      <c r="A2" s="324"/>
      <c r="B2" s="329"/>
      <c r="C2" s="330"/>
      <c r="D2" s="330"/>
      <c r="E2" s="330"/>
      <c r="F2" s="330"/>
      <c r="G2" s="330"/>
      <c r="H2" s="331"/>
      <c r="I2" s="328"/>
      <c r="J2" s="2"/>
      <c r="K2" s="2"/>
      <c r="L2" s="2"/>
    </row>
    <row r="3" spans="1:13" ht="15.95" customHeight="1">
      <c r="A3" s="324"/>
      <c r="B3" s="332"/>
      <c r="C3" s="333"/>
      <c r="D3" s="333"/>
      <c r="E3" s="333"/>
      <c r="F3" s="333"/>
      <c r="G3" s="334" t="s">
        <v>180</v>
      </c>
      <c r="H3" s="335" t="s">
        <v>150</v>
      </c>
      <c r="I3" s="324"/>
      <c r="J3" s="1"/>
      <c r="K3" s="1"/>
      <c r="L3" s="39"/>
      <c r="M3" s="1"/>
    </row>
    <row r="4" spans="1:13" ht="15.95" customHeight="1">
      <c r="A4" s="324"/>
      <c r="B4" s="336" t="s">
        <v>179</v>
      </c>
      <c r="C4" s="337"/>
      <c r="D4" s="337"/>
      <c r="E4" s="337"/>
      <c r="F4" s="337"/>
      <c r="G4" s="338"/>
      <c r="H4" s="339"/>
      <c r="I4" s="324"/>
      <c r="J4" s="1"/>
      <c r="K4" s="40"/>
      <c r="L4" s="1"/>
      <c r="M4" s="11"/>
    </row>
    <row r="5" spans="1:13" ht="15.95" customHeight="1">
      <c r="A5" s="324"/>
      <c r="B5" s="340"/>
      <c r="C5" s="338" t="s">
        <v>262</v>
      </c>
      <c r="D5" s="338"/>
      <c r="E5" s="338"/>
      <c r="F5" s="338"/>
      <c r="G5" s="341">
        <f>F48*F47/100</f>
        <v>2481.3845099999999</v>
      </c>
      <c r="H5" s="342" t="s">
        <v>189</v>
      </c>
      <c r="I5" s="324"/>
      <c r="J5" s="1"/>
    </row>
    <row r="6" spans="1:13" ht="15.95" customHeight="1">
      <c r="A6" s="343"/>
      <c r="B6" s="344"/>
      <c r="C6" s="338" t="s">
        <v>263</v>
      </c>
      <c r="D6" s="338"/>
      <c r="E6" s="338"/>
      <c r="F6" s="338"/>
      <c r="G6" s="345">
        <f>-G5*F51</f>
        <v>-49.627690199999996</v>
      </c>
      <c r="H6" s="342" t="s">
        <v>189</v>
      </c>
      <c r="I6" s="324"/>
      <c r="J6" s="6"/>
    </row>
    <row r="7" spans="1:13" ht="15.95" customHeight="1">
      <c r="A7" s="343"/>
      <c r="B7" s="344"/>
      <c r="C7" s="338" t="s">
        <v>41</v>
      </c>
      <c r="D7" s="338"/>
      <c r="E7" s="338"/>
      <c r="F7" s="338"/>
      <c r="G7" s="341">
        <f>F50</f>
        <v>0</v>
      </c>
      <c r="H7" s="342" t="s">
        <v>189</v>
      </c>
      <c r="I7" s="324"/>
      <c r="J7" s="6"/>
    </row>
    <row r="8" spans="1:13" ht="15.95" customHeight="1">
      <c r="A8" s="343"/>
      <c r="B8" s="344"/>
      <c r="C8" s="346"/>
      <c r="D8" s="346"/>
      <c r="E8" s="338"/>
      <c r="F8" s="346" t="s">
        <v>155</v>
      </c>
      <c r="G8" s="347">
        <f>G5+G6+G7</f>
        <v>2431.7568197999999</v>
      </c>
      <c r="H8" s="342" t="s">
        <v>189</v>
      </c>
      <c r="I8" s="324"/>
      <c r="J8" s="6"/>
    </row>
    <row r="9" spans="1:13" ht="15.95" customHeight="1">
      <c r="A9" s="343"/>
      <c r="B9" s="344"/>
      <c r="C9" s="338"/>
      <c r="D9" s="338"/>
      <c r="E9" s="338"/>
      <c r="F9" s="338"/>
      <c r="G9" s="341"/>
      <c r="H9" s="348"/>
      <c r="I9" s="324"/>
      <c r="J9" s="6"/>
    </row>
    <row r="10" spans="1:13" ht="15.95" customHeight="1">
      <c r="A10" s="324"/>
      <c r="B10" s="336" t="s">
        <v>153</v>
      </c>
      <c r="C10" s="337"/>
      <c r="D10" s="337"/>
      <c r="E10" s="338"/>
      <c r="F10" s="338"/>
      <c r="G10" s="347"/>
      <c r="H10" s="342"/>
      <c r="I10" s="324"/>
      <c r="J10" s="6"/>
    </row>
    <row r="11" spans="1:13" ht="15.95" customHeight="1">
      <c r="A11" s="324"/>
      <c r="B11" s="340"/>
      <c r="C11" s="338" t="s">
        <v>264</v>
      </c>
      <c r="D11" s="338"/>
      <c r="E11" s="337"/>
      <c r="F11" s="337"/>
      <c r="G11" s="341">
        <f>F46*F45/100</f>
        <v>2027.3625</v>
      </c>
      <c r="H11" s="342" t="s">
        <v>189</v>
      </c>
      <c r="I11" s="324"/>
      <c r="J11" s="6"/>
    </row>
    <row r="12" spans="1:13" ht="15.95" customHeight="1">
      <c r="A12" s="324"/>
      <c r="B12" s="340"/>
      <c r="C12" s="338" t="s">
        <v>265</v>
      </c>
      <c r="D12" s="338"/>
      <c r="E12" s="337"/>
      <c r="F12" s="337"/>
      <c r="G12" s="341">
        <f>(E55/56)*G55+(E56/2000)*G56+(E57/2000)*G57+(E58/2000)*G58+(E59/2000)*G59</f>
        <v>412.30285714285725</v>
      </c>
      <c r="H12" s="342" t="s">
        <v>189</v>
      </c>
      <c r="I12" s="324"/>
      <c r="J12" s="6"/>
    </row>
    <row r="13" spans="1:13" ht="15.95" customHeight="1">
      <c r="A13" s="324"/>
      <c r="B13" s="340"/>
      <c r="C13" s="338" t="s">
        <v>98</v>
      </c>
      <c r="D13" s="338"/>
      <c r="E13" s="338"/>
      <c r="F13" s="338"/>
      <c r="G13" s="341">
        <f>E62*G62</f>
        <v>39.6</v>
      </c>
      <c r="H13" s="342" t="s">
        <v>189</v>
      </c>
      <c r="I13" s="324"/>
      <c r="J13" s="1"/>
    </row>
    <row r="14" spans="1:13" ht="15.95" customHeight="1">
      <c r="A14" s="324"/>
      <c r="B14" s="340"/>
      <c r="C14" s="338" t="s">
        <v>275</v>
      </c>
      <c r="D14" s="338"/>
      <c r="E14" s="338"/>
      <c r="F14" s="338"/>
      <c r="G14" s="341">
        <f>G63</f>
        <v>11.75</v>
      </c>
      <c r="H14" s="342" t="s">
        <v>189</v>
      </c>
      <c r="I14" s="324"/>
      <c r="J14" s="1"/>
    </row>
    <row r="15" spans="1:13" ht="15.95" customHeight="1">
      <c r="A15" s="324"/>
      <c r="B15" s="340"/>
      <c r="C15" s="338" t="s">
        <v>103</v>
      </c>
      <c r="D15" s="338"/>
      <c r="E15" s="338"/>
      <c r="F15" s="338"/>
      <c r="G15" s="341">
        <f>(G8*$G64)+G65</f>
        <v>60.793920495000002</v>
      </c>
      <c r="H15" s="342" t="s">
        <v>189</v>
      </c>
      <c r="I15" s="324"/>
    </row>
    <row r="16" spans="1:13" ht="15.95" customHeight="1">
      <c r="A16" s="324"/>
      <c r="B16" s="340"/>
      <c r="C16" s="338" t="s">
        <v>266</v>
      </c>
      <c r="D16" s="338"/>
      <c r="E16" s="338"/>
      <c r="F16" s="338"/>
      <c r="G16" s="341">
        <f>H78/G84</f>
        <v>66.603000000000009</v>
      </c>
      <c r="H16" s="342" t="s">
        <v>189</v>
      </c>
      <c r="I16" s="324"/>
    </row>
    <row r="17" spans="1:13" ht="15.95" customHeight="1">
      <c r="A17" s="324"/>
      <c r="B17" s="340"/>
      <c r="C17" s="338" t="s">
        <v>181</v>
      </c>
      <c r="D17" s="338"/>
      <c r="E17" s="338"/>
      <c r="F17" s="338"/>
      <c r="G17" s="341">
        <f>G66</f>
        <v>6</v>
      </c>
      <c r="H17" s="342" t="s">
        <v>189</v>
      </c>
      <c r="I17" s="324"/>
      <c r="J17" s="6"/>
    </row>
    <row r="18" spans="1:13" ht="15.95" customHeight="1">
      <c r="A18" s="324"/>
      <c r="B18" s="340"/>
      <c r="C18" s="338" t="s">
        <v>186</v>
      </c>
      <c r="D18" s="338"/>
      <c r="E18" s="338"/>
      <c r="F18" s="338"/>
      <c r="G18" s="341">
        <f>G67</f>
        <v>11</v>
      </c>
      <c r="H18" s="342" t="s">
        <v>189</v>
      </c>
      <c r="I18" s="324"/>
      <c r="J18" s="6"/>
    </row>
    <row r="19" spans="1:13" ht="15.95" customHeight="1">
      <c r="A19" s="324"/>
      <c r="B19" s="340"/>
      <c r="C19" s="338" t="s">
        <v>187</v>
      </c>
      <c r="D19" s="338"/>
      <c r="E19" s="338"/>
      <c r="F19" s="338"/>
      <c r="G19" s="341">
        <f>G68</f>
        <v>1</v>
      </c>
      <c r="H19" s="342" t="s">
        <v>189</v>
      </c>
      <c r="I19" s="324"/>
      <c r="J19" s="6"/>
    </row>
    <row r="20" spans="1:13" ht="15.95" customHeight="1">
      <c r="A20" s="324"/>
      <c r="B20" s="340"/>
      <c r="C20" s="338" t="s">
        <v>32</v>
      </c>
      <c r="D20" s="338"/>
      <c r="E20" s="338"/>
      <c r="F20" s="338"/>
      <c r="G20" s="341">
        <f>G69</f>
        <v>1</v>
      </c>
      <c r="H20" s="342" t="s">
        <v>189</v>
      </c>
      <c r="I20" s="324"/>
      <c r="J20" s="6"/>
    </row>
    <row r="21" spans="1:13" ht="15.95" customHeight="1">
      <c r="A21" s="324"/>
      <c r="B21" s="340"/>
      <c r="C21" s="338" t="s">
        <v>182</v>
      </c>
      <c r="D21" s="338"/>
      <c r="E21" s="338"/>
      <c r="F21" s="338"/>
      <c r="G21" s="349">
        <f>SUM(G11:G20)*(F43/365)*Inputs!D14</f>
        <v>100.79972951520028</v>
      </c>
      <c r="H21" s="342" t="s">
        <v>189</v>
      </c>
      <c r="I21" s="324"/>
      <c r="J21" s="6"/>
    </row>
    <row r="22" spans="1:13" ht="15.95" customHeight="1">
      <c r="A22" s="324"/>
      <c r="B22" s="340"/>
      <c r="C22" s="324"/>
      <c r="D22" s="346"/>
      <c r="E22" s="338"/>
      <c r="F22" s="346" t="s">
        <v>183</v>
      </c>
      <c r="G22" s="347">
        <f>SUM(G11:G21)</f>
        <v>2738.2120071530576</v>
      </c>
      <c r="H22" s="342" t="s">
        <v>189</v>
      </c>
      <c r="I22" s="324"/>
      <c r="J22" s="6"/>
    </row>
    <row r="23" spans="1:13" ht="15.95" customHeight="1">
      <c r="A23" s="324"/>
      <c r="B23" s="340"/>
      <c r="C23" s="338"/>
      <c r="D23" s="338"/>
      <c r="E23" s="338"/>
      <c r="F23" s="338"/>
      <c r="G23" s="341"/>
      <c r="H23" s="350"/>
      <c r="I23" s="324"/>
      <c r="J23" s="6"/>
    </row>
    <row r="24" spans="1:13" ht="15.95" customHeight="1">
      <c r="A24" s="324"/>
      <c r="B24" s="336" t="s">
        <v>157</v>
      </c>
      <c r="C24" s="337"/>
      <c r="D24" s="337"/>
      <c r="E24" s="338"/>
      <c r="F24" s="338"/>
      <c r="G24" s="347"/>
      <c r="H24" s="342"/>
      <c r="I24" s="324"/>
      <c r="J24" s="6"/>
    </row>
    <row r="25" spans="1:13" ht="15.95" customHeight="1">
      <c r="A25" s="324"/>
      <c r="B25" s="336"/>
      <c r="C25" s="338" t="s">
        <v>118</v>
      </c>
      <c r="D25" s="337"/>
      <c r="E25" s="338"/>
      <c r="F25" s="338"/>
      <c r="G25" s="341">
        <f>(E82*(1-G82)/F82)</f>
        <v>4.5</v>
      </c>
      <c r="H25" s="342" t="s">
        <v>189</v>
      </c>
      <c r="I25" s="324"/>
      <c r="J25" s="6"/>
    </row>
    <row r="26" spans="1:13" ht="15.95" customHeight="1">
      <c r="A26" s="324"/>
      <c r="B26" s="336"/>
      <c r="C26" s="338" t="s">
        <v>117</v>
      </c>
      <c r="D26" s="337"/>
      <c r="E26" s="338"/>
      <c r="F26" s="338"/>
      <c r="G26" s="341">
        <f>($E$82/2*Inputs!$D$15)</f>
        <v>5.4375</v>
      </c>
      <c r="H26" s="342" t="s">
        <v>189</v>
      </c>
      <c r="I26" s="324"/>
      <c r="J26" s="6"/>
    </row>
    <row r="27" spans="1:13" ht="15.95" customHeight="1">
      <c r="A27" s="324"/>
      <c r="B27" s="340"/>
      <c r="C27" s="338" t="s">
        <v>102</v>
      </c>
      <c r="D27" s="338"/>
      <c r="E27" s="338"/>
      <c r="F27" s="338"/>
      <c r="G27" s="341">
        <f>($E$82*(Inputs!$D$17+Inputs!$D$16))+((F45*F46/100)+(F47*F48/100))/2*Inputs!$D$19</f>
        <v>7.0909337625000006</v>
      </c>
      <c r="H27" s="342" t="s">
        <v>189</v>
      </c>
      <c r="I27" s="324"/>
      <c r="J27" s="6"/>
    </row>
    <row r="28" spans="1:13" ht="15.95" customHeight="1">
      <c r="A28" s="343"/>
      <c r="B28" s="351"/>
      <c r="D28" s="346"/>
      <c r="E28" s="337"/>
      <c r="F28" s="346" t="s">
        <v>159</v>
      </c>
      <c r="G28" s="347">
        <f>SUM(G25:G27)</f>
        <v>17.028433762500001</v>
      </c>
      <c r="H28" s="342" t="s">
        <v>189</v>
      </c>
      <c r="I28" s="324"/>
      <c r="J28" s="1"/>
      <c r="K28" s="35"/>
      <c r="L28" s="1"/>
      <c r="M28" s="6"/>
    </row>
    <row r="29" spans="1:13" ht="15.95" customHeight="1">
      <c r="A29" s="343"/>
      <c r="B29" s="344"/>
      <c r="C29" s="337"/>
      <c r="D29" s="337"/>
      <c r="E29" s="337"/>
      <c r="F29" s="337"/>
      <c r="G29" s="347"/>
      <c r="H29" s="348"/>
      <c r="I29" s="324"/>
      <c r="J29" s="6"/>
    </row>
    <row r="30" spans="1:13" ht="15.95" customHeight="1">
      <c r="A30" s="324"/>
      <c r="B30" s="340"/>
      <c r="D30" s="346"/>
      <c r="E30" s="337"/>
      <c r="F30" s="346" t="s">
        <v>160</v>
      </c>
      <c r="G30" s="347">
        <f>G28+G22</f>
        <v>2755.2404409155574</v>
      </c>
      <c r="H30" s="342" t="s">
        <v>189</v>
      </c>
      <c r="I30" s="324"/>
      <c r="J30" s="6"/>
    </row>
    <row r="31" spans="1:13" ht="15.95" customHeight="1">
      <c r="A31" s="324"/>
      <c r="B31" s="332"/>
      <c r="C31" s="338"/>
      <c r="D31" s="338"/>
      <c r="E31" s="338"/>
      <c r="F31" s="338"/>
      <c r="G31" s="353"/>
      <c r="H31" s="354"/>
      <c r="I31" s="324"/>
      <c r="J31" s="1"/>
      <c r="K31" s="36"/>
      <c r="L31" s="1"/>
      <c r="M31" s="6"/>
    </row>
    <row r="32" spans="1:13" ht="15.95" customHeight="1">
      <c r="A32" s="355"/>
      <c r="B32" s="356"/>
      <c r="C32" s="357" t="s">
        <v>161</v>
      </c>
      <c r="D32" s="357"/>
      <c r="E32" s="357"/>
      <c r="F32" s="358"/>
      <c r="G32" s="359">
        <f>G8-G22</f>
        <v>-306.45518735305768</v>
      </c>
      <c r="H32" s="360" t="s">
        <v>189</v>
      </c>
      <c r="I32" s="324"/>
      <c r="J32" s="7"/>
      <c r="K32" s="37"/>
      <c r="L32" s="1"/>
      <c r="M32" s="6"/>
    </row>
    <row r="33" spans="1:12" ht="15.95" customHeight="1">
      <c r="A33" s="355"/>
      <c r="B33" s="361"/>
      <c r="C33" s="334" t="s">
        <v>111</v>
      </c>
      <c r="D33" s="334"/>
      <c r="E33" s="334"/>
      <c r="F33" s="334"/>
      <c r="G33" s="362">
        <f>G8-G30</f>
        <v>-323.48362111555753</v>
      </c>
      <c r="H33" s="363" t="s">
        <v>189</v>
      </c>
      <c r="I33" s="324"/>
      <c r="J33" s="1"/>
      <c r="K33" s="1"/>
      <c r="L33" s="6"/>
    </row>
    <row r="34" spans="1:12" ht="15.95" customHeight="1">
      <c r="A34" s="355"/>
      <c r="B34" s="356"/>
      <c r="C34" s="337"/>
      <c r="D34" s="337"/>
      <c r="E34" s="337"/>
      <c r="F34" s="337"/>
      <c r="G34" s="364"/>
      <c r="H34" s="365"/>
      <c r="I34" s="324"/>
      <c r="J34" s="1"/>
      <c r="K34" s="1"/>
      <c r="L34" s="6"/>
    </row>
    <row r="35" spans="1:12" ht="15.95" customHeight="1">
      <c r="A35" s="355"/>
      <c r="B35" s="356"/>
      <c r="C35" s="338" t="s">
        <v>167</v>
      </c>
      <c r="D35" s="338"/>
      <c r="E35" s="337"/>
      <c r="F35" s="337"/>
      <c r="G35" s="366">
        <f>F47*(1-F51)-F45</f>
        <v>573</v>
      </c>
      <c r="H35" s="365"/>
      <c r="I35" s="324"/>
      <c r="J35" s="1"/>
      <c r="K35" s="1"/>
      <c r="L35" s="6"/>
    </row>
    <row r="36" spans="1:12" ht="15.95" customHeight="1">
      <c r="A36" s="355"/>
      <c r="B36" s="356"/>
      <c r="C36" s="338" t="s">
        <v>190</v>
      </c>
      <c r="D36" s="338"/>
      <c r="E36" s="337"/>
      <c r="F36" s="337"/>
      <c r="G36" s="366">
        <f>G12/G35</f>
        <v>0.71955123410620814</v>
      </c>
      <c r="H36" s="365"/>
      <c r="I36" s="324"/>
      <c r="J36" s="1"/>
      <c r="K36" s="1"/>
      <c r="L36" s="6"/>
    </row>
    <row r="37" spans="1:12" ht="15.95" customHeight="1" thickBot="1">
      <c r="A37" s="355"/>
      <c r="B37" s="367"/>
      <c r="C37" s="368" t="s">
        <v>145</v>
      </c>
      <c r="D37" s="368"/>
      <c r="E37" s="368"/>
      <c r="F37" s="368"/>
      <c r="G37" s="369">
        <f>G30/(F47*(1-F51))</f>
        <v>2.082570250125138</v>
      </c>
      <c r="H37" s="370"/>
      <c r="I37" s="355"/>
      <c r="J37" s="1"/>
      <c r="K37" s="6"/>
    </row>
    <row r="38" spans="1:12" ht="15.95" customHeight="1">
      <c r="A38" s="355"/>
      <c r="B38" s="355"/>
      <c r="C38" s="324"/>
      <c r="D38" s="324"/>
      <c r="E38" s="324"/>
      <c r="F38" s="324"/>
      <c r="G38" s="371"/>
      <c r="H38" s="328"/>
      <c r="I38" s="355"/>
      <c r="J38" s="1"/>
      <c r="K38" s="6"/>
    </row>
    <row r="39" spans="1:12" ht="15.95" customHeight="1">
      <c r="A39" s="355"/>
      <c r="B39" s="355"/>
      <c r="C39" s="324"/>
      <c r="D39" s="324"/>
      <c r="E39" s="324"/>
      <c r="F39" s="324"/>
      <c r="G39" s="371"/>
      <c r="H39" s="372">
        <f ca="1">TODAY()</f>
        <v>45589</v>
      </c>
      <c r="I39" s="355"/>
      <c r="J39" s="1"/>
      <c r="K39" s="6"/>
    </row>
    <row r="40" spans="1:12" ht="15.75" customHeight="1">
      <c r="A40" s="355"/>
      <c r="B40" s="373"/>
      <c r="C40" s="374"/>
      <c r="D40" s="374"/>
      <c r="E40" s="374"/>
      <c r="F40" s="374"/>
      <c r="G40" s="373"/>
      <c r="H40" s="375"/>
      <c r="I40" s="376"/>
      <c r="J40" s="1"/>
      <c r="K40" s="6"/>
    </row>
    <row r="41" spans="1:12" ht="17.25">
      <c r="A41" s="355"/>
      <c r="B41" s="377" t="s">
        <v>258</v>
      </c>
      <c r="C41" s="378"/>
      <c r="D41" s="378"/>
      <c r="E41" s="378"/>
      <c r="F41" s="378"/>
      <c r="G41" s="378"/>
      <c r="H41" s="379"/>
      <c r="I41" s="380"/>
    </row>
    <row r="42" spans="1:12" ht="17.25">
      <c r="A42" s="355"/>
      <c r="B42" s="378"/>
      <c r="C42" s="378"/>
      <c r="D42" s="378"/>
      <c r="E42" s="381" t="s">
        <v>193</v>
      </c>
      <c r="F42" s="382" t="s">
        <v>192</v>
      </c>
      <c r="H42" s="379"/>
      <c r="I42" s="380"/>
    </row>
    <row r="43" spans="1:12" ht="17.25">
      <c r="A43" s="355"/>
      <c r="B43" s="378" t="s">
        <v>69</v>
      </c>
      <c r="C43" s="378"/>
      <c r="D43" s="378"/>
      <c r="E43" s="383" t="s">
        <v>22</v>
      </c>
      <c r="F43" s="88">
        <v>180</v>
      </c>
      <c r="H43" s="379"/>
      <c r="I43" s="380"/>
    </row>
    <row r="44" spans="1:12" ht="17.25">
      <c r="A44" s="355"/>
      <c r="B44" s="378" t="s">
        <v>70</v>
      </c>
      <c r="C44" s="378"/>
      <c r="D44" s="378"/>
      <c r="E44" s="383" t="s">
        <v>272</v>
      </c>
      <c r="F44" s="122">
        <v>8</v>
      </c>
      <c r="H44" s="379"/>
      <c r="I44" s="384"/>
    </row>
    <row r="45" spans="1:12" ht="17.25">
      <c r="B45" s="378" t="s">
        <v>248</v>
      </c>
      <c r="C45" s="378"/>
      <c r="D45" s="378"/>
      <c r="E45" s="383" t="s">
        <v>251</v>
      </c>
      <c r="F45" s="88">
        <v>750</v>
      </c>
      <c r="H45" s="379"/>
    </row>
    <row r="46" spans="1:12" ht="17.25">
      <c r="B46" s="378" t="s">
        <v>71</v>
      </c>
      <c r="C46" s="378"/>
      <c r="D46" s="378"/>
      <c r="E46" s="385" t="s">
        <v>29</v>
      </c>
      <c r="F46" s="241">
        <f>AVERAGE(Background!G54,Background!R53)</f>
        <v>270.315</v>
      </c>
      <c r="H46" s="379"/>
    </row>
    <row r="47" spans="1:12" ht="17.25">
      <c r="B47" s="386" t="s">
        <v>147</v>
      </c>
      <c r="C47" s="386"/>
      <c r="D47" s="387"/>
      <c r="E47" s="383" t="s">
        <v>251</v>
      </c>
      <c r="F47" s="88">
        <v>1350</v>
      </c>
      <c r="H47" s="379"/>
    </row>
    <row r="48" spans="1:12" ht="17.25">
      <c r="B48" s="386" t="s">
        <v>250</v>
      </c>
      <c r="C48" s="386"/>
      <c r="D48" s="387"/>
      <c r="E48" s="385" t="s">
        <v>29</v>
      </c>
      <c r="F48" s="241">
        <f>182.71*1.006</f>
        <v>183.80626000000001</v>
      </c>
      <c r="H48" s="379"/>
    </row>
    <row r="49" spans="2:8" ht="17.25">
      <c r="B49" s="378" t="s">
        <v>8</v>
      </c>
      <c r="C49" s="378"/>
      <c r="D49" s="378"/>
      <c r="E49" s="383" t="s">
        <v>251</v>
      </c>
      <c r="F49" s="388">
        <f>(F47-F45)/F43</f>
        <v>3.3333333333333335</v>
      </c>
      <c r="H49" s="379"/>
    </row>
    <row r="50" spans="2:8" ht="17.25">
      <c r="B50" s="378" t="s">
        <v>41</v>
      </c>
      <c r="C50" s="378"/>
      <c r="D50" s="378"/>
      <c r="E50" s="389" t="s">
        <v>245</v>
      </c>
      <c r="F50" s="241">
        <v>0</v>
      </c>
      <c r="G50" s="390"/>
      <c r="H50" s="379"/>
    </row>
    <row r="51" spans="2:8" ht="17.25">
      <c r="B51" s="378" t="s">
        <v>9</v>
      </c>
      <c r="C51" s="378"/>
      <c r="D51" s="378"/>
      <c r="E51" s="389" t="s">
        <v>12</v>
      </c>
      <c r="F51" s="245">
        <v>0.02</v>
      </c>
      <c r="G51" s="390"/>
      <c r="H51" s="379"/>
    </row>
    <row r="52" spans="2:8" ht="17.25">
      <c r="B52" s="378"/>
      <c r="C52" s="378"/>
      <c r="D52" s="378"/>
      <c r="E52" s="389"/>
      <c r="F52" s="391"/>
      <c r="G52" s="390"/>
      <c r="H52" s="379"/>
    </row>
    <row r="53" spans="2:8" ht="16.5">
      <c r="B53" s="392" t="s">
        <v>267</v>
      </c>
      <c r="G53" s="382" t="s">
        <v>192</v>
      </c>
      <c r="H53" s="381" t="s">
        <v>193</v>
      </c>
    </row>
    <row r="54" spans="2:8" ht="16.5">
      <c r="B54" s="381" t="s">
        <v>274</v>
      </c>
      <c r="C54" s="382"/>
      <c r="D54" s="382" t="s">
        <v>12</v>
      </c>
      <c r="E54" s="382" t="s">
        <v>192</v>
      </c>
      <c r="F54" s="393" t="s">
        <v>193</v>
      </c>
      <c r="G54" s="394">
        <f>F44*(F47-F45)</f>
        <v>4800</v>
      </c>
      <c r="H54" s="383" t="s">
        <v>273</v>
      </c>
    </row>
    <row r="55" spans="2:8" ht="16.5">
      <c r="B55" s="378" t="s">
        <v>13</v>
      </c>
      <c r="C55" s="378"/>
      <c r="D55" s="251">
        <v>0.68</v>
      </c>
      <c r="E55" s="387">
        <f>Inputs!D7</f>
        <v>4.7</v>
      </c>
      <c r="F55" s="395" t="s">
        <v>54</v>
      </c>
      <c r="G55" s="394">
        <f>D55*$G$54</f>
        <v>3264.0000000000005</v>
      </c>
      <c r="H55" s="383" t="s">
        <v>251</v>
      </c>
    </row>
    <row r="56" spans="2:8" ht="16.5">
      <c r="B56" s="378" t="s">
        <v>200</v>
      </c>
      <c r="C56" s="378"/>
      <c r="D56" s="251">
        <v>0.1825</v>
      </c>
      <c r="E56" s="387">
        <f>Inputs!D8</f>
        <v>180</v>
      </c>
      <c r="F56" s="395" t="s">
        <v>52</v>
      </c>
      <c r="G56" s="394">
        <f t="shared" ref="G56:G59" si="0">D56*$G$54</f>
        <v>876</v>
      </c>
      <c r="H56" s="383" t="s">
        <v>251</v>
      </c>
    </row>
    <row r="57" spans="2:8" ht="17.25">
      <c r="B57" s="378" t="s">
        <v>268</v>
      </c>
      <c r="C57" s="378"/>
      <c r="D57" s="293">
        <v>0.12</v>
      </c>
      <c r="E57" s="387">
        <f>Inputs!D4</f>
        <v>115</v>
      </c>
      <c r="F57" s="395" t="s">
        <v>52</v>
      </c>
      <c r="G57" s="394">
        <f t="shared" si="0"/>
        <v>576</v>
      </c>
      <c r="H57" s="383" t="s">
        <v>251</v>
      </c>
    </row>
    <row r="58" spans="2:8" ht="16.5">
      <c r="B58" s="378" t="s">
        <v>203</v>
      </c>
      <c r="D58" s="251">
        <v>0.01</v>
      </c>
      <c r="E58" s="387">
        <f>Inputs!D12*20</f>
        <v>200</v>
      </c>
      <c r="F58" s="395" t="s">
        <v>52</v>
      </c>
      <c r="G58" s="394">
        <f t="shared" si="0"/>
        <v>48</v>
      </c>
      <c r="H58" s="383" t="s">
        <v>251</v>
      </c>
    </row>
    <row r="59" spans="2:8" ht="16.5">
      <c r="B59" s="378" t="s">
        <v>184</v>
      </c>
      <c r="C59" s="378"/>
      <c r="D59" s="251">
        <v>7.4999999999999997E-3</v>
      </c>
      <c r="E59" s="387">
        <f>Inputs!D10</f>
        <v>1200</v>
      </c>
      <c r="F59" s="395" t="s">
        <v>52</v>
      </c>
      <c r="G59" s="394">
        <f t="shared" si="0"/>
        <v>36</v>
      </c>
      <c r="H59" s="383" t="s">
        <v>251</v>
      </c>
    </row>
    <row r="60" spans="2:8" ht="16.5">
      <c r="B60" s="378"/>
      <c r="C60" s="378"/>
      <c r="D60" s="396">
        <f>SUM(D55:D59)</f>
        <v>1</v>
      </c>
      <c r="E60" s="397"/>
      <c r="F60" s="397"/>
      <c r="G60" s="398"/>
      <c r="H60" s="399"/>
    </row>
    <row r="61" spans="2:8" ht="16.5">
      <c r="B61" s="400" t="s">
        <v>140</v>
      </c>
      <c r="C61" s="378"/>
      <c r="D61" s="397"/>
      <c r="E61" s="397"/>
      <c r="F61" s="381" t="s">
        <v>193</v>
      </c>
      <c r="G61" s="382" t="s">
        <v>192</v>
      </c>
      <c r="H61" s="381" t="s">
        <v>193</v>
      </c>
    </row>
    <row r="62" spans="2:8" ht="16.5">
      <c r="B62" s="378" t="s">
        <v>98</v>
      </c>
      <c r="C62" s="378"/>
      <c r="D62" s="378"/>
      <c r="E62" s="387">
        <f>Inputs!D13</f>
        <v>19.8</v>
      </c>
      <c r="F62" s="401" t="s">
        <v>65</v>
      </c>
      <c r="G62" s="246">
        <v>2</v>
      </c>
      <c r="H62" s="383" t="s">
        <v>269</v>
      </c>
    </row>
    <row r="63" spans="2:8" ht="16.5">
      <c r="B63" s="378" t="s">
        <v>0</v>
      </c>
      <c r="C63" s="378"/>
      <c r="D63" s="378"/>
      <c r="E63" s="378"/>
      <c r="F63" s="378"/>
      <c r="G63" s="242">
        <v>11.75</v>
      </c>
      <c r="H63" s="389" t="s">
        <v>245</v>
      </c>
    </row>
    <row r="64" spans="2:8" ht="16.5">
      <c r="B64" s="378" t="s">
        <v>223</v>
      </c>
      <c r="C64" s="378"/>
      <c r="D64" s="378"/>
      <c r="E64" s="378"/>
      <c r="G64" s="247">
        <v>2.5000000000000001E-2</v>
      </c>
      <c r="H64" s="402" t="s">
        <v>224</v>
      </c>
    </row>
    <row r="65" spans="2:8" ht="16.5">
      <c r="B65" s="378" t="s">
        <v>74</v>
      </c>
      <c r="C65" s="378"/>
      <c r="D65" s="378"/>
      <c r="E65" s="378"/>
      <c r="F65" s="378"/>
      <c r="G65" s="239">
        <v>0</v>
      </c>
      <c r="H65" s="389" t="s">
        <v>245</v>
      </c>
    </row>
    <row r="66" spans="2:8" ht="16.5">
      <c r="B66" s="378" t="s">
        <v>181</v>
      </c>
      <c r="C66" s="378"/>
      <c r="D66" s="378"/>
      <c r="E66" s="378"/>
      <c r="F66" s="378"/>
      <c r="G66" s="239">
        <v>6</v>
      </c>
      <c r="H66" s="389" t="s">
        <v>245</v>
      </c>
    </row>
    <row r="67" spans="2:8" ht="16.5">
      <c r="B67" s="378" t="s">
        <v>246</v>
      </c>
      <c r="C67" s="378"/>
      <c r="D67" s="378"/>
      <c r="E67" s="378"/>
      <c r="F67" s="378"/>
      <c r="G67" s="239">
        <v>11</v>
      </c>
      <c r="H67" s="389" t="s">
        <v>245</v>
      </c>
    </row>
    <row r="68" spans="2:8" ht="16.5">
      <c r="B68" s="378" t="s">
        <v>10</v>
      </c>
      <c r="C68" s="378"/>
      <c r="D68" s="378"/>
      <c r="E68" s="378"/>
      <c r="F68" s="378"/>
      <c r="G68" s="239">
        <v>1</v>
      </c>
      <c r="H68" s="389" t="s">
        <v>245</v>
      </c>
    </row>
    <row r="69" spans="2:8" ht="16.5">
      <c r="B69" s="378" t="s">
        <v>32</v>
      </c>
      <c r="C69" s="378"/>
      <c r="D69" s="378"/>
      <c r="E69" s="378"/>
      <c r="F69" s="378"/>
      <c r="G69" s="239">
        <v>1</v>
      </c>
      <c r="H69" s="389" t="s">
        <v>245</v>
      </c>
    </row>
    <row r="70" spans="2:8" ht="17.25">
      <c r="B70" s="378"/>
      <c r="C70" s="378"/>
      <c r="D70" s="378"/>
      <c r="E70" s="378"/>
      <c r="F70" s="378"/>
      <c r="G70" s="378"/>
      <c r="H70" s="379"/>
    </row>
    <row r="71" spans="2:8" ht="17.25">
      <c r="B71" s="377" t="s">
        <v>127</v>
      </c>
      <c r="C71" s="403"/>
      <c r="D71" s="373"/>
      <c r="E71" s="373"/>
      <c r="F71" s="373"/>
      <c r="G71" s="373"/>
      <c r="H71" s="379"/>
    </row>
    <row r="72" spans="2:8" ht="17.25">
      <c r="B72" s="379"/>
      <c r="C72" s="404" t="s">
        <v>185</v>
      </c>
      <c r="D72" s="405" t="s">
        <v>229</v>
      </c>
      <c r="E72" s="405" t="s">
        <v>228</v>
      </c>
      <c r="F72" s="406" t="s">
        <v>231</v>
      </c>
      <c r="G72" s="407" t="s">
        <v>141</v>
      </c>
      <c r="H72" s="382" t="s">
        <v>2</v>
      </c>
    </row>
    <row r="73" spans="2:8" ht="17.25">
      <c r="B73" s="379"/>
      <c r="C73" s="122" t="s">
        <v>81</v>
      </c>
      <c r="D73" s="239">
        <v>53.67</v>
      </c>
      <c r="E73" s="240">
        <v>0.5</v>
      </c>
      <c r="F73" s="408">
        <f>$F$43</f>
        <v>180</v>
      </c>
      <c r="G73" s="338">
        <f>E73*F73</f>
        <v>90</v>
      </c>
      <c r="H73" s="409">
        <f>D73*E73*F73</f>
        <v>4830.3</v>
      </c>
    </row>
    <row r="74" spans="2:8" ht="17.25">
      <c r="B74" s="379"/>
      <c r="C74" s="122" t="s">
        <v>278</v>
      </c>
      <c r="D74" s="239">
        <v>15</v>
      </c>
      <c r="E74" s="241">
        <v>0.5</v>
      </c>
      <c r="F74" s="408">
        <f>$F$43</f>
        <v>180</v>
      </c>
      <c r="G74" s="338">
        <f>E74*F74</f>
        <v>90</v>
      </c>
      <c r="H74" s="409">
        <f>D74*E74*F74</f>
        <v>1350</v>
      </c>
    </row>
    <row r="75" spans="2:8" ht="17.25">
      <c r="B75" s="379"/>
      <c r="C75" s="122" t="s">
        <v>271</v>
      </c>
      <c r="D75" s="239">
        <v>40</v>
      </c>
      <c r="E75" s="240">
        <v>2</v>
      </c>
      <c r="F75" s="86">
        <v>4</v>
      </c>
      <c r="G75" s="338">
        <f>E75*F75</f>
        <v>8</v>
      </c>
      <c r="H75" s="409">
        <f>D75*E75*F75</f>
        <v>320</v>
      </c>
    </row>
    <row r="76" spans="2:8" ht="17.25">
      <c r="B76" s="379"/>
      <c r="C76" s="122" t="s">
        <v>270</v>
      </c>
      <c r="D76" s="239">
        <v>20</v>
      </c>
      <c r="E76" s="240">
        <v>2</v>
      </c>
      <c r="F76" s="86">
        <v>4</v>
      </c>
      <c r="G76" s="338">
        <f>E76*F76</f>
        <v>8</v>
      </c>
      <c r="H76" s="409">
        <f>D76*E76*F76</f>
        <v>160</v>
      </c>
    </row>
    <row r="77" spans="2:8" ht="17.25">
      <c r="B77" s="379"/>
      <c r="C77" s="122"/>
      <c r="D77" s="239"/>
      <c r="E77" s="240"/>
      <c r="F77" s="86"/>
      <c r="G77" s="338">
        <f>E77*F77</f>
        <v>0</v>
      </c>
      <c r="H77" s="409">
        <f>D77*E77*F77</f>
        <v>0</v>
      </c>
    </row>
    <row r="78" spans="2:8" ht="17.25">
      <c r="B78" s="379"/>
      <c r="C78" s="378"/>
      <c r="D78" s="378"/>
      <c r="E78" s="378"/>
      <c r="F78" s="410" t="s">
        <v>2</v>
      </c>
      <c r="G78" s="411">
        <f>SUM(G73:G77)</f>
        <v>196</v>
      </c>
      <c r="H78" s="409">
        <f>SUM(H73:H77)</f>
        <v>6660.3</v>
      </c>
    </row>
    <row r="79" spans="2:8"/>
    <row r="80" spans="2:8" ht="16.5">
      <c r="B80" s="386"/>
      <c r="C80" s="386"/>
      <c r="D80" s="378"/>
      <c r="E80" s="412" t="s">
        <v>58</v>
      </c>
      <c r="F80" s="412" t="s">
        <v>4</v>
      </c>
      <c r="G80" s="412" t="s">
        <v>59</v>
      </c>
    </row>
    <row r="81" spans="2:7" ht="16.5">
      <c r="B81" s="386"/>
      <c r="C81" s="386"/>
      <c r="D81" s="378"/>
      <c r="E81" s="413" t="s">
        <v>60</v>
      </c>
      <c r="F81" s="413" t="s">
        <v>61</v>
      </c>
      <c r="G81" s="413" t="s">
        <v>62</v>
      </c>
    </row>
    <row r="82" spans="2:7" ht="16.5">
      <c r="C82" s="386" t="s">
        <v>89</v>
      </c>
      <c r="D82" s="378"/>
      <c r="E82" s="242">
        <f>15000/100</f>
        <v>150</v>
      </c>
      <c r="F82" s="243">
        <v>25</v>
      </c>
      <c r="G82" s="244">
        <v>0.25</v>
      </c>
    </row>
    <row r="83" spans="2:7" ht="17.25">
      <c r="B83" s="379"/>
      <c r="C83" s="379"/>
      <c r="D83" s="379"/>
      <c r="E83" s="379"/>
      <c r="F83" s="379"/>
    </row>
    <row r="84" spans="2:7" ht="16.5">
      <c r="C84" s="378" t="s">
        <v>261</v>
      </c>
      <c r="D84" s="378"/>
      <c r="E84" s="378"/>
      <c r="F84" s="378"/>
      <c r="G84" s="240">
        <v>100</v>
      </c>
    </row>
    <row r="86" spans="2:7" ht="17.25" hidden="1">
      <c r="E86" s="414"/>
    </row>
  </sheetData>
  <sheetProtection sheet="1" objects="1" scenarios="1"/>
  <mergeCells count="1">
    <mergeCell ref="B1:H1"/>
  </mergeCells>
  <pageMargins left="0.7" right="0.7" top="0.75" bottom="0.75" header="0.3" footer="0.3"/>
  <pageSetup orientation="portrait" r:id="rId1"/>
  <ignoredErrors>
    <ignoredError sqref="E82 F73:F7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314d9d2-30f2-49f9-b240-cd17bbf3f9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32048126627B45ACB1C4FB38C44CF7" ma:contentTypeVersion="16" ma:contentTypeDescription="Create a new document." ma:contentTypeScope="" ma:versionID="e1d5c6051d6e2cde445335840c3c8c80">
  <xsd:schema xmlns:xsd="http://www.w3.org/2001/XMLSchema" xmlns:xs="http://www.w3.org/2001/XMLSchema" xmlns:p="http://schemas.microsoft.com/office/2006/metadata/properties" xmlns:ns3="8314d9d2-30f2-49f9-b240-cd17bbf3f9a5" xmlns:ns4="d4d79648-e838-4716-b265-bef8bdd438cd" targetNamespace="http://schemas.microsoft.com/office/2006/metadata/properties" ma:root="true" ma:fieldsID="413362c6b75caaa5d004002dd05cb048" ns3:_="" ns4:_="">
    <xsd:import namespace="8314d9d2-30f2-49f9-b240-cd17bbf3f9a5"/>
    <xsd:import namespace="d4d79648-e838-4716-b265-bef8bdd438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System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14d9d2-30f2-49f9-b240-cd17bbf3f9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d79648-e838-4716-b265-bef8bdd438c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EDDA92-8531-4FDB-B31D-E5AD2DA1F895}">
  <ds:schemaRefs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d4d79648-e838-4716-b265-bef8bdd438cd"/>
    <ds:schemaRef ds:uri="http://schemas.microsoft.com/office/2006/documentManagement/types"/>
    <ds:schemaRef ds:uri="8314d9d2-30f2-49f9-b240-cd17bbf3f9a5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43A3AC8-808C-4B6C-B715-C9CF22DA22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3E78D6-3AFB-4801-8318-7FFED188F6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14d9d2-30f2-49f9-b240-cd17bbf3f9a5"/>
    <ds:schemaRef ds:uri="d4d79648-e838-4716-b265-bef8bdd438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Introduction</vt:lpstr>
      <vt:lpstr>Inputs</vt:lpstr>
      <vt:lpstr>Cow-calf (Fall)</vt:lpstr>
      <vt:lpstr>Cow-calf (Spr)</vt:lpstr>
      <vt:lpstr>Heifer</vt:lpstr>
      <vt:lpstr>Background</vt:lpstr>
      <vt:lpstr>Yearling steer</vt:lpstr>
      <vt:lpstr>'Cow-calf (Spr)'!Print_Area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Beef Budgets</dc:title>
  <dc:creator>Rocha, Adauto</dc:creator>
  <cp:lastModifiedBy>Milhollin, Ryan</cp:lastModifiedBy>
  <cp:lastPrinted>2023-07-19T15:52:27Z</cp:lastPrinted>
  <dcterms:created xsi:type="dcterms:W3CDTF">1999-09-03T12:55:45Z</dcterms:created>
  <dcterms:modified xsi:type="dcterms:W3CDTF">2024-10-24T14:39:13Z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0x010100C132048126627B45ACB1C4FB38C44CF7</vt:lpwstr>
  </property>
</Properties>
</file>