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mailmissouri-my.sharepoint.com/personal/knappv_umsystem_edu/Documents/Documents/ABP pubs/Milhollin/g712_Apple Planning Budget/g712_new_062025/"/>
    </mc:Choice>
  </mc:AlternateContent>
  <xr:revisionPtr revIDLastSave="144" documentId="8_{236AB4AB-6B98-4EA3-9FBF-99C73EDAB549}" xr6:coauthVersionLast="47" xr6:coauthVersionMax="47" xr10:uidLastSave="{43765262-6C5F-47F2-A43E-D63B02D241FA}"/>
  <bookViews>
    <workbookView xWindow="30840" yWindow="1635" windowWidth="23340" windowHeight="14985" xr2:uid="{50691399-9F51-4DAE-88E6-4D51F075FBD5}"/>
  </bookViews>
  <sheets>
    <sheet name="Introduction" sheetId="6" r:id="rId1"/>
    <sheet name="Budget" sheetId="1" r:id="rId2"/>
    <sheet name="Investments" sheetId="8" r:id="rId3"/>
    <sheet name="Machinery" sheetId="13" r:id="rId4"/>
    <sheet name="Chemicals" sheetId="10" state="hidden" r:id="rId5"/>
    <sheet name="Sensitivity" sheetId="12" r:id="rId6"/>
  </sheets>
  <definedNames>
    <definedName name="BudgetActivities" localSheetId="3">#REF!</definedName>
    <definedName name="BudgetActivities">#REF!</definedName>
    <definedName name="CustomActivities" localSheetId="3">#REF!</definedName>
    <definedName name="CustomActivities">#REF!</definedName>
    <definedName name="CustomImps" localSheetId="3">#REF!</definedName>
    <definedName name="CustomImps">#REF!</definedName>
    <definedName name="Implements">#REF!</definedName>
    <definedName name="_xlnm.Print_Area" localSheetId="2">Investments!$B$1:$L$26</definedName>
    <definedName name="_xlnm.Print_Area" localSheetId="3">Machinery!$B$1:$I$55,Machinery!$B$57:$I$116,Machinery!$L$1:$S$20</definedName>
    <definedName name="ss">#REF!</definedName>
    <definedName name="w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H23" i="13"/>
  <c r="H107" i="13"/>
  <c r="H93" i="13"/>
  <c r="H79" i="13"/>
  <c r="H65" i="13"/>
  <c r="H51" i="13"/>
  <c r="H37" i="13"/>
  <c r="H9" i="13"/>
  <c r="H106" i="13"/>
  <c r="H92" i="13"/>
  <c r="H78" i="13"/>
  <c r="H64" i="13"/>
  <c r="H50" i="13"/>
  <c r="H8" i="13"/>
  <c r="H22" i="13"/>
  <c r="H36" i="13"/>
  <c r="F36" i="13"/>
  <c r="F78" i="13"/>
  <c r="F106" i="13"/>
  <c r="E23" i="13"/>
  <c r="E37" i="13"/>
  <c r="E51" i="13"/>
  <c r="E65" i="13"/>
  <c r="E9" i="13" l="1"/>
  <c r="B106" i="13"/>
  <c r="N54" i="10"/>
  <c r="T54" i="1" l="1"/>
  <c r="R54" i="1"/>
  <c r="P54" i="1"/>
  <c r="N54" i="1"/>
  <c r="L54" i="1"/>
  <c r="D3" i="12" l="1"/>
  <c r="E3" i="12"/>
  <c r="F3" i="12"/>
  <c r="J3" i="12"/>
  <c r="I3" i="12"/>
  <c r="H3" i="12"/>
  <c r="C4" i="12"/>
  <c r="C5" i="12"/>
  <c r="C6" i="12"/>
  <c r="C10" i="12"/>
  <c r="C9" i="12"/>
  <c r="C8" i="12"/>
  <c r="E79" i="13" l="1"/>
  <c r="E93" i="13"/>
  <c r="E107" i="13"/>
  <c r="F8" i="13"/>
  <c r="F22" i="13"/>
  <c r="F50" i="13"/>
  <c r="F64" i="13"/>
  <c r="F92" i="13"/>
  <c r="T33" i="1" l="1"/>
  <c r="R33" i="1"/>
  <c r="P33" i="1"/>
  <c r="N33" i="1"/>
  <c r="L33" i="1"/>
  <c r="T30" i="1"/>
  <c r="R30" i="1"/>
  <c r="P30" i="1"/>
  <c r="N30" i="1"/>
  <c r="L30" i="1"/>
  <c r="J30" i="1"/>
  <c r="H30" i="1"/>
  <c r="F30" i="1"/>
  <c r="T29" i="1"/>
  <c r="R29" i="1"/>
  <c r="P29" i="1"/>
  <c r="N29" i="1"/>
  <c r="L29" i="1"/>
  <c r="J29" i="1"/>
  <c r="H29" i="1"/>
  <c r="F29" i="1"/>
  <c r="T27" i="1"/>
  <c r="R27" i="1"/>
  <c r="P27" i="1"/>
  <c r="N27" i="1"/>
  <c r="L27" i="1"/>
  <c r="J27" i="1"/>
  <c r="I55" i="10" l="1"/>
  <c r="I54" i="10"/>
  <c r="H110" i="13"/>
  <c r="F110" i="13"/>
  <c r="E110" i="13"/>
  <c r="B110" i="13"/>
  <c r="H109" i="13"/>
  <c r="F109" i="13"/>
  <c r="E109" i="13"/>
  <c r="B109" i="13"/>
  <c r="H108" i="13"/>
  <c r="F108" i="13"/>
  <c r="E108" i="13"/>
  <c r="B108" i="13"/>
  <c r="F107" i="13"/>
  <c r="B107" i="13"/>
  <c r="H105" i="13"/>
  <c r="F105" i="13"/>
  <c r="E105" i="13"/>
  <c r="B105" i="13"/>
  <c r="H104" i="13"/>
  <c r="F104" i="13"/>
  <c r="E104" i="13"/>
  <c r="B104" i="13"/>
  <c r="H103" i="13"/>
  <c r="F103" i="13"/>
  <c r="E103" i="13"/>
  <c r="B103" i="13"/>
  <c r="H102" i="13"/>
  <c r="F102" i="13"/>
  <c r="E102" i="13"/>
  <c r="B102" i="13"/>
  <c r="H96" i="13"/>
  <c r="F96" i="13"/>
  <c r="E96" i="13"/>
  <c r="B96" i="13"/>
  <c r="H95" i="13"/>
  <c r="F95" i="13"/>
  <c r="E95" i="13"/>
  <c r="B95" i="13"/>
  <c r="H94" i="13"/>
  <c r="F94" i="13"/>
  <c r="E94" i="13"/>
  <c r="B94" i="13"/>
  <c r="F93" i="13"/>
  <c r="B93" i="13"/>
  <c r="B92" i="13"/>
  <c r="H91" i="13"/>
  <c r="F91" i="13"/>
  <c r="E91" i="13"/>
  <c r="B91" i="13"/>
  <c r="H90" i="13"/>
  <c r="F90" i="13"/>
  <c r="E90" i="13"/>
  <c r="B90" i="13"/>
  <c r="H89" i="13"/>
  <c r="F89" i="13"/>
  <c r="E89" i="13"/>
  <c r="B89" i="13"/>
  <c r="H88" i="13"/>
  <c r="F88" i="13"/>
  <c r="E88" i="13"/>
  <c r="B88" i="13"/>
  <c r="H82" i="13"/>
  <c r="F82" i="13"/>
  <c r="E82" i="13"/>
  <c r="B82" i="13"/>
  <c r="H81" i="13"/>
  <c r="F81" i="13"/>
  <c r="E81" i="13"/>
  <c r="B81" i="13"/>
  <c r="H80" i="13"/>
  <c r="F80" i="13"/>
  <c r="E80" i="13"/>
  <c r="B80" i="13"/>
  <c r="F79" i="13"/>
  <c r="B79" i="13"/>
  <c r="B78" i="13"/>
  <c r="H77" i="13"/>
  <c r="F77" i="13"/>
  <c r="E77" i="13"/>
  <c r="B77" i="13"/>
  <c r="H76" i="13"/>
  <c r="F76" i="13"/>
  <c r="E76" i="13"/>
  <c r="B76" i="13"/>
  <c r="H75" i="13"/>
  <c r="F75" i="13"/>
  <c r="E75" i="13"/>
  <c r="B75" i="13"/>
  <c r="H74" i="13"/>
  <c r="F74" i="13"/>
  <c r="E74" i="13"/>
  <c r="B74" i="13"/>
  <c r="H68" i="13"/>
  <c r="F68" i="13"/>
  <c r="E68" i="13"/>
  <c r="B68" i="13"/>
  <c r="H67" i="13"/>
  <c r="F67" i="13"/>
  <c r="E67" i="13"/>
  <c r="B67" i="13"/>
  <c r="H66" i="13"/>
  <c r="F66" i="13"/>
  <c r="E66" i="13"/>
  <c r="B66" i="13"/>
  <c r="F65" i="13"/>
  <c r="B65" i="13"/>
  <c r="B64" i="13"/>
  <c r="H63" i="13"/>
  <c r="F63" i="13"/>
  <c r="E63" i="13"/>
  <c r="B63" i="13"/>
  <c r="H62" i="13"/>
  <c r="F62" i="13"/>
  <c r="E62" i="13"/>
  <c r="B62" i="13"/>
  <c r="H61" i="13"/>
  <c r="F61" i="13"/>
  <c r="E61" i="13"/>
  <c r="B61" i="13"/>
  <c r="H60" i="13"/>
  <c r="F60" i="13"/>
  <c r="E60" i="13"/>
  <c r="B60" i="13"/>
  <c r="H54" i="13"/>
  <c r="F54" i="13"/>
  <c r="E54" i="13"/>
  <c r="B54" i="13"/>
  <c r="H53" i="13"/>
  <c r="F53" i="13"/>
  <c r="E53" i="13"/>
  <c r="B53" i="13"/>
  <c r="H52" i="13"/>
  <c r="F52" i="13"/>
  <c r="E52" i="13"/>
  <c r="B52" i="13"/>
  <c r="F51" i="13"/>
  <c r="B51" i="13"/>
  <c r="B50" i="13"/>
  <c r="H49" i="13"/>
  <c r="F49" i="13"/>
  <c r="E49" i="13"/>
  <c r="B49" i="13"/>
  <c r="H48" i="13"/>
  <c r="F48" i="13"/>
  <c r="E48" i="13"/>
  <c r="B48" i="13"/>
  <c r="H47" i="13"/>
  <c r="F47" i="13"/>
  <c r="E47" i="13"/>
  <c r="B47" i="13"/>
  <c r="H46" i="13"/>
  <c r="F46" i="13"/>
  <c r="E46" i="13"/>
  <c r="B46" i="13"/>
  <c r="H40" i="13"/>
  <c r="F40" i="13"/>
  <c r="E40" i="13"/>
  <c r="B40" i="13"/>
  <c r="H39" i="13"/>
  <c r="F39" i="13"/>
  <c r="E39" i="13"/>
  <c r="B39" i="13"/>
  <c r="H38" i="13"/>
  <c r="F38" i="13"/>
  <c r="E38" i="13"/>
  <c r="B38" i="13"/>
  <c r="F37" i="13"/>
  <c r="B37" i="13"/>
  <c r="B36" i="13"/>
  <c r="H35" i="13"/>
  <c r="F35" i="13"/>
  <c r="E35" i="13"/>
  <c r="B35" i="13"/>
  <c r="H34" i="13"/>
  <c r="F34" i="13"/>
  <c r="E34" i="13"/>
  <c r="B34" i="13"/>
  <c r="H33" i="13"/>
  <c r="F33" i="13"/>
  <c r="E33" i="13"/>
  <c r="B33" i="13"/>
  <c r="H32" i="13"/>
  <c r="F32" i="13"/>
  <c r="E32" i="13"/>
  <c r="B32" i="13"/>
  <c r="H26" i="13"/>
  <c r="F26" i="13"/>
  <c r="E26" i="13"/>
  <c r="B26" i="13"/>
  <c r="H25" i="13"/>
  <c r="F25" i="13"/>
  <c r="E25" i="13"/>
  <c r="B25" i="13"/>
  <c r="H24" i="13"/>
  <c r="F24" i="13"/>
  <c r="E24" i="13"/>
  <c r="B24" i="13"/>
  <c r="F23" i="13"/>
  <c r="B23" i="13"/>
  <c r="B22" i="13"/>
  <c r="H21" i="13"/>
  <c r="F21" i="13"/>
  <c r="E21" i="13"/>
  <c r="B21" i="13"/>
  <c r="H20" i="13"/>
  <c r="F20" i="13"/>
  <c r="E20" i="13"/>
  <c r="B20" i="13"/>
  <c r="H19" i="13"/>
  <c r="F19" i="13"/>
  <c r="E19" i="13"/>
  <c r="B19" i="13"/>
  <c r="H18" i="13"/>
  <c r="F18" i="13"/>
  <c r="E18" i="13"/>
  <c r="B18" i="13"/>
  <c r="B12" i="13"/>
  <c r="B11" i="13"/>
  <c r="B10" i="13"/>
  <c r="B9" i="13"/>
  <c r="B8" i="13"/>
  <c r="B7" i="13"/>
  <c r="B6" i="13"/>
  <c r="B5" i="13"/>
  <c r="B4" i="13"/>
  <c r="H7" i="13"/>
  <c r="F7" i="13"/>
  <c r="E7" i="13"/>
  <c r="H6" i="13"/>
  <c r="F6" i="13"/>
  <c r="E6" i="13"/>
  <c r="E5" i="13"/>
  <c r="F5" i="13"/>
  <c r="H5" i="13"/>
  <c r="H4" i="13"/>
  <c r="F4" i="13"/>
  <c r="E4" i="13"/>
  <c r="E41" i="13" l="1"/>
  <c r="E55" i="13"/>
  <c r="F41" i="13"/>
  <c r="F55" i="13"/>
  <c r="F83" i="13"/>
  <c r="H55" i="13"/>
  <c r="H27" i="13"/>
  <c r="H41" i="13"/>
  <c r="E69" i="13"/>
  <c r="F69" i="13"/>
  <c r="H69" i="13"/>
  <c r="F27" i="13"/>
  <c r="I56" i="10"/>
  <c r="F97" i="13"/>
  <c r="H97" i="13"/>
  <c r="E97" i="13"/>
  <c r="F111" i="13"/>
  <c r="H111" i="13"/>
  <c r="E111" i="13"/>
  <c r="H83" i="13"/>
  <c r="E83" i="13"/>
  <c r="E27" i="13"/>
  <c r="H12" i="13" l="1"/>
  <c r="F12" i="13"/>
  <c r="E12" i="13"/>
  <c r="H11" i="13"/>
  <c r="F11" i="13"/>
  <c r="E11" i="13"/>
  <c r="H10" i="13"/>
  <c r="F10" i="13"/>
  <c r="E10" i="13"/>
  <c r="F9" i="13"/>
  <c r="I47" i="10" l="1"/>
  <c r="I46" i="10"/>
  <c r="I45" i="10"/>
  <c r="I44" i="10"/>
  <c r="N37" i="10" s="1"/>
  <c r="I29" i="10"/>
  <c r="I28" i="10"/>
  <c r="I27" i="10"/>
  <c r="I26" i="10"/>
  <c r="F42" i="1"/>
  <c r="F22" i="8"/>
  <c r="I22" i="8" s="1"/>
  <c r="F23" i="8"/>
  <c r="I23" i="8" s="1"/>
  <c r="F24" i="8"/>
  <c r="I24" i="8" s="1"/>
  <c r="F25" i="8"/>
  <c r="I25" i="8" s="1"/>
  <c r="F21" i="8"/>
  <c r="L21" i="8" s="1"/>
  <c r="T37" i="1"/>
  <c r="R37" i="1"/>
  <c r="P37" i="1"/>
  <c r="N37" i="1"/>
  <c r="L37" i="1"/>
  <c r="J37" i="1"/>
  <c r="H37" i="1"/>
  <c r="J23" i="8" l="1"/>
  <c r="L25" i="8"/>
  <c r="L24" i="8"/>
  <c r="L23" i="8"/>
  <c r="N8" i="10"/>
  <c r="J25" i="8"/>
  <c r="J24" i="8"/>
  <c r="L22" i="8"/>
  <c r="J22" i="8"/>
  <c r="F26" i="8"/>
  <c r="I21" i="8"/>
  <c r="J21" i="8"/>
  <c r="M19" i="13"/>
  <c r="M18" i="13"/>
  <c r="G22" i="13" l="1"/>
  <c r="G8" i="13"/>
  <c r="G36" i="13"/>
  <c r="G50" i="13"/>
  <c r="G64" i="13"/>
  <c r="G106" i="13"/>
  <c r="G92" i="13"/>
  <c r="I92" i="13" s="1"/>
  <c r="G78" i="13"/>
  <c r="G79" i="13"/>
  <c r="I79" i="13" s="1"/>
  <c r="G65" i="13"/>
  <c r="I65" i="13" s="1"/>
  <c r="G51" i="13"/>
  <c r="I51" i="13" s="1"/>
  <c r="G93" i="13"/>
  <c r="I93" i="13" s="1"/>
  <c r="G37" i="13"/>
  <c r="I37" i="13" s="1"/>
  <c r="G9" i="13"/>
  <c r="G107" i="13"/>
  <c r="I107" i="13" s="1"/>
  <c r="G23" i="13"/>
  <c r="I23" i="13" s="1"/>
  <c r="I106" i="13"/>
  <c r="I78" i="13"/>
  <c r="I22" i="13"/>
  <c r="I36" i="13"/>
  <c r="I8" i="13"/>
  <c r="I50" i="13"/>
  <c r="L26" i="8"/>
  <c r="G104" i="13"/>
  <c r="I104" i="13" s="1"/>
  <c r="G34" i="13"/>
  <c r="I34" i="13" s="1"/>
  <c r="G20" i="13"/>
  <c r="I20" i="13" s="1"/>
  <c r="G62" i="13"/>
  <c r="I62" i="13" s="1"/>
  <c r="I64" i="13"/>
  <c r="G5" i="13"/>
  <c r="I5" i="13" s="1"/>
  <c r="G76" i="13"/>
  <c r="I76" i="13" s="1"/>
  <c r="G61" i="13"/>
  <c r="I61" i="13" s="1"/>
  <c r="G103" i="13"/>
  <c r="I103" i="13" s="1"/>
  <c r="G21" i="13"/>
  <c r="I21" i="13" s="1"/>
  <c r="G77" i="13"/>
  <c r="I77" i="13" s="1"/>
  <c r="G48" i="13"/>
  <c r="I48" i="13" s="1"/>
  <c r="G47" i="13"/>
  <c r="I47" i="13" s="1"/>
  <c r="G89" i="13"/>
  <c r="I89" i="13" s="1"/>
  <c r="G49" i="13"/>
  <c r="I49" i="13" s="1"/>
  <c r="G63" i="13"/>
  <c r="I63" i="13" s="1"/>
  <c r="G105" i="13"/>
  <c r="I105" i="13" s="1"/>
  <c r="G91" i="13"/>
  <c r="I91" i="13" s="1"/>
  <c r="G18" i="13"/>
  <c r="G60" i="13"/>
  <c r="G19" i="13"/>
  <c r="I19" i="13" s="1"/>
  <c r="G74" i="13"/>
  <c r="G90" i="13"/>
  <c r="I90" i="13" s="1"/>
  <c r="G88" i="13"/>
  <c r="G32" i="13"/>
  <c r="G75" i="13"/>
  <c r="I75" i="13" s="1"/>
  <c r="G102" i="13"/>
  <c r="G35" i="13"/>
  <c r="I35" i="13" s="1"/>
  <c r="G33" i="13"/>
  <c r="I33" i="13" s="1"/>
  <c r="G46" i="13"/>
  <c r="G38" i="13"/>
  <c r="I38" i="13" s="1"/>
  <c r="G80" i="13"/>
  <c r="I80" i="13" s="1"/>
  <c r="G26" i="13"/>
  <c r="I26" i="13" s="1"/>
  <c r="G24" i="13"/>
  <c r="I24" i="13" s="1"/>
  <c r="G68" i="13"/>
  <c r="I68" i="13" s="1"/>
  <c r="G40" i="13"/>
  <c r="I40" i="13" s="1"/>
  <c r="G110" i="13"/>
  <c r="I110" i="13" s="1"/>
  <c r="G82" i="13"/>
  <c r="I82" i="13" s="1"/>
  <c r="G108" i="13"/>
  <c r="I108" i="13" s="1"/>
  <c r="G66" i="13"/>
  <c r="I66" i="13" s="1"/>
  <c r="G53" i="13"/>
  <c r="I53" i="13" s="1"/>
  <c r="G67" i="13"/>
  <c r="I67" i="13" s="1"/>
  <c r="G94" i="13"/>
  <c r="I94" i="13" s="1"/>
  <c r="G25" i="13"/>
  <c r="I25" i="13" s="1"/>
  <c r="G81" i="13"/>
  <c r="I81" i="13" s="1"/>
  <c r="G54" i="13"/>
  <c r="I54" i="13" s="1"/>
  <c r="G39" i="13"/>
  <c r="I39" i="13" s="1"/>
  <c r="G109" i="13"/>
  <c r="I109" i="13" s="1"/>
  <c r="G95" i="13"/>
  <c r="I95" i="13" s="1"/>
  <c r="G52" i="13"/>
  <c r="I52" i="13" s="1"/>
  <c r="G96" i="13"/>
  <c r="I96" i="13" s="1"/>
  <c r="G6" i="13"/>
  <c r="I6" i="13" s="1"/>
  <c r="G7" i="13"/>
  <c r="I7" i="13" s="1"/>
  <c r="G4" i="13"/>
  <c r="I9" i="13"/>
  <c r="G10" i="13"/>
  <c r="I10" i="13" s="1"/>
  <c r="G11" i="13"/>
  <c r="I11" i="13" s="1"/>
  <c r="G12" i="13"/>
  <c r="I12" i="13" s="1"/>
  <c r="J26" i="8"/>
  <c r="I26" i="8"/>
  <c r="T62" i="1"/>
  <c r="S48" i="1"/>
  <c r="T48" i="1" s="1"/>
  <c r="S28" i="1"/>
  <c r="T28" i="1" s="1"/>
  <c r="Q28" i="1"/>
  <c r="R28" i="1" s="1"/>
  <c r="R62" i="1"/>
  <c r="P62" i="1"/>
  <c r="O48" i="1"/>
  <c r="P48" i="1" s="1"/>
  <c r="M48" i="1"/>
  <c r="N48" i="1" s="1"/>
  <c r="N62" i="1"/>
  <c r="M28" i="1"/>
  <c r="N28" i="1" s="1"/>
  <c r="Q48" i="1"/>
  <c r="R48" i="1" s="1"/>
  <c r="O28" i="1"/>
  <c r="P28" i="1" s="1"/>
  <c r="K28" i="1"/>
  <c r="L28" i="1" s="1"/>
  <c r="L62" i="1"/>
  <c r="K48" i="1"/>
  <c r="L48" i="1" s="1"/>
  <c r="I28" i="1"/>
  <c r="J28" i="1" s="1"/>
  <c r="J62" i="1"/>
  <c r="I48" i="1"/>
  <c r="J48" i="1" s="1"/>
  <c r="I102" i="13" l="1"/>
  <c r="I111" i="13" s="1"/>
  <c r="G111" i="13"/>
  <c r="T50" i="1" s="1"/>
  <c r="I88" i="13"/>
  <c r="I97" i="13" s="1"/>
  <c r="G97" i="13"/>
  <c r="R50" i="1" s="1"/>
  <c r="G27" i="13"/>
  <c r="I18" i="13"/>
  <c r="I27" i="13" s="1"/>
  <c r="G55" i="13"/>
  <c r="L50" i="1" s="1"/>
  <c r="I46" i="13"/>
  <c r="I55" i="13" s="1"/>
  <c r="G83" i="13"/>
  <c r="P50" i="1" s="1"/>
  <c r="I74" i="13"/>
  <c r="I83" i="13" s="1"/>
  <c r="I60" i="13"/>
  <c r="I69" i="13" s="1"/>
  <c r="G69" i="13"/>
  <c r="N50" i="1" s="1"/>
  <c r="I32" i="13"/>
  <c r="I41" i="13" s="1"/>
  <c r="G41" i="13"/>
  <c r="T38" i="1"/>
  <c r="R38" i="1"/>
  <c r="P38" i="1"/>
  <c r="N38" i="1"/>
  <c r="L38" i="1"/>
  <c r="J38" i="1"/>
  <c r="H38" i="1"/>
  <c r="F38" i="1" l="1"/>
  <c r="T39" i="1"/>
  <c r="R39" i="1"/>
  <c r="P39" i="1"/>
  <c r="N39" i="1"/>
  <c r="L39" i="1"/>
  <c r="J39" i="1"/>
  <c r="H39" i="1"/>
  <c r="F39" i="1"/>
  <c r="J50" i="1" l="1"/>
  <c r="G48" i="1"/>
  <c r="H48" i="1" s="1"/>
  <c r="H62" i="1"/>
  <c r="G28" i="1"/>
  <c r="H28" i="1" s="1"/>
  <c r="E13" i="13" l="1"/>
  <c r="E28" i="1" s="1"/>
  <c r="F28" i="1" s="1"/>
  <c r="F13" i="13"/>
  <c r="E48" i="1" s="1"/>
  <c r="F48" i="1" s="1"/>
  <c r="H13" i="13"/>
  <c r="F62" i="1" s="1"/>
  <c r="H50" i="1" l="1"/>
  <c r="I4" i="13"/>
  <c r="I13" i="13" s="1"/>
  <c r="G13" i="13"/>
  <c r="F50" i="1" s="1"/>
  <c r="H11" i="1" l="1"/>
  <c r="T13" i="1" l="1"/>
  <c r="T14" i="1"/>
  <c r="T15" i="1"/>
  <c r="R13" i="1"/>
  <c r="R14" i="1"/>
  <c r="R15" i="1"/>
  <c r="P13" i="1"/>
  <c r="P14" i="1"/>
  <c r="P15" i="1"/>
  <c r="N13" i="1"/>
  <c r="N14" i="1"/>
  <c r="N15" i="1"/>
  <c r="L13" i="1"/>
  <c r="L14" i="1"/>
  <c r="L15" i="1"/>
  <c r="J13" i="1"/>
  <c r="J14" i="1"/>
  <c r="J15" i="1"/>
  <c r="H13" i="1"/>
  <c r="H14" i="1"/>
  <c r="H15" i="1"/>
  <c r="F14" i="1"/>
  <c r="F13" i="1"/>
  <c r="J7" i="1" l="1"/>
  <c r="H7" i="1"/>
  <c r="F46" i="1"/>
  <c r="F45" i="1"/>
  <c r="F44" i="1" l="1"/>
  <c r="F41" i="1"/>
  <c r="H36" i="1" l="1"/>
  <c r="T34" i="1" l="1"/>
  <c r="T32" i="1"/>
  <c r="R34" i="1"/>
  <c r="R32" i="1"/>
  <c r="P34" i="1"/>
  <c r="P32" i="1"/>
  <c r="N34" i="1"/>
  <c r="N32" i="1"/>
  <c r="L34" i="1"/>
  <c r="L32" i="1"/>
  <c r="F47" i="1" l="1"/>
  <c r="D12" i="8"/>
  <c r="F12" i="8" s="1"/>
  <c r="L12" i="8" s="1"/>
  <c r="J12" i="8" l="1"/>
  <c r="I12" i="8"/>
  <c r="I42" i="10" l="1"/>
  <c r="I43" i="10"/>
  <c r="I41" i="10"/>
  <c r="I39" i="10"/>
  <c r="I40" i="10"/>
  <c r="I38" i="10"/>
  <c r="I36" i="10"/>
  <c r="I37" i="10"/>
  <c r="I35" i="10"/>
  <c r="I48" i="10" s="1"/>
  <c r="I25" i="10"/>
  <c r="I24" i="10"/>
  <c r="I22" i="10"/>
  <c r="I23" i="10"/>
  <c r="I20" i="10"/>
  <c r="I21" i="10"/>
  <c r="I19" i="10"/>
  <c r="I18" i="10"/>
  <c r="I16" i="10"/>
  <c r="I17" i="10"/>
  <c r="I15" i="10"/>
  <c r="I14" i="10"/>
  <c r="I12" i="10"/>
  <c r="I13" i="10"/>
  <c r="I9" i="10"/>
  <c r="I10" i="10"/>
  <c r="I11" i="10"/>
  <c r="I8" i="10"/>
  <c r="I7" i="10"/>
  <c r="I6" i="10"/>
  <c r="N5" i="10" s="1"/>
  <c r="I5" i="10"/>
  <c r="I4" i="10"/>
  <c r="F5" i="8"/>
  <c r="L5" i="8" s="1"/>
  <c r="F6" i="8"/>
  <c r="L6" i="8" s="1"/>
  <c r="F7" i="8"/>
  <c r="L7" i="8" s="1"/>
  <c r="F8" i="8"/>
  <c r="L8" i="8" s="1"/>
  <c r="F9" i="8"/>
  <c r="L9" i="8" s="1"/>
  <c r="F10" i="8"/>
  <c r="F11" i="8"/>
  <c r="F13" i="8"/>
  <c r="L13" i="8" s="1"/>
  <c r="F14" i="8"/>
  <c r="F15" i="8"/>
  <c r="L15" i="8" s="1"/>
  <c r="F4" i="8"/>
  <c r="I30" i="10" l="1"/>
  <c r="N6" i="10"/>
  <c r="N36" i="10"/>
  <c r="N4" i="10"/>
  <c r="N35" i="10"/>
  <c r="N38" i="10" s="1"/>
  <c r="N7" i="10"/>
  <c r="J4" i="8"/>
  <c r="L4" i="8"/>
  <c r="J14" i="8"/>
  <c r="L14" i="8"/>
  <c r="J11" i="8"/>
  <c r="L11" i="8"/>
  <c r="J10" i="8"/>
  <c r="L10" i="8"/>
  <c r="J8" i="8"/>
  <c r="J7" i="8"/>
  <c r="F16" i="8"/>
  <c r="J9" i="8"/>
  <c r="J6" i="8"/>
  <c r="J5" i="8"/>
  <c r="J15" i="8"/>
  <c r="J13" i="8"/>
  <c r="I5" i="8"/>
  <c r="I6" i="8"/>
  <c r="I7" i="8"/>
  <c r="I8" i="8"/>
  <c r="I9" i="8"/>
  <c r="I10" i="8"/>
  <c r="I11" i="8"/>
  <c r="I13" i="8"/>
  <c r="I14" i="8"/>
  <c r="I15" i="8"/>
  <c r="R64" i="1" l="1"/>
  <c r="T64" i="1"/>
  <c r="P64" i="1"/>
  <c r="N64" i="1"/>
  <c r="L64" i="1"/>
  <c r="N9" i="10"/>
  <c r="L16" i="8"/>
  <c r="J64" i="1"/>
  <c r="H64" i="1"/>
  <c r="F64" i="1"/>
  <c r="J16" i="8"/>
  <c r="T18" i="1"/>
  <c r="R18" i="1"/>
  <c r="P18" i="1"/>
  <c r="N18" i="1"/>
  <c r="L18" i="1"/>
  <c r="J18" i="1"/>
  <c r="H18" i="1"/>
  <c r="F18" i="1"/>
  <c r="T19" i="1"/>
  <c r="R19" i="1"/>
  <c r="P19" i="1"/>
  <c r="N19" i="1"/>
  <c r="L19" i="1"/>
  <c r="J19" i="1"/>
  <c r="H19" i="1"/>
  <c r="F19" i="1"/>
  <c r="T31" i="1"/>
  <c r="R31" i="1"/>
  <c r="P31" i="1"/>
  <c r="N31" i="1"/>
  <c r="L31" i="1"/>
  <c r="H27" i="1"/>
  <c r="F27" i="1"/>
  <c r="F37" i="1"/>
  <c r="P51" i="1" l="1"/>
  <c r="T51" i="1"/>
  <c r="R51" i="1"/>
  <c r="N51" i="1"/>
  <c r="L51" i="1"/>
  <c r="T61" i="1"/>
  <c r="R61" i="1"/>
  <c r="P61" i="1"/>
  <c r="N61" i="1"/>
  <c r="F61" i="1"/>
  <c r="L61" i="1"/>
  <c r="H51" i="1"/>
  <c r="F51" i="1"/>
  <c r="J51" i="1"/>
  <c r="J61" i="1"/>
  <c r="H61" i="1"/>
  <c r="T17" i="1"/>
  <c r="R17" i="1"/>
  <c r="P17" i="1"/>
  <c r="N17" i="1"/>
  <c r="L17" i="1"/>
  <c r="J17" i="1"/>
  <c r="H17" i="1"/>
  <c r="F17" i="1"/>
  <c r="T16" i="1"/>
  <c r="R16" i="1"/>
  <c r="P16" i="1"/>
  <c r="N16" i="1"/>
  <c r="L16" i="1"/>
  <c r="J16" i="1"/>
  <c r="H16" i="1"/>
  <c r="F16" i="1"/>
  <c r="F15" i="1"/>
  <c r="T5" i="1" l="1"/>
  <c r="T7" i="1" s="1"/>
  <c r="R5" i="1"/>
  <c r="R7" i="1" s="1"/>
  <c r="P5" i="1"/>
  <c r="P7" i="1" s="1"/>
  <c r="N5" i="1"/>
  <c r="N7" i="1" s="1"/>
  <c r="L5" i="1" l="1"/>
  <c r="L7" i="1" s="1"/>
  <c r="T52" i="1"/>
  <c r="R52" i="1"/>
  <c r="P52" i="1" l="1"/>
  <c r="I4" i="8"/>
  <c r="I16" i="8" s="1"/>
  <c r="F60" i="1" l="1"/>
  <c r="T60" i="1"/>
  <c r="P60" i="1"/>
  <c r="L60" i="1"/>
  <c r="R60" i="1"/>
  <c r="N60" i="1"/>
  <c r="J60" i="1"/>
  <c r="H60" i="1"/>
  <c r="N55" i="1"/>
  <c r="L55" i="1"/>
  <c r="J55" i="1"/>
  <c r="T55" i="1" s="1"/>
  <c r="T56" i="1" s="1"/>
  <c r="H55" i="1"/>
  <c r="R55" i="1" s="1"/>
  <c r="R56" i="1" s="1"/>
  <c r="F55" i="1"/>
  <c r="P55" i="1" s="1"/>
  <c r="P56" i="1" s="1"/>
  <c r="L63" i="1" l="1"/>
  <c r="J63" i="1"/>
  <c r="H63" i="1"/>
  <c r="F63" i="1"/>
  <c r="L65" i="1" l="1"/>
  <c r="J65" i="1"/>
  <c r="F65" i="1"/>
  <c r="H65" i="1"/>
  <c r="N63" i="1"/>
  <c r="N65" i="1" l="1"/>
  <c r="P63" i="1"/>
  <c r="R63" i="1" l="1"/>
  <c r="P65" i="1"/>
  <c r="N52" i="1"/>
  <c r="L52" i="1"/>
  <c r="T63" i="1" l="1"/>
  <c r="T65" i="1" s="1"/>
  <c r="R65" i="1"/>
  <c r="N56" i="1"/>
  <c r="L56" i="1"/>
  <c r="J56" i="1" l="1"/>
  <c r="T57" i="1" s="1"/>
  <c r="H56" i="1"/>
  <c r="H57" i="1" s="1"/>
  <c r="F56" i="1"/>
  <c r="F57" i="1" s="1"/>
  <c r="L57" i="1"/>
  <c r="L69" i="1" s="1"/>
  <c r="E21" i="12" l="1"/>
  <c r="E19" i="12"/>
  <c r="D21" i="12"/>
  <c r="D19" i="12"/>
  <c r="J15" i="12"/>
  <c r="I15" i="12"/>
  <c r="H15" i="12"/>
  <c r="F15" i="12"/>
  <c r="E15" i="12"/>
  <c r="D15" i="12"/>
  <c r="J19" i="12"/>
  <c r="J16" i="12"/>
  <c r="I19" i="12"/>
  <c r="I16" i="12"/>
  <c r="H21" i="12"/>
  <c r="H19" i="12"/>
  <c r="H16" i="12"/>
  <c r="F21" i="12"/>
  <c r="F19" i="12"/>
  <c r="J20" i="12"/>
  <c r="I20" i="12"/>
  <c r="H20" i="12"/>
  <c r="F20" i="12"/>
  <c r="E20" i="12"/>
  <c r="D20" i="12"/>
  <c r="J21" i="12"/>
  <c r="I21" i="12"/>
  <c r="F16" i="12"/>
  <c r="D16" i="12"/>
  <c r="J17" i="12"/>
  <c r="G21" i="12"/>
  <c r="G20" i="12"/>
  <c r="G19" i="12"/>
  <c r="G15" i="12"/>
  <c r="G16" i="12"/>
  <c r="G18" i="12"/>
  <c r="D18" i="12"/>
  <c r="F18" i="12"/>
  <c r="I17" i="12"/>
  <c r="G17" i="12"/>
  <c r="H18" i="12"/>
  <c r="H17" i="12"/>
  <c r="F17" i="12"/>
  <c r="E17" i="12"/>
  <c r="D17" i="12"/>
  <c r="J18" i="12"/>
  <c r="I18" i="12"/>
  <c r="E18" i="12"/>
  <c r="E16" i="12"/>
  <c r="T69" i="1"/>
  <c r="T67" i="1"/>
  <c r="R57" i="1"/>
  <c r="P57" i="1"/>
  <c r="F67" i="1"/>
  <c r="F70" i="1" s="1"/>
  <c r="F69" i="1"/>
  <c r="L67" i="1"/>
  <c r="L70" i="1" s="1"/>
  <c r="N57" i="1"/>
  <c r="N69" i="1" s="1"/>
  <c r="J57" i="1"/>
  <c r="J69" i="1" s="1"/>
  <c r="D5" i="12" l="1"/>
  <c r="D6" i="12"/>
  <c r="D8" i="12"/>
  <c r="D9" i="12"/>
  <c r="D10" i="12"/>
  <c r="D4" i="12"/>
  <c r="E5" i="12"/>
  <c r="E7" i="12"/>
  <c r="E8" i="12"/>
  <c r="E9" i="12"/>
  <c r="E10" i="12"/>
  <c r="E4" i="12"/>
  <c r="F5" i="12"/>
  <c r="F6" i="12"/>
  <c r="F7" i="12"/>
  <c r="F8" i="12"/>
  <c r="F9" i="12"/>
  <c r="F10" i="12"/>
  <c r="F4" i="12"/>
  <c r="G7" i="12"/>
  <c r="D7" i="12"/>
  <c r="E6" i="12"/>
  <c r="G5" i="12"/>
  <c r="J9" i="12"/>
  <c r="J4" i="12"/>
  <c r="H5" i="12"/>
  <c r="H7" i="12"/>
  <c r="H4" i="12"/>
  <c r="I7" i="12"/>
  <c r="I9" i="12"/>
  <c r="J7" i="12"/>
  <c r="J8" i="12"/>
  <c r="G8" i="12"/>
  <c r="J10" i="12"/>
  <c r="G4" i="12"/>
  <c r="H8" i="12"/>
  <c r="I6" i="12"/>
  <c r="I10" i="12"/>
  <c r="J6" i="12"/>
  <c r="G9" i="12"/>
  <c r="J5" i="12"/>
  <c r="H6" i="12"/>
  <c r="H9" i="12"/>
  <c r="I5" i="12"/>
  <c r="I8" i="12"/>
  <c r="G6" i="12"/>
  <c r="G10" i="12"/>
  <c r="H10" i="12"/>
  <c r="I4" i="12"/>
  <c r="T70" i="1"/>
  <c r="R69" i="1"/>
  <c r="R67" i="1"/>
  <c r="R70" i="1" s="1"/>
  <c r="H67" i="1"/>
  <c r="H70" i="1" s="1"/>
  <c r="H69" i="1"/>
  <c r="P67" i="1"/>
  <c r="P70" i="1" s="1"/>
  <c r="P69" i="1"/>
  <c r="J67" i="1"/>
  <c r="J70" i="1" s="1"/>
  <c r="N67" i="1"/>
  <c r="N70" i="1" s="1"/>
</calcChain>
</file>

<file path=xl/sharedStrings.xml><?xml version="1.0" encoding="utf-8"?>
<sst xmlns="http://schemas.openxmlformats.org/spreadsheetml/2006/main" count="828" uniqueCount="262">
  <si>
    <t xml:space="preserve">  Labor</t>
  </si>
  <si>
    <t xml:space="preserve">  Interest on operating capital</t>
  </si>
  <si>
    <t>acre</t>
  </si>
  <si>
    <t>each</t>
  </si>
  <si>
    <t>pound</t>
  </si>
  <si>
    <t>Unit</t>
  </si>
  <si>
    <t>Income</t>
  </si>
  <si>
    <t>Total income</t>
  </si>
  <si>
    <t xml:space="preserve">  Other expense</t>
  </si>
  <si>
    <t>Price/unit</t>
  </si>
  <si>
    <t>Quantity</t>
  </si>
  <si>
    <t>Total</t>
  </si>
  <si>
    <t>Operating costs</t>
  </si>
  <si>
    <t xml:space="preserve">  Real estate charge</t>
  </si>
  <si>
    <t xml:space="preserve">Total operating costs </t>
  </si>
  <si>
    <t>percent</t>
  </si>
  <si>
    <t>Total ownership costs</t>
  </si>
  <si>
    <t>Total costs</t>
  </si>
  <si>
    <t xml:space="preserve">Income over operating costs </t>
  </si>
  <si>
    <t xml:space="preserve">Income over total costs </t>
  </si>
  <si>
    <t>Lifespan</t>
  </si>
  <si>
    <t>Item</t>
  </si>
  <si>
    <t>Depreciation</t>
  </si>
  <si>
    <t>Interest</t>
  </si>
  <si>
    <t>Dollars</t>
  </si>
  <si>
    <t>Years</t>
  </si>
  <si>
    <t>Percent</t>
  </si>
  <si>
    <t xml:space="preserve">  Repairs and maintenance</t>
  </si>
  <si>
    <t>ton</t>
  </si>
  <si>
    <t>hour</t>
  </si>
  <si>
    <t>Ownership costs</t>
  </si>
  <si>
    <t>Developed by:</t>
  </si>
  <si>
    <t>University of Missouri Extension</t>
  </si>
  <si>
    <t>This worksheet is for educational purposes only and the user assumes all risks associated with its use.</t>
  </si>
  <si>
    <t>Missouri High Density Apple Orchard Budget (One Acre)</t>
  </si>
  <si>
    <t>bushel</t>
  </si>
  <si>
    <t>Site Preparation Year</t>
  </si>
  <si>
    <t>Salvage value</t>
  </si>
  <si>
    <t>First Production Year</t>
  </si>
  <si>
    <t>Planting Year</t>
  </si>
  <si>
    <t>Second Production Year</t>
  </si>
  <si>
    <t>Third Production Year</t>
  </si>
  <si>
    <t>Fourth Production Year</t>
  </si>
  <si>
    <t>No Production Year</t>
  </si>
  <si>
    <t>Price/Unit</t>
  </si>
  <si>
    <t>percent of sales</t>
  </si>
  <si>
    <t>Rally</t>
  </si>
  <si>
    <t>Assail</t>
  </si>
  <si>
    <t>Imidan</t>
  </si>
  <si>
    <t>Avaunt</t>
  </si>
  <si>
    <t>Luna Sensation</t>
  </si>
  <si>
    <t>Merivon</t>
  </si>
  <si>
    <t>Bearing trees</t>
  </si>
  <si>
    <t>Bloom</t>
  </si>
  <si>
    <t>Apogee</t>
  </si>
  <si>
    <t>Actigard</t>
  </si>
  <si>
    <t>Bloom 2</t>
  </si>
  <si>
    <t>Cover 1</t>
  </si>
  <si>
    <t>Cover 2</t>
  </si>
  <si>
    <t>Cover 3</t>
  </si>
  <si>
    <t>Summer cover 1</t>
  </si>
  <si>
    <t xml:space="preserve">Topsin </t>
  </si>
  <si>
    <t>Summer cover 3</t>
  </si>
  <si>
    <t>Harvest</t>
  </si>
  <si>
    <t>Non-Bearing trees</t>
  </si>
  <si>
    <t>Brace pins</t>
  </si>
  <si>
    <t>High tensile wire</t>
  </si>
  <si>
    <t>Tensioners</t>
  </si>
  <si>
    <t>Gripples</t>
  </si>
  <si>
    <t>Staples</t>
  </si>
  <si>
    <t>Miscellaneous equipment and tools</t>
  </si>
  <si>
    <t>foot</t>
  </si>
  <si>
    <t xml:space="preserve">  Custom hire</t>
  </si>
  <si>
    <t>Timing/stage</t>
  </si>
  <si>
    <t>Rate guidance</t>
  </si>
  <si>
    <t>Chemical name</t>
  </si>
  <si>
    <t>Tight cluster</t>
  </si>
  <si>
    <t>pint</t>
  </si>
  <si>
    <t>Per acre</t>
  </si>
  <si>
    <t>3.5 to 7 pints</t>
  </si>
  <si>
    <t>Tight cluster to pink</t>
  </si>
  <si>
    <t>5 to 8 ounces</t>
  </si>
  <si>
    <t>9 to 36 ounces</t>
  </si>
  <si>
    <t>24 to 48 ounces</t>
  </si>
  <si>
    <t>1 to 2 ounces</t>
  </si>
  <si>
    <t>ounce</t>
  </si>
  <si>
    <t>Petal fall</t>
  </si>
  <si>
    <t>4.8 quarts</t>
  </si>
  <si>
    <t>quart</t>
  </si>
  <si>
    <t>2.1 to 5.7 pounds</t>
  </si>
  <si>
    <t>5 to 6 ounces</t>
  </si>
  <si>
    <t>Summer cover 2</t>
  </si>
  <si>
    <t>4 to 5.8 ounces</t>
  </si>
  <si>
    <t>4 to 5.5 ounces</t>
  </si>
  <si>
    <t>Week 1</t>
  </si>
  <si>
    <t>Week 2</t>
  </si>
  <si>
    <t>Week 3</t>
  </si>
  <si>
    <t>Week 4</t>
  </si>
  <si>
    <t>Week 5</t>
  </si>
  <si>
    <t xml:space="preserve">  Crop insurance</t>
  </si>
  <si>
    <t>Repairs</t>
  </si>
  <si>
    <t>Trellis clips</t>
  </si>
  <si>
    <t>Fungicide</t>
  </si>
  <si>
    <t>Plant growth regulator</t>
  </si>
  <si>
    <t>Insecticide</t>
  </si>
  <si>
    <t>Bactericide</t>
  </si>
  <si>
    <t>Use</t>
  </si>
  <si>
    <t xml:space="preserve">      Phosphorus</t>
  </si>
  <si>
    <t xml:space="preserve">      Potassium</t>
  </si>
  <si>
    <t xml:space="preserve">     Subsoiling</t>
  </si>
  <si>
    <t xml:space="preserve">     Land clearing</t>
  </si>
  <si>
    <t xml:space="preserve">  Machinery fuel</t>
  </si>
  <si>
    <t xml:space="preserve">  Machinery ownership</t>
  </si>
  <si>
    <t xml:space="preserve">     Subsurface drain, tiling</t>
  </si>
  <si>
    <t xml:space="preserve">     Woven weed barrier</t>
  </si>
  <si>
    <t xml:space="preserve">  Government payments</t>
  </si>
  <si>
    <t>Labor</t>
  </si>
  <si>
    <t>Fuel</t>
  </si>
  <si>
    <t>Hours</t>
  </si>
  <si>
    <t>per acre</t>
  </si>
  <si>
    <r>
      <rPr>
        <vertAlign val="superscript"/>
        <sz val="11"/>
        <color theme="1"/>
        <rFont val="Aptos"/>
        <family val="2"/>
      </rPr>
      <t xml:space="preserve">1 </t>
    </r>
    <r>
      <rPr>
        <sz val="11"/>
        <color theme="1"/>
        <rFont val="Aptos"/>
        <family val="2"/>
      </rPr>
      <t>Machinery operating cost is the sum of fuel, repairs, maintenance, and the value of labor</t>
    </r>
  </si>
  <si>
    <r>
      <rPr>
        <vertAlign val="superscript"/>
        <sz val="11"/>
        <color theme="1"/>
        <rFont val="Aptos"/>
        <family val="2"/>
      </rPr>
      <t xml:space="preserve">2 </t>
    </r>
    <r>
      <rPr>
        <sz val="11"/>
        <color theme="1"/>
        <rFont val="Aptos"/>
        <family val="2"/>
      </rPr>
      <t>Machinery ownership cost is the sum of machinery overhead and depreciation.</t>
    </r>
  </si>
  <si>
    <t>Price per bushel</t>
  </si>
  <si>
    <t>Full Production Year</t>
  </si>
  <si>
    <t>total</t>
  </si>
  <si>
    <t xml:space="preserve">      Soil test</t>
  </si>
  <si>
    <t xml:space="preserve">  Fertilizer and soil amendments</t>
  </si>
  <si>
    <t xml:space="preserve">      Packing and grading</t>
  </si>
  <si>
    <t xml:space="preserve">      Harvesting</t>
  </si>
  <si>
    <t xml:space="preserve">      Site preparation and planting</t>
  </si>
  <si>
    <t xml:space="preserve">      Tree tubes</t>
  </si>
  <si>
    <t xml:space="preserve">      Grass seed</t>
  </si>
  <si>
    <t xml:space="preserve">      Bee rental</t>
  </si>
  <si>
    <t xml:space="preserve">      Rodent control</t>
  </si>
  <si>
    <t xml:space="preserve">      Herbicide</t>
  </si>
  <si>
    <t xml:space="preserve">      Bactericide</t>
  </si>
  <si>
    <t xml:space="preserve">      Insecticide</t>
  </si>
  <si>
    <t xml:space="preserve">      Plant growth regulator</t>
  </si>
  <si>
    <t xml:space="preserve">      Fungicide</t>
  </si>
  <si>
    <t>Fuel price</t>
  </si>
  <si>
    <t>Harvest tractor ratio</t>
  </si>
  <si>
    <t>Fuel use</t>
  </si>
  <si>
    <t>Overhead</t>
  </si>
  <si>
    <t>Repair</t>
  </si>
  <si>
    <t>per hour</t>
  </si>
  <si>
    <t>45 hp mfwd cab tractor with loader</t>
  </si>
  <si>
    <t>Airblast sprayer, 100 gallon; 45 HP MFWD</t>
  </si>
  <si>
    <t>Weed sprayer - pull-type; 45 HP MFWD</t>
  </si>
  <si>
    <t>Spreader - double spinner; 45 HP MFWD</t>
  </si>
  <si>
    <t>Finish mower, 7 ft.; 45 HP MFWD</t>
  </si>
  <si>
    <t>Harvest bin trailer; 45 HP MFWD</t>
  </si>
  <si>
    <t>Operator labor</t>
  </si>
  <si>
    <t xml:space="preserve">  Supplies </t>
  </si>
  <si>
    <t xml:space="preserve">      Tractor and machinery </t>
  </si>
  <si>
    <t xml:space="preserve">      Infrastructure</t>
  </si>
  <si>
    <t>per year</t>
  </si>
  <si>
    <t>Manzate Maxx</t>
  </si>
  <si>
    <t>Agri-Strep</t>
  </si>
  <si>
    <t>900 CC 4x4 UTV</t>
  </si>
  <si>
    <t xml:space="preserve">Purchase </t>
  </si>
  <si>
    <t xml:space="preserve">Price </t>
  </si>
  <si>
    <t>trip</t>
  </si>
  <si>
    <t>gallon</t>
  </si>
  <si>
    <t xml:space="preserve">  Depreciation on infrastructure</t>
  </si>
  <si>
    <t xml:space="preserve">  Interest on infrastructure</t>
  </si>
  <si>
    <t>percent of capital</t>
  </si>
  <si>
    <t>test</t>
  </si>
  <si>
    <t>Table 1. Initial infrastructure investments for one acre (3 feet x 12 feet orchard spacing)</t>
  </si>
  <si>
    <t>Cold storage</t>
  </si>
  <si>
    <t xml:space="preserve">     Tilling rows</t>
  </si>
  <si>
    <t>Harvest totes</t>
  </si>
  <si>
    <t>feet</t>
  </si>
  <si>
    <t>High tensile fence for wildlife control</t>
  </si>
  <si>
    <t>Herbicide</t>
  </si>
  <si>
    <t>cubic foot</t>
  </si>
  <si>
    <t>hive</t>
  </si>
  <si>
    <t>Badge SC</t>
  </si>
  <si>
    <t>2.5 to 5 pounds</t>
  </si>
  <si>
    <t>Captan 80</t>
  </si>
  <si>
    <t>0.75 to 1 pound</t>
  </si>
  <si>
    <t>Machine</t>
  </si>
  <si>
    <t>Air blast</t>
  </si>
  <si>
    <t>Activity #</t>
  </si>
  <si>
    <t>Before bud break</t>
  </si>
  <si>
    <t>Post emergence 1</t>
  </si>
  <si>
    <t>Post emergence 2</t>
  </si>
  <si>
    <t>Sinbar</t>
  </si>
  <si>
    <t>Gramoxone</t>
  </si>
  <si>
    <t>0.5 to 4 pounds</t>
  </si>
  <si>
    <t>Weed sprayer</t>
  </si>
  <si>
    <t>1.7 to 2.7 pints</t>
  </si>
  <si>
    <t>Site prepartion</t>
  </si>
  <si>
    <t>1-ton 4x4 pickup</t>
  </si>
  <si>
    <t>2-man work platform; 45 HP MFWD</t>
  </si>
  <si>
    <t>2-ton flatbed truck</t>
  </si>
  <si>
    <t xml:space="preserve">10 to 11 ounces </t>
  </si>
  <si>
    <t>Roundup WeatherMAX</t>
  </si>
  <si>
    <t xml:space="preserve">  Other overhead, taxes and insurance</t>
  </si>
  <si>
    <t>Irrigation system, dripline, fertigation, well connection</t>
  </si>
  <si>
    <t xml:space="preserve">      Machinery operator</t>
  </si>
  <si>
    <t xml:space="preserve">      Thinning</t>
  </si>
  <si>
    <t xml:space="preserve">      Irrigation</t>
  </si>
  <si>
    <t xml:space="preserve">      Pruning and training</t>
  </si>
  <si>
    <t>Bushels per acre</t>
  </si>
  <si>
    <t xml:space="preserve">  Apples </t>
  </si>
  <si>
    <t xml:space="preserve">  Apple trees</t>
  </si>
  <si>
    <t>per bushel</t>
  </si>
  <si>
    <r>
      <t xml:space="preserve">  Chemicals</t>
    </r>
    <r>
      <rPr>
        <vertAlign val="superscript"/>
        <sz val="12"/>
        <color theme="1"/>
        <rFont val="Aptos"/>
        <family val="2"/>
      </rPr>
      <t>1</t>
    </r>
  </si>
  <si>
    <r>
      <t xml:space="preserve">     Excavator with tamper</t>
    </r>
    <r>
      <rPr>
        <i/>
        <sz val="12"/>
        <color theme="1"/>
        <rFont val="Aptos"/>
        <family val="2"/>
      </rPr>
      <t xml:space="preserve"> (post install)</t>
    </r>
  </si>
  <si>
    <r>
      <t xml:space="preserve">  Utilities </t>
    </r>
    <r>
      <rPr>
        <i/>
        <sz val="12"/>
        <color theme="1"/>
        <rFont val="Aptos"/>
        <family val="2"/>
      </rPr>
      <t>(walk-in cooler)</t>
    </r>
  </si>
  <si>
    <t xml:space="preserve">      Lime (deliver and spread)</t>
  </si>
  <si>
    <t xml:space="preserve">      Nitrogen (calcium nitrate)</t>
  </si>
  <si>
    <r>
      <t xml:space="preserve">Treated wooden end posts </t>
    </r>
    <r>
      <rPr>
        <i/>
        <sz val="12"/>
        <color theme="1"/>
        <rFont val="Aptos"/>
        <family val="2"/>
      </rPr>
      <t>(14 ft. x 5-6 in.)</t>
    </r>
  </si>
  <si>
    <r>
      <t xml:space="preserve">Treated wooden middle posts </t>
    </r>
    <r>
      <rPr>
        <i/>
        <sz val="12"/>
        <color theme="1"/>
        <rFont val="Aptos"/>
        <family val="2"/>
      </rPr>
      <t>(14 ft. x 4-5 in.)</t>
    </r>
  </si>
  <si>
    <r>
      <t xml:space="preserve">Treated wooden H brace poles </t>
    </r>
    <r>
      <rPr>
        <i/>
        <sz val="12"/>
        <color theme="1"/>
        <rFont val="Aptos"/>
        <family val="2"/>
      </rPr>
      <t>(14 ft. x 4-5 in.)</t>
    </r>
  </si>
  <si>
    <r>
      <t>Total</t>
    </r>
    <r>
      <rPr>
        <vertAlign val="superscript"/>
        <sz val="12"/>
        <color theme="1"/>
        <rFont val="Aptos"/>
        <family val="2"/>
      </rPr>
      <t>3</t>
    </r>
    <r>
      <rPr>
        <sz val="12"/>
        <color theme="1"/>
        <rFont val="Aptos"/>
        <family val="2"/>
      </rPr>
      <t xml:space="preserve"> </t>
    </r>
  </si>
  <si>
    <r>
      <rPr>
        <vertAlign val="superscript"/>
        <sz val="11"/>
        <color theme="1"/>
        <rFont val="Aptos"/>
        <family val="2"/>
      </rPr>
      <t>1</t>
    </r>
    <r>
      <rPr>
        <sz val="11"/>
        <color theme="1"/>
        <rFont val="Aptos"/>
        <family val="2"/>
      </rPr>
      <t xml:space="preserve"> The cost of chemicals included in the budget is based on a spray program in a typical season in Missouri.    </t>
    </r>
  </si>
  <si>
    <t xml:space="preserve">Table 2. First apple production year investments for one acre </t>
  </si>
  <si>
    <t>Table 3. Machinery activities for site preparation year</t>
  </si>
  <si>
    <t>Number</t>
  </si>
  <si>
    <t>Gallons</t>
  </si>
  <si>
    <t>Activity (not custom)</t>
  </si>
  <si>
    <r>
      <t>Operating costs</t>
    </r>
    <r>
      <rPr>
        <b/>
        <vertAlign val="superscript"/>
        <sz val="12"/>
        <color theme="1"/>
        <rFont val="Aptos"/>
        <family val="2"/>
      </rPr>
      <t>1</t>
    </r>
  </si>
  <si>
    <r>
      <t>Ownership costs</t>
    </r>
    <r>
      <rPr>
        <b/>
        <vertAlign val="superscript"/>
        <sz val="12"/>
        <color theme="1"/>
        <rFont val="Aptos"/>
        <family val="2"/>
      </rPr>
      <t>2</t>
    </r>
  </si>
  <si>
    <t>Price per unit</t>
  </si>
  <si>
    <t>Units</t>
  </si>
  <si>
    <t>Total
 costs</t>
  </si>
  <si>
    <t>$ per acre</t>
  </si>
  <si>
    <t>Table 4. Machinery activities for planting year</t>
  </si>
  <si>
    <t>Table 5. Machinery activities for no production year</t>
  </si>
  <si>
    <t>Packhouse infrastructure</t>
  </si>
  <si>
    <t xml:space="preserve">  Marketing and packaging</t>
  </si>
  <si>
    <t xml:space="preserve">      Other</t>
  </si>
  <si>
    <t xml:space="preserve">      Calcium </t>
  </si>
  <si>
    <t xml:space="preserve">      Solubor</t>
  </si>
  <si>
    <t>Packing line and machinery</t>
  </si>
  <si>
    <t>Base</t>
  </si>
  <si>
    <t>Revenue</t>
  </si>
  <si>
    <t>5% less</t>
  </si>
  <si>
    <t>10% less</t>
  </si>
  <si>
    <t>15% less</t>
  </si>
  <si>
    <t>5% more</t>
  </si>
  <si>
    <t>10% more</t>
  </si>
  <si>
    <t>15% more</t>
  </si>
  <si>
    <t>Estimated per acre return over total cost at varying yields and prices in full production orchard</t>
  </si>
  <si>
    <t>Estimated per acre return over total cost at varied revenue and operating costs in full production orchard</t>
  </si>
  <si>
    <t>Missouri High-Density Apple Enterprise Budget</t>
  </si>
  <si>
    <r>
      <rPr>
        <vertAlign val="superscript"/>
        <sz val="11"/>
        <color theme="1"/>
        <rFont val="Aptos"/>
        <family val="2"/>
      </rPr>
      <t>4</t>
    </r>
    <r>
      <rPr>
        <sz val="11"/>
        <color theme="1"/>
        <rFont val="Aptos"/>
        <family val="2"/>
      </rPr>
      <t xml:space="preserve"> Labor hours included separately on budget worksheet under "harvesting".</t>
    </r>
  </si>
  <si>
    <r>
      <rPr>
        <vertAlign val="superscript"/>
        <sz val="11"/>
        <color theme="1"/>
        <rFont val="Aptos"/>
        <family val="2"/>
      </rPr>
      <t>3</t>
    </r>
    <r>
      <rPr>
        <sz val="11"/>
        <color theme="1"/>
        <rFont val="Aptos"/>
        <family val="2"/>
      </rPr>
      <t xml:space="preserve"> Totals may not sum due to rounding.</t>
    </r>
  </si>
  <si>
    <r>
      <t>hour</t>
    </r>
    <r>
      <rPr>
        <vertAlign val="superscript"/>
        <sz val="12"/>
        <color theme="1"/>
        <rFont val="Aptos"/>
        <family val="2"/>
      </rPr>
      <t>4</t>
    </r>
  </si>
  <si>
    <t>Table 6. Machinery activities for first production year</t>
  </si>
  <si>
    <t>Table 7. Machinery activities for second production year</t>
  </si>
  <si>
    <t>Table 8. Machinery activities for third production year</t>
  </si>
  <si>
    <t>percent of time tractor is running and moving while using work platform</t>
  </si>
  <si>
    <t>Table 9. Machinery activities for fourth production year</t>
  </si>
  <si>
    <t>Table 10. Machinery activities for full production year</t>
  </si>
  <si>
    <t>Table 11. Machinery economic calculations per unit</t>
  </si>
  <si>
    <t xml:space="preserve">     Fertilizer spread</t>
  </si>
  <si>
    <t>Created: 5/2025</t>
  </si>
  <si>
    <t>Ryan Milhollin, Patrick Byers, Justin Keay, Drew Kientzy</t>
  </si>
  <si>
    <t>High-Density Apple Planning Budget (extension.missouri.edu/publications/g712)</t>
  </si>
  <si>
    <t>Develop a customized enterprise budget for growing high-density apples in a trellis system. Use the shaded gray or protected cells in worksheets to change inputs or prices. 
For more information about high-density apple planning, see MU Extension publication G712: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</si>
</sst>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4"/>
      <color rgb="FFF1B82D"/>
      <name val="Segoe UI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Segoe UI"/>
      <family val="2"/>
    </font>
    <font>
      <sz val="9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1"/>
      <color theme="1"/>
      <name val="Aptos"/>
      <family val="2"/>
    </font>
    <font>
      <i/>
      <sz val="11"/>
      <color theme="1"/>
      <name val="Aptos"/>
      <family val="2"/>
    </font>
    <font>
      <u/>
      <sz val="11"/>
      <color theme="10"/>
      <name val="Calibri"/>
      <family val="2"/>
      <scheme val="minor"/>
    </font>
    <font>
      <sz val="11"/>
      <name val="Aptos"/>
      <family val="2"/>
    </font>
    <font>
      <sz val="8"/>
      <name val="Calibri"/>
      <family val="2"/>
      <scheme val="minor"/>
    </font>
    <font>
      <vertAlign val="superscript"/>
      <sz val="11"/>
      <color theme="1"/>
      <name val="Aptos"/>
      <family val="2"/>
    </font>
    <font>
      <b/>
      <sz val="18"/>
      <color theme="1"/>
      <name val="Aptos"/>
      <family val="2"/>
    </font>
    <font>
      <i/>
      <sz val="9"/>
      <color theme="1"/>
      <name val="Aptos"/>
      <family val="2"/>
    </font>
    <font>
      <b/>
      <sz val="14"/>
      <color rgb="FFF1B82D"/>
      <name val="Aptos Black"/>
      <family val="2"/>
    </font>
    <font>
      <sz val="12"/>
      <color theme="1"/>
      <name val="Aptos"/>
      <family val="2"/>
    </font>
    <font>
      <i/>
      <sz val="12"/>
      <color theme="1"/>
      <name val="Aptos"/>
      <family val="2"/>
    </font>
    <font>
      <vertAlign val="superscript"/>
      <sz val="12"/>
      <color theme="1"/>
      <name val="Aptos"/>
      <family val="2"/>
    </font>
    <font>
      <b/>
      <u/>
      <sz val="12"/>
      <name val="Aptos"/>
      <family val="2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Aptos"/>
      <family val="2"/>
    </font>
    <font>
      <b/>
      <vertAlign val="superscript"/>
      <sz val="12"/>
      <color theme="1"/>
      <name val="Aptos"/>
      <family val="2"/>
    </font>
    <font>
      <sz val="12"/>
      <name val="Aptos"/>
      <family val="2"/>
    </font>
    <font>
      <sz val="10"/>
      <color theme="1"/>
      <name val="Aptos"/>
      <family val="2"/>
    </font>
    <font>
      <b/>
      <sz val="12"/>
      <color rgb="FF3F3F3F"/>
      <name val="Aptos"/>
      <family val="2"/>
    </font>
    <font>
      <u/>
      <sz val="12"/>
      <color theme="1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4" borderId="25" applyNumberFormat="0" applyAlignment="0" applyProtection="0"/>
    <xf numFmtId="0" fontId="1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0" fontId="2" fillId="2" borderId="5" xfId="0" applyFont="1" applyFill="1" applyBorder="1"/>
    <xf numFmtId="0" fontId="2" fillId="2" borderId="6" xfId="0" applyFont="1" applyFill="1" applyBorder="1"/>
    <xf numFmtId="0" fontId="3" fillId="0" borderId="0" xfId="0" applyFont="1" applyAlignment="1">
      <alignment horizontal="left" indent="4"/>
    </xf>
    <xf numFmtId="0" fontId="6" fillId="5" borderId="0" xfId="2" applyFont="1" applyFill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0" fontId="12" fillId="0" borderId="0" xfId="3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44" fontId="8" fillId="0" borderId="0" xfId="4" applyFont="1"/>
    <xf numFmtId="0" fontId="10" fillId="0" borderId="0" xfId="0" applyFont="1"/>
    <xf numFmtId="0" fontId="10" fillId="0" borderId="0" xfId="0" applyFont="1" applyAlignment="1">
      <alignment horizontal="right"/>
    </xf>
    <xf numFmtId="7" fontId="8" fillId="0" borderId="0" xfId="4" applyNumberFormat="1" applyFont="1"/>
    <xf numFmtId="0" fontId="16" fillId="0" borderId="0" xfId="0" applyFont="1"/>
    <xf numFmtId="0" fontId="17" fillId="0" borderId="0" xfId="0" applyFont="1" applyAlignment="1">
      <alignment horizontal="center"/>
    </xf>
    <xf numFmtId="44" fontId="8" fillId="0" borderId="0" xfId="0" applyNumberFormat="1" applyFont="1"/>
    <xf numFmtId="2" fontId="8" fillId="0" borderId="0" xfId="0" applyNumberFormat="1" applyFont="1" applyAlignment="1">
      <alignment horizontal="right"/>
    </xf>
    <xf numFmtId="2" fontId="8" fillId="0" borderId="4" xfId="0" applyNumberFormat="1" applyFont="1" applyBorder="1" applyAlignment="1">
      <alignment horizontal="right"/>
    </xf>
    <xf numFmtId="2" fontId="8" fillId="0" borderId="0" xfId="0" applyNumberFormat="1" applyFont="1"/>
    <xf numFmtId="7" fontId="10" fillId="0" borderId="0" xfId="4" applyNumberFormat="1" applyFont="1" applyAlignment="1">
      <alignment horizontal="right"/>
    </xf>
    <xf numFmtId="2" fontId="10" fillId="0" borderId="0" xfId="0" applyNumberFormat="1" applyFont="1"/>
    <xf numFmtId="1" fontId="10" fillId="0" borderId="0" xfId="0" applyNumberFormat="1" applyFont="1"/>
    <xf numFmtId="2" fontId="8" fillId="0" borderId="4" xfId="0" applyNumberFormat="1" applyFont="1" applyBorder="1"/>
    <xf numFmtId="1" fontId="8" fillId="0" borderId="4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0" fontId="11" fillId="2" borderId="29" xfId="0" applyFont="1" applyFill="1" applyBorder="1"/>
    <xf numFmtId="0" fontId="8" fillId="2" borderId="32" xfId="0" applyFont="1" applyFill="1" applyBorder="1"/>
    <xf numFmtId="0" fontId="8" fillId="2" borderId="33" xfId="0" applyFont="1" applyFill="1" applyBorder="1"/>
    <xf numFmtId="0" fontId="18" fillId="2" borderId="14" xfId="0" applyFont="1" applyFill="1" applyBorder="1" applyAlignment="1">
      <alignment horizontal="center" textRotation="90"/>
    </xf>
    <xf numFmtId="0" fontId="19" fillId="0" borderId="0" xfId="0" applyFont="1"/>
    <xf numFmtId="3" fontId="19" fillId="0" borderId="18" xfId="0" applyNumberFormat="1" applyFont="1" applyBorder="1"/>
    <xf numFmtId="3" fontId="19" fillId="0" borderId="0" xfId="0" applyNumberFormat="1" applyFont="1"/>
    <xf numFmtId="165" fontId="19" fillId="0" borderId="8" xfId="1" applyNumberFormat="1" applyFont="1" applyFill="1" applyBorder="1" applyProtection="1"/>
    <xf numFmtId="3" fontId="19" fillId="0" borderId="4" xfId="0" applyNumberFormat="1" applyFont="1" applyBorder="1"/>
    <xf numFmtId="0" fontId="19" fillId="0" borderId="4" xfId="0" applyFont="1" applyBorder="1"/>
    <xf numFmtId="2" fontId="19" fillId="0" borderId="0" xfId="0" applyNumberFormat="1" applyFont="1"/>
    <xf numFmtId="0" fontId="19" fillId="0" borderId="0" xfId="0" applyFont="1" applyAlignment="1">
      <alignment horizontal="left"/>
    </xf>
    <xf numFmtId="2" fontId="19" fillId="0" borderId="4" xfId="0" applyNumberFormat="1" applyFont="1" applyBorder="1"/>
    <xf numFmtId="0" fontId="19" fillId="0" borderId="0" xfId="0" applyFont="1" applyAlignment="1">
      <alignment horizontal="right"/>
    </xf>
    <xf numFmtId="0" fontId="23" fillId="0" borderId="0" xfId="0" applyFont="1"/>
    <xf numFmtId="0" fontId="24" fillId="0" borderId="0" xfId="0" applyFont="1"/>
    <xf numFmtId="0" fontId="9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 wrapText="1"/>
    </xf>
    <xf numFmtId="2" fontId="19" fillId="3" borderId="8" xfId="0" applyNumberFormat="1" applyFont="1" applyFill="1" applyBorder="1" applyProtection="1">
      <protection locked="0"/>
    </xf>
    <xf numFmtId="0" fontId="19" fillId="3" borderId="7" xfId="0" applyFont="1" applyFill="1" applyBorder="1" applyProtection="1">
      <protection locked="0"/>
    </xf>
    <xf numFmtId="1" fontId="19" fillId="3" borderId="7" xfId="0" applyNumberFormat="1" applyFont="1" applyFill="1" applyBorder="1" applyProtection="1">
      <protection locked="0"/>
    </xf>
    <xf numFmtId="0" fontId="19" fillId="3" borderId="0" xfId="0" applyFont="1" applyFill="1" applyProtection="1">
      <protection locked="0"/>
    </xf>
    <xf numFmtId="165" fontId="19" fillId="3" borderId="8" xfId="1" applyNumberFormat="1" applyFont="1" applyFill="1" applyBorder="1" applyProtection="1">
      <protection locked="0"/>
    </xf>
    <xf numFmtId="10" fontId="19" fillId="3" borderId="8" xfId="1" applyNumberFormat="1" applyFont="1" applyFill="1" applyBorder="1" applyProtection="1">
      <protection locked="0"/>
    </xf>
    <xf numFmtId="3" fontId="19" fillId="3" borderId="0" xfId="0" applyNumberFormat="1" applyFont="1" applyFill="1" applyAlignment="1" applyProtection="1">
      <alignment horizontal="right"/>
      <protection locked="0"/>
    </xf>
    <xf numFmtId="2" fontId="19" fillId="3" borderId="0" xfId="0" applyNumberFormat="1" applyFont="1" applyFill="1" applyAlignment="1" applyProtection="1">
      <alignment horizontal="right"/>
      <protection locked="0"/>
    </xf>
    <xf numFmtId="0" fontId="19" fillId="3" borderId="0" xfId="0" applyFont="1" applyFill="1" applyAlignment="1" applyProtection="1">
      <alignment horizontal="right"/>
      <protection locked="0"/>
    </xf>
    <xf numFmtId="165" fontId="19" fillId="3" borderId="0" xfId="0" applyNumberFormat="1" applyFont="1" applyFill="1" applyProtection="1">
      <protection locked="0"/>
    </xf>
    <xf numFmtId="0" fontId="19" fillId="3" borderId="0" xfId="0" applyFont="1" applyFill="1" applyAlignment="1" applyProtection="1">
      <alignment horizontal="left"/>
      <protection locked="0"/>
    </xf>
    <xf numFmtId="3" fontId="19" fillId="0" borderId="2" xfId="0" applyNumberFormat="1" applyFont="1" applyBorder="1"/>
    <xf numFmtId="3" fontId="19" fillId="0" borderId="16" xfId="0" applyNumberFormat="1" applyFont="1" applyBorder="1"/>
    <xf numFmtId="2" fontId="19" fillId="0" borderId="30" xfId="0" applyNumberFormat="1" applyFont="1" applyBorder="1" applyAlignment="1">
      <alignment horizontal="center"/>
    </xf>
    <xf numFmtId="2" fontId="19" fillId="0" borderId="35" xfId="0" applyNumberFormat="1" applyFont="1" applyBorder="1" applyAlignment="1">
      <alignment horizontal="center"/>
    </xf>
    <xf numFmtId="4" fontId="19" fillId="3" borderId="8" xfId="0" applyNumberFormat="1" applyFont="1" applyFill="1" applyBorder="1" applyProtection="1">
      <protection locked="0"/>
    </xf>
    <xf numFmtId="3" fontId="19" fillId="3" borderId="7" xfId="0" applyNumberFormat="1" applyFont="1" applyFill="1" applyBorder="1" applyProtection="1">
      <protection locked="0"/>
    </xf>
    <xf numFmtId="3" fontId="19" fillId="3" borderId="0" xfId="0" applyNumberFormat="1" applyFont="1" applyFill="1" applyProtection="1">
      <protection locked="0"/>
    </xf>
    <xf numFmtId="0" fontId="8" fillId="3" borderId="0" xfId="0" applyFont="1" applyFill="1"/>
    <xf numFmtId="0" fontId="8" fillId="3" borderId="0" xfId="0" applyFont="1" applyFill="1" applyAlignment="1" applyProtection="1">
      <alignment horizontal="left"/>
      <protection locked="0"/>
    </xf>
    <xf numFmtId="2" fontId="8" fillId="3" borderId="0" xfId="0" applyNumberFormat="1" applyFont="1" applyFill="1"/>
    <xf numFmtId="0" fontId="8" fillId="3" borderId="4" xfId="0" applyFont="1" applyFill="1" applyBorder="1"/>
    <xf numFmtId="2" fontId="8" fillId="3" borderId="4" xfId="0" applyNumberFormat="1" applyFont="1" applyFill="1" applyBorder="1"/>
    <xf numFmtId="3" fontId="8" fillId="0" borderId="2" xfId="0" applyNumberFormat="1" applyFont="1" applyBorder="1" applyAlignment="1">
      <alignment horizontal="right"/>
    </xf>
    <xf numFmtId="3" fontId="8" fillId="0" borderId="16" xfId="0" applyNumberFormat="1" applyFont="1" applyBorder="1" applyAlignment="1">
      <alignment horizontal="right"/>
    </xf>
    <xf numFmtId="0" fontId="11" fillId="2" borderId="36" xfId="0" applyFont="1" applyFill="1" applyBorder="1"/>
    <xf numFmtId="2" fontId="19" fillId="0" borderId="31" xfId="0" applyNumberFormat="1" applyFont="1" applyBorder="1" applyAlignment="1">
      <alignment horizontal="center"/>
    </xf>
    <xf numFmtId="2" fontId="19" fillId="0" borderId="3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0" fontId="9" fillId="0" borderId="15" xfId="0" applyFont="1" applyBorder="1"/>
    <xf numFmtId="0" fontId="9" fillId="0" borderId="1" xfId="0" applyFont="1" applyBorder="1"/>
    <xf numFmtId="0" fontId="9" fillId="0" borderId="22" xfId="0" applyFont="1" applyBorder="1"/>
    <xf numFmtId="0" fontId="9" fillId="0" borderId="17" xfId="0" applyFont="1" applyBorder="1"/>
    <xf numFmtId="0" fontId="9" fillId="0" borderId="2" xfId="0" applyFont="1" applyBorder="1" applyAlignment="1">
      <alignment horizontal="left" wrapText="1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4" xfId="0" applyFont="1" applyBorder="1"/>
    <xf numFmtId="0" fontId="10" fillId="0" borderId="0" xfId="0" applyFont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19" fillId="0" borderId="14" xfId="0" applyFont="1" applyBorder="1"/>
    <xf numFmtId="3" fontId="19" fillId="0" borderId="7" xfId="0" applyNumberFormat="1" applyFont="1" applyBorder="1"/>
    <xf numFmtId="4" fontId="19" fillId="0" borderId="8" xfId="0" applyNumberFormat="1" applyFont="1" applyBorder="1"/>
    <xf numFmtId="3" fontId="19" fillId="0" borderId="8" xfId="0" applyNumberFormat="1" applyFont="1" applyBorder="1"/>
    <xf numFmtId="0" fontId="7" fillId="0" borderId="0" xfId="0" applyFont="1"/>
    <xf numFmtId="4" fontId="8" fillId="0" borderId="8" xfId="0" applyNumberFormat="1" applyFont="1" applyBorder="1"/>
    <xf numFmtId="0" fontId="9" fillId="0" borderId="14" xfId="0" applyFont="1" applyBorder="1" applyAlignment="1">
      <alignment horizontal="right"/>
    </xf>
    <xf numFmtId="0" fontId="8" fillId="0" borderId="8" xfId="0" applyFont="1" applyBorder="1"/>
    <xf numFmtId="0" fontId="19" fillId="0" borderId="7" xfId="0" applyFont="1" applyBorder="1"/>
    <xf numFmtId="4" fontId="9" fillId="0" borderId="8" xfId="0" applyNumberFormat="1" applyFont="1" applyBorder="1"/>
    <xf numFmtId="3" fontId="9" fillId="0" borderId="8" xfId="0" applyNumberFormat="1" applyFont="1" applyBorder="1"/>
    <xf numFmtId="3" fontId="9" fillId="0" borderId="0" xfId="0" applyNumberFormat="1" applyFont="1"/>
    <xf numFmtId="3" fontId="9" fillId="0" borderId="18" xfId="0" applyNumberFormat="1" applyFont="1" applyBorder="1"/>
    <xf numFmtId="0" fontId="19" fillId="0" borderId="8" xfId="0" applyFont="1" applyBorder="1"/>
    <xf numFmtId="0" fontId="19" fillId="0" borderId="12" xfId="0" applyFont="1" applyBorder="1"/>
    <xf numFmtId="3" fontId="19" fillId="0" borderId="9" xfId="0" applyNumberFormat="1" applyFont="1" applyBorder="1"/>
    <xf numFmtId="0" fontId="9" fillId="0" borderId="0" xfId="0" applyFont="1" applyAlignment="1">
      <alignment horizontal="center" wrapText="1"/>
    </xf>
    <xf numFmtId="164" fontId="8" fillId="0" borderId="0" xfId="0" applyNumberFormat="1" applyFont="1"/>
    <xf numFmtId="2" fontId="19" fillId="0" borderId="8" xfId="0" applyNumberFormat="1" applyFont="1" applyBorder="1"/>
    <xf numFmtId="1" fontId="19" fillId="0" borderId="7" xfId="0" applyNumberFormat="1" applyFont="1" applyBorder="1"/>
    <xf numFmtId="1" fontId="19" fillId="0" borderId="0" xfId="0" applyNumberFormat="1" applyFont="1"/>
    <xf numFmtId="3" fontId="19" fillId="0" borderId="19" xfId="0" applyNumberFormat="1" applyFont="1" applyBorder="1"/>
    <xf numFmtId="40" fontId="9" fillId="0" borderId="14" xfId="0" applyNumberFormat="1" applyFont="1" applyBorder="1" applyAlignment="1">
      <alignment horizontal="right"/>
    </xf>
    <xf numFmtId="0" fontId="9" fillId="0" borderId="7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3" fontId="19" fillId="0" borderId="22" xfId="0" applyNumberFormat="1" applyFont="1" applyBorder="1"/>
    <xf numFmtId="3" fontId="19" fillId="0" borderId="24" xfId="0" applyNumberFormat="1" applyFont="1" applyBorder="1"/>
    <xf numFmtId="10" fontId="19" fillId="0" borderId="8" xfId="1" applyNumberFormat="1" applyFont="1" applyFill="1" applyBorder="1" applyProtection="1"/>
    <xf numFmtId="0" fontId="19" fillId="0" borderId="7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18" xfId="0" applyNumberFormat="1" applyFont="1" applyBorder="1" applyAlignment="1">
      <alignment horizontal="center" wrapText="1"/>
    </xf>
    <xf numFmtId="0" fontId="9" fillId="0" borderId="23" xfId="0" applyFont="1" applyBorder="1" applyAlignment="1">
      <alignment horizontal="right"/>
    </xf>
    <xf numFmtId="0" fontId="19" fillId="0" borderId="9" xfId="0" applyFont="1" applyBorder="1"/>
    <xf numFmtId="0" fontId="19" fillId="0" borderId="13" xfId="0" applyFont="1" applyBorder="1"/>
    <xf numFmtId="38" fontId="9" fillId="0" borderId="22" xfId="0" applyNumberFormat="1" applyFont="1" applyBorder="1"/>
    <xf numFmtId="38" fontId="19" fillId="0" borderId="13" xfId="0" applyNumberFormat="1" applyFont="1" applyBorder="1"/>
    <xf numFmtId="38" fontId="19" fillId="0" borderId="7" xfId="0" applyNumberFormat="1" applyFont="1" applyBorder="1"/>
    <xf numFmtId="38" fontId="19" fillId="0" borderId="0" xfId="0" applyNumberFormat="1" applyFont="1"/>
    <xf numFmtId="38" fontId="9" fillId="0" borderId="1" xfId="0" applyNumberFormat="1" applyFont="1" applyBorder="1"/>
    <xf numFmtId="38" fontId="9" fillId="0" borderId="24" xfId="0" applyNumberFormat="1" applyFont="1" applyBorder="1"/>
    <xf numFmtId="0" fontId="9" fillId="0" borderId="20" xfId="0" applyFont="1" applyBorder="1" applyAlignment="1">
      <alignment horizontal="right"/>
    </xf>
    <xf numFmtId="0" fontId="19" fillId="0" borderId="3" xfId="0" applyFont="1" applyBorder="1"/>
    <xf numFmtId="0" fontId="19" fillId="0" borderId="10" xfId="0" applyFont="1" applyBorder="1"/>
    <xf numFmtId="38" fontId="9" fillId="0" borderId="11" xfId="0" applyNumberFormat="1" applyFont="1" applyBorder="1"/>
    <xf numFmtId="38" fontId="9" fillId="0" borderId="10" xfId="0" applyNumberFormat="1" applyFont="1" applyBorder="1"/>
    <xf numFmtId="38" fontId="9" fillId="0" borderId="3" xfId="0" applyNumberFormat="1" applyFont="1" applyBorder="1"/>
    <xf numFmtId="38" fontId="9" fillId="0" borderId="21" xfId="0" applyNumberFormat="1" applyFont="1" applyBorder="1"/>
    <xf numFmtId="3" fontId="19" fillId="3" borderId="8" xfId="0" applyNumberFormat="1" applyFont="1" applyFill="1" applyBorder="1" applyProtection="1">
      <protection locked="0"/>
    </xf>
    <xf numFmtId="3" fontId="19" fillId="3" borderId="18" xfId="0" applyNumberFormat="1" applyFont="1" applyFill="1" applyBorder="1" applyProtection="1">
      <protection locked="0"/>
    </xf>
    <xf numFmtId="3" fontId="19" fillId="3" borderId="9" xfId="0" applyNumberFormat="1" applyFont="1" applyFill="1" applyBorder="1" applyProtection="1">
      <protection locked="0"/>
    </xf>
    <xf numFmtId="3" fontId="19" fillId="3" borderId="4" xfId="0" applyNumberFormat="1" applyFont="1" applyFill="1" applyBorder="1" applyProtection="1">
      <protection locked="0"/>
    </xf>
    <xf numFmtId="3" fontId="19" fillId="3" borderId="19" xfId="0" applyNumberFormat="1" applyFont="1" applyFill="1" applyBorder="1" applyProtection="1">
      <protection locked="0"/>
    </xf>
    <xf numFmtId="9" fontId="19" fillId="3" borderId="0" xfId="0" applyNumberFormat="1" applyFont="1" applyFill="1" applyProtection="1">
      <protection locked="0"/>
    </xf>
    <xf numFmtId="3" fontId="27" fillId="3" borderId="0" xfId="0" applyNumberFormat="1" applyFont="1" applyFill="1" applyAlignment="1" applyProtection="1">
      <alignment horizontal="right" vertical="center"/>
      <protection locked="0"/>
    </xf>
    <xf numFmtId="2" fontId="27" fillId="3" borderId="0" xfId="0" applyNumberFormat="1" applyFont="1" applyFill="1" applyAlignment="1" applyProtection="1">
      <alignment horizontal="right" vertical="center"/>
      <protection locked="0"/>
    </xf>
    <xf numFmtId="9" fontId="19" fillId="3" borderId="4" xfId="0" applyNumberFormat="1" applyFont="1" applyFill="1" applyBorder="1" applyProtection="1">
      <protection locked="0"/>
    </xf>
    <xf numFmtId="0" fontId="25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25" fillId="0" borderId="2" xfId="0" applyFont="1" applyBorder="1" applyAlignment="1">
      <alignment horizontal="center" wrapText="1"/>
    </xf>
    <xf numFmtId="0" fontId="22" fillId="0" borderId="0" xfId="0" applyFont="1" applyAlignment="1">
      <alignment horizontal="left" vertical="center"/>
    </xf>
    <xf numFmtId="0" fontId="13" fillId="0" borderId="0" xfId="0" applyFont="1" applyAlignment="1">
      <alignment horizontal="center" wrapText="1"/>
    </xf>
    <xf numFmtId="40" fontId="19" fillId="0" borderId="0" xfId="0" applyNumberFormat="1" applyFont="1"/>
    <xf numFmtId="0" fontId="13" fillId="0" borderId="0" xfId="0" applyFont="1" applyAlignment="1">
      <alignment horizontal="left" vertical="center"/>
    </xf>
    <xf numFmtId="38" fontId="19" fillId="0" borderId="4" xfId="0" applyNumberFormat="1" applyFont="1" applyBorder="1"/>
    <xf numFmtId="40" fontId="19" fillId="0" borderId="4" xfId="0" applyNumberFormat="1" applyFont="1" applyBorder="1"/>
    <xf numFmtId="0" fontId="28" fillId="0" borderId="0" xfId="0" applyFont="1" applyAlignment="1">
      <alignment horizontal="left"/>
    </xf>
    <xf numFmtId="38" fontId="19" fillId="0" borderId="18" xfId="0" applyNumberFormat="1" applyFont="1" applyBorder="1"/>
    <xf numFmtId="38" fontId="19" fillId="0" borderId="3" xfId="0" applyNumberFormat="1" applyFont="1" applyBorder="1"/>
    <xf numFmtId="38" fontId="19" fillId="0" borderId="21" xfId="0" applyNumberFormat="1" applyFont="1" applyBorder="1"/>
    <xf numFmtId="9" fontId="19" fillId="3" borderId="0" xfId="1" applyFont="1" applyFill="1" applyProtection="1">
      <protection locked="0"/>
    </xf>
    <xf numFmtId="0" fontId="19" fillId="3" borderId="4" xfId="0" applyFont="1" applyFill="1" applyBorder="1" applyProtection="1">
      <protection locked="0"/>
    </xf>
    <xf numFmtId="0" fontId="9" fillId="0" borderId="0" xfId="0" applyFont="1"/>
    <xf numFmtId="0" fontId="4" fillId="2" borderId="17" xfId="0" applyFont="1" applyFill="1" applyBorder="1"/>
    <xf numFmtId="0" fontId="4" fillId="2" borderId="2" xfId="0" applyFont="1" applyFill="1" applyBorder="1"/>
    <xf numFmtId="0" fontId="4" fillId="2" borderId="16" xfId="0" applyFont="1" applyFill="1" applyBorder="1"/>
    <xf numFmtId="0" fontId="18" fillId="2" borderId="17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6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7" fillId="0" borderId="0" xfId="0" applyFont="1" applyAlignment="1">
      <alignment horizontal="left" vertical="top" wrapText="1"/>
    </xf>
    <xf numFmtId="0" fontId="29" fillId="3" borderId="5" xfId="2" applyFont="1" applyFill="1" applyBorder="1" applyAlignment="1">
      <alignment horizontal="center"/>
    </xf>
    <xf numFmtId="0" fontId="29" fillId="3" borderId="2" xfId="2" applyFont="1" applyFill="1" applyBorder="1" applyAlignment="1">
      <alignment horizontal="center"/>
    </xf>
    <xf numFmtId="0" fontId="29" fillId="3" borderId="6" xfId="2" applyFont="1" applyFill="1" applyBorder="1" applyAlignment="1">
      <alignment horizontal="center"/>
    </xf>
    <xf numFmtId="0" fontId="18" fillId="2" borderId="26" xfId="0" applyFont="1" applyFill="1" applyBorder="1" applyAlignment="1">
      <alignment horizontal="center"/>
    </xf>
    <xf numFmtId="0" fontId="18" fillId="2" borderId="27" xfId="0" applyFont="1" applyFill="1" applyBorder="1" applyAlignment="1">
      <alignment horizontal="center"/>
    </xf>
    <xf numFmtId="0" fontId="18" fillId="2" borderId="28" xfId="0" applyFont="1" applyFill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18" fillId="2" borderId="31" xfId="0" applyFont="1" applyFill="1" applyBorder="1" applyAlignment="1">
      <alignment horizontal="center" vertical="center" textRotation="90"/>
    </xf>
    <xf numFmtId="0" fontId="18" fillId="2" borderId="34" xfId="0" applyFont="1" applyFill="1" applyBorder="1" applyAlignment="1">
      <alignment horizontal="center" vertical="center" textRotation="90"/>
    </xf>
    <xf numFmtId="0" fontId="18" fillId="2" borderId="14" xfId="0" applyFont="1" applyFill="1" applyBorder="1" applyAlignment="1">
      <alignment horizontal="center" vertical="center" textRotation="90"/>
    </xf>
    <xf numFmtId="0" fontId="18" fillId="2" borderId="20" xfId="0" applyFont="1" applyFill="1" applyBorder="1" applyAlignment="1">
      <alignment horizontal="center" vertical="center" textRotation="90"/>
    </xf>
    <xf numFmtId="0" fontId="12" fillId="0" borderId="0" xfId="3" applyAlignment="1">
      <alignment horizontal="left" vertical="top" wrapText="1"/>
    </xf>
    <xf numFmtId="0" fontId="30" fillId="0" borderId="0" xfId="3" applyFont="1" applyAlignment="1">
      <alignment horizontal="left" vertical="top" wrapText="1"/>
    </xf>
  </cellXfs>
  <cellStyles count="5">
    <cellStyle name="Currency" xfId="4" builtinId="4"/>
    <cellStyle name="Hyperlink" xfId="3" builtinId="8"/>
    <cellStyle name="Normal" xfId="0" builtinId="0"/>
    <cellStyle name="Output" xfId="2" builtinId="21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4267200</xdr:colOff>
      <xdr:row>2</xdr:row>
      <xdr:rowOff>187675</xdr:rowOff>
    </xdr:from>
    <xdr:ext cx="2292350" cy="717775"/>
    <xdr:pic>
      <xdr:nvPicPr>
        <xdr:cNvPr id="2" name="Picture 1" descr="University of Missouri Extension">
          <a:extLst>
            <a:ext uri="{FF2B5EF4-FFF2-40B4-BE49-F238E27FC236}">
              <a16:creationId xmlns:a16="http://schemas.microsoft.com/office/drawing/2014/main" id="{D56418A5-1666-429D-9AE2-46EBFA3E7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5" y="863950"/>
          <a:ext cx="2292350" cy="717775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tension.missouri.edu/publications/g71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FCE2B-A61E-41A9-8755-B4AC49A6282B}">
  <dimension ref="A1:G23"/>
  <sheetViews>
    <sheetView showGridLines="0" tabSelected="1" zoomScaleNormal="100" workbookViewId="0"/>
  </sheetViews>
  <sheetFormatPr defaultColWidth="0" defaultRowHeight="0" customHeight="1" zeroHeight="1" x14ac:dyDescent="0.3"/>
  <cols>
    <col min="1" max="2" width="3.28515625" style="1" customWidth="1"/>
    <col min="3" max="3" width="17.85546875" style="1" customWidth="1"/>
    <col min="4" max="4" width="84.85546875" style="1" customWidth="1"/>
    <col min="5" max="5" width="17.85546875" style="1" customWidth="1"/>
    <col min="6" max="7" width="3.28515625" style="1" customWidth="1"/>
    <col min="8" max="16384" width="10.28515625" style="1" hidden="1"/>
  </cols>
  <sheetData>
    <row r="1" spans="2:6" ht="18.75" x14ac:dyDescent="0.3">
      <c r="B1" s="2"/>
      <c r="C1" s="173" t="s">
        <v>246</v>
      </c>
      <c r="D1" s="174"/>
      <c r="E1" s="175"/>
      <c r="F1" s="3"/>
    </row>
    <row r="2" spans="2:6" ht="16.5" x14ac:dyDescent="0.3">
      <c r="C2" s="176" t="s">
        <v>258</v>
      </c>
      <c r="D2" s="176"/>
      <c r="E2" s="176"/>
    </row>
    <row r="3" spans="2:6" ht="16.5" x14ac:dyDescent="0.3">
      <c r="C3" s="177"/>
      <c r="D3" s="177"/>
      <c r="E3" s="177"/>
    </row>
    <row r="4" spans="2:6" ht="16.5" x14ac:dyDescent="0.3">
      <c r="D4" s="169" t="s">
        <v>31</v>
      </c>
    </row>
    <row r="5" spans="2:6" ht="16.5" x14ac:dyDescent="0.3">
      <c r="D5" s="169" t="s">
        <v>259</v>
      </c>
    </row>
    <row r="6" spans="2:6" ht="16.5" x14ac:dyDescent="0.3">
      <c r="D6" s="169" t="s">
        <v>32</v>
      </c>
    </row>
    <row r="7" spans="2:6" ht="16.5" customHeight="1" x14ac:dyDescent="0.3">
      <c r="D7" s="4"/>
    </row>
    <row r="8" spans="2:6" ht="64.5" customHeight="1" x14ac:dyDescent="0.3">
      <c r="C8" s="178" t="s">
        <v>261</v>
      </c>
      <c r="D8" s="178"/>
      <c r="E8" s="178"/>
    </row>
    <row r="9" spans="2:6" ht="29.25" customHeight="1" x14ac:dyDescent="0.3">
      <c r="C9" s="194" t="s">
        <v>260</v>
      </c>
      <c r="D9" s="193"/>
      <c r="E9" s="193"/>
    </row>
    <row r="10" spans="2:6" ht="16.5" x14ac:dyDescent="0.3">
      <c r="C10" s="179" t="s">
        <v>33</v>
      </c>
      <c r="D10" s="180"/>
      <c r="E10" s="181"/>
    </row>
    <row r="11" spans="2:6" ht="16.5" x14ac:dyDescent="0.3">
      <c r="C11" s="5"/>
      <c r="D11" s="5"/>
      <c r="E11" s="5"/>
    </row>
    <row r="12" spans="2:6" ht="16.5" x14ac:dyDescent="0.3"/>
    <row r="13" spans="2:6" ht="20.25" x14ac:dyDescent="0.35">
      <c r="B13" s="2"/>
      <c r="C13" s="170"/>
      <c r="D13" s="171"/>
      <c r="E13" s="172"/>
      <c r="F13" s="3"/>
    </row>
    <row r="14" spans="2:6" ht="16.5" x14ac:dyDescent="0.3"/>
    <row r="23" ht="0" hidden="1" customHeight="1" x14ac:dyDescent="0.3"/>
  </sheetData>
  <sheetProtection sheet="1" objects="1" scenarios="1" selectLockedCells="1" selectUnlockedCells="1"/>
  <mergeCells count="7">
    <mergeCell ref="C13:E13"/>
    <mergeCell ref="C1:E1"/>
    <mergeCell ref="C2:E2"/>
    <mergeCell ref="C3:E3"/>
    <mergeCell ref="C8:E8"/>
    <mergeCell ref="C10:E10"/>
    <mergeCell ref="C9:E9"/>
  </mergeCells>
  <hyperlinks>
    <hyperlink ref="C9:E9" r:id="rId1" display="High-Density Apple Planning Budget (extension.missouri.edu/publications/g712)" xr:uid="{8F7F8703-DC40-480F-9A5A-F20CF4D8465F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4766-5483-41F9-BAE9-B4AA5C1DA5B3}">
  <sheetPr>
    <pageSetUpPr fitToPage="1"/>
  </sheetPr>
  <dimension ref="A1:U74"/>
  <sheetViews>
    <sheetView zoomScale="110" zoomScaleNormal="11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I71" sqref="I71"/>
    </sheetView>
  </sheetViews>
  <sheetFormatPr defaultColWidth="0" defaultRowHeight="15" zeroHeight="1" x14ac:dyDescent="0.25"/>
  <cols>
    <col min="1" max="1" width="3.28515625" style="6" customWidth="1"/>
    <col min="2" max="2" width="39.28515625" style="6" customWidth="1"/>
    <col min="3" max="3" width="17.5703125" style="6" customWidth="1"/>
    <col min="4" max="4" width="11.7109375" style="6" customWidth="1"/>
    <col min="5" max="20" width="10.7109375" style="6" customWidth="1"/>
    <col min="21" max="21" width="3.28515625" style="6" customWidth="1"/>
    <col min="22" max="16384" width="9.140625" style="6" hidden="1"/>
  </cols>
  <sheetData>
    <row r="1" spans="2:21" ht="18.75" customHeight="1" x14ac:dyDescent="0.3">
      <c r="B1" s="182" t="s">
        <v>34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4"/>
    </row>
    <row r="2" spans="2:21" ht="15.95" customHeight="1" x14ac:dyDescent="0.25">
      <c r="B2" s="78"/>
      <c r="C2" s="79"/>
      <c r="D2" s="80"/>
      <c r="E2" s="185" t="s">
        <v>36</v>
      </c>
      <c r="F2" s="186"/>
      <c r="G2" s="185" t="s">
        <v>39</v>
      </c>
      <c r="H2" s="186"/>
      <c r="I2" s="185" t="s">
        <v>43</v>
      </c>
      <c r="J2" s="186"/>
      <c r="K2" s="185" t="s">
        <v>38</v>
      </c>
      <c r="L2" s="187"/>
      <c r="M2" s="185" t="s">
        <v>40</v>
      </c>
      <c r="N2" s="186"/>
      <c r="O2" s="185" t="s">
        <v>41</v>
      </c>
      <c r="P2" s="186"/>
      <c r="Q2" s="185" t="s">
        <v>42</v>
      </c>
      <c r="R2" s="186"/>
      <c r="S2" s="187" t="s">
        <v>123</v>
      </c>
      <c r="T2" s="188"/>
    </row>
    <row r="3" spans="2:21" ht="15.95" customHeight="1" x14ac:dyDescent="0.25">
      <c r="B3" s="81" t="s">
        <v>6</v>
      </c>
      <c r="C3" s="82" t="s">
        <v>5</v>
      </c>
      <c r="D3" s="83" t="s">
        <v>44</v>
      </c>
      <c r="E3" s="84" t="s">
        <v>10</v>
      </c>
      <c r="F3" s="83" t="s">
        <v>11</v>
      </c>
      <c r="G3" s="84" t="s">
        <v>10</v>
      </c>
      <c r="H3" s="83" t="s">
        <v>11</v>
      </c>
      <c r="I3" s="84" t="s">
        <v>10</v>
      </c>
      <c r="J3" s="83" t="s">
        <v>11</v>
      </c>
      <c r="K3" s="84" t="s">
        <v>10</v>
      </c>
      <c r="L3" s="83" t="s">
        <v>11</v>
      </c>
      <c r="M3" s="84" t="s">
        <v>10</v>
      </c>
      <c r="N3" s="83" t="s">
        <v>11</v>
      </c>
      <c r="O3" s="84" t="s">
        <v>10</v>
      </c>
      <c r="P3" s="83" t="s">
        <v>11</v>
      </c>
      <c r="Q3" s="84" t="s">
        <v>10</v>
      </c>
      <c r="R3" s="83" t="s">
        <v>11</v>
      </c>
      <c r="S3" s="84" t="s">
        <v>10</v>
      </c>
      <c r="T3" s="85" t="s">
        <v>11</v>
      </c>
    </row>
    <row r="4" spans="2:21" ht="15.95" customHeight="1" x14ac:dyDescent="0.25">
      <c r="B4" s="86"/>
      <c r="C4" s="87"/>
      <c r="D4" s="88"/>
      <c r="E4" s="89" t="s">
        <v>225</v>
      </c>
      <c r="F4" s="90" t="s">
        <v>24</v>
      </c>
      <c r="G4" s="89" t="s">
        <v>225</v>
      </c>
      <c r="H4" s="90" t="s">
        <v>24</v>
      </c>
      <c r="I4" s="89" t="s">
        <v>225</v>
      </c>
      <c r="J4" s="90" t="s">
        <v>24</v>
      </c>
      <c r="K4" s="89" t="s">
        <v>225</v>
      </c>
      <c r="L4" s="90" t="s">
        <v>24</v>
      </c>
      <c r="M4" s="89" t="s">
        <v>225</v>
      </c>
      <c r="N4" s="90" t="s">
        <v>24</v>
      </c>
      <c r="O4" s="89" t="s">
        <v>225</v>
      </c>
      <c r="P4" s="90" t="s">
        <v>24</v>
      </c>
      <c r="Q4" s="91" t="s">
        <v>225</v>
      </c>
      <c r="R4" s="92" t="s">
        <v>24</v>
      </c>
      <c r="S4" s="93" t="s">
        <v>225</v>
      </c>
      <c r="T4" s="94" t="s">
        <v>24</v>
      </c>
    </row>
    <row r="5" spans="2:21" ht="15.95" customHeight="1" x14ac:dyDescent="0.25">
      <c r="B5" s="95" t="s">
        <v>204</v>
      </c>
      <c r="C5" s="6" t="s">
        <v>35</v>
      </c>
      <c r="D5" s="61">
        <v>22.5</v>
      </c>
      <c r="E5" s="96"/>
      <c r="F5" s="97"/>
      <c r="G5" s="96"/>
      <c r="H5" s="97"/>
      <c r="I5" s="96"/>
      <c r="J5" s="97"/>
      <c r="K5" s="62">
        <v>180</v>
      </c>
      <c r="L5" s="33">
        <f>K5*D5</f>
        <v>4050</v>
      </c>
      <c r="M5" s="62">
        <v>350</v>
      </c>
      <c r="N5" s="98">
        <f>M5*D5</f>
        <v>7875</v>
      </c>
      <c r="O5" s="62">
        <v>600</v>
      </c>
      <c r="P5" s="98">
        <f>O5*D5</f>
        <v>13500</v>
      </c>
      <c r="Q5" s="62">
        <v>800</v>
      </c>
      <c r="R5" s="98">
        <f>Q5*D5</f>
        <v>18000</v>
      </c>
      <c r="S5" s="63">
        <v>1000</v>
      </c>
      <c r="T5" s="32">
        <f>S5*D5</f>
        <v>22500</v>
      </c>
    </row>
    <row r="6" spans="2:21" ht="15.95" customHeight="1" x14ac:dyDescent="0.25">
      <c r="B6" s="95" t="s">
        <v>115</v>
      </c>
      <c r="C6" s="99"/>
      <c r="D6" s="100"/>
      <c r="E6" s="96"/>
      <c r="F6" s="97"/>
      <c r="G6" s="96"/>
      <c r="H6" s="146">
        <v>0</v>
      </c>
      <c r="I6" s="96"/>
      <c r="J6" s="146">
        <v>0</v>
      </c>
      <c r="K6" s="96"/>
      <c r="L6" s="147">
        <v>0</v>
      </c>
      <c r="M6" s="96"/>
      <c r="N6" s="146">
        <v>0</v>
      </c>
      <c r="O6" s="96"/>
      <c r="P6" s="146">
        <v>0</v>
      </c>
      <c r="Q6" s="96"/>
      <c r="R6" s="146">
        <v>0</v>
      </c>
      <c r="S6" s="33"/>
      <c r="T6" s="148">
        <v>0</v>
      </c>
    </row>
    <row r="7" spans="2:21" ht="15.95" customHeight="1" x14ac:dyDescent="0.25">
      <c r="B7" s="101" t="s">
        <v>7</v>
      </c>
      <c r="D7" s="102"/>
      <c r="E7" s="103"/>
      <c r="F7" s="104"/>
      <c r="G7" s="103"/>
      <c r="H7" s="105">
        <f>SUM(H5:H6)</f>
        <v>0</v>
      </c>
      <c r="I7" s="103"/>
      <c r="J7" s="105">
        <f>SUM(J5:J6)</f>
        <v>0</v>
      </c>
      <c r="K7" s="103"/>
      <c r="L7" s="106">
        <f>SUM(L5:L6)</f>
        <v>4050</v>
      </c>
      <c r="M7" s="103"/>
      <c r="N7" s="106">
        <f>SUM(N5:N6)</f>
        <v>7875</v>
      </c>
      <c r="O7" s="103"/>
      <c r="P7" s="106">
        <f>SUM(P5:P6)</f>
        <v>13500</v>
      </c>
      <c r="Q7" s="103"/>
      <c r="R7" s="105">
        <f>SUM(R5:R6)</f>
        <v>18000</v>
      </c>
      <c r="S7" s="31"/>
      <c r="T7" s="107">
        <f>SUM(T5:T6)</f>
        <v>22500</v>
      </c>
    </row>
    <row r="8" spans="2:21" ht="15.95" customHeight="1" x14ac:dyDescent="0.25">
      <c r="B8" s="95"/>
      <c r="D8" s="102"/>
      <c r="E8" s="103"/>
      <c r="F8" s="108"/>
      <c r="G8" s="103"/>
      <c r="H8" s="108"/>
      <c r="I8" s="103"/>
      <c r="J8" s="108"/>
      <c r="K8" s="103"/>
      <c r="L8" s="33"/>
      <c r="M8" s="109"/>
      <c r="N8" s="110"/>
      <c r="O8" s="109"/>
      <c r="P8" s="110"/>
      <c r="Q8" s="109"/>
      <c r="R8" s="110"/>
      <c r="S8" s="31"/>
      <c r="T8" s="32"/>
    </row>
    <row r="9" spans="2:21" ht="15.95" customHeight="1" x14ac:dyDescent="0.25">
      <c r="B9" s="81" t="s">
        <v>12</v>
      </c>
      <c r="C9" s="82" t="s">
        <v>5</v>
      </c>
      <c r="D9" s="83" t="s">
        <v>44</v>
      </c>
      <c r="E9" s="84" t="s">
        <v>10</v>
      </c>
      <c r="F9" s="83" t="s">
        <v>11</v>
      </c>
      <c r="G9" s="84" t="s">
        <v>10</v>
      </c>
      <c r="H9" s="83" t="s">
        <v>11</v>
      </c>
      <c r="I9" s="84" t="s">
        <v>10</v>
      </c>
      <c r="J9" s="83" t="s">
        <v>11</v>
      </c>
      <c r="K9" s="84" t="s">
        <v>10</v>
      </c>
      <c r="L9" s="83" t="s">
        <v>11</v>
      </c>
      <c r="M9" s="84" t="s">
        <v>10</v>
      </c>
      <c r="N9" s="83" t="s">
        <v>11</v>
      </c>
      <c r="O9" s="84" t="s">
        <v>10</v>
      </c>
      <c r="P9" s="83" t="s">
        <v>11</v>
      </c>
      <c r="Q9" s="84" t="s">
        <v>10</v>
      </c>
      <c r="R9" s="83" t="s">
        <v>11</v>
      </c>
      <c r="S9" s="84" t="s">
        <v>10</v>
      </c>
      <c r="T9" s="85" t="s">
        <v>11</v>
      </c>
    </row>
    <row r="10" spans="2:21" ht="15.95" customHeight="1" x14ac:dyDescent="0.25">
      <c r="B10" s="86"/>
      <c r="C10" s="111"/>
      <c r="D10" s="88"/>
      <c r="E10" s="89" t="s">
        <v>225</v>
      </c>
      <c r="F10" s="90" t="s">
        <v>24</v>
      </c>
      <c r="G10" s="89" t="s">
        <v>225</v>
      </c>
      <c r="H10" s="90" t="s">
        <v>24</v>
      </c>
      <c r="I10" s="89" t="s">
        <v>225</v>
      </c>
      <c r="J10" s="90" t="s">
        <v>24</v>
      </c>
      <c r="K10" s="89" t="s">
        <v>225</v>
      </c>
      <c r="L10" s="90" t="s">
        <v>24</v>
      </c>
      <c r="M10" s="89" t="s">
        <v>225</v>
      </c>
      <c r="N10" s="90" t="s">
        <v>24</v>
      </c>
      <c r="O10" s="89" t="s">
        <v>225</v>
      </c>
      <c r="P10" s="90" t="s">
        <v>24</v>
      </c>
      <c r="Q10" s="89" t="s">
        <v>225</v>
      </c>
      <c r="R10" s="90" t="s">
        <v>24</v>
      </c>
      <c r="S10" s="89" t="s">
        <v>225</v>
      </c>
      <c r="T10" s="94" t="s">
        <v>24</v>
      </c>
    </row>
    <row r="11" spans="2:21" ht="15.95" customHeight="1" x14ac:dyDescent="0.25">
      <c r="B11" s="95" t="s">
        <v>205</v>
      </c>
      <c r="C11" s="6" t="s">
        <v>3</v>
      </c>
      <c r="D11" s="46">
        <v>10.5</v>
      </c>
      <c r="E11" s="103"/>
      <c r="F11" s="98"/>
      <c r="G11" s="62">
        <v>1210</v>
      </c>
      <c r="H11" s="98">
        <f>D11*G11</f>
        <v>12705</v>
      </c>
      <c r="I11" s="103"/>
      <c r="J11" s="98"/>
      <c r="K11" s="103"/>
      <c r="L11" s="98"/>
      <c r="M11" s="103"/>
      <c r="N11" s="98"/>
      <c r="O11" s="103"/>
      <c r="P11" s="98"/>
      <c r="Q11" s="103"/>
      <c r="R11" s="98"/>
      <c r="S11" s="103"/>
      <c r="T11" s="32"/>
    </row>
    <row r="12" spans="2:21" ht="15.95" customHeight="1" x14ac:dyDescent="0.25">
      <c r="B12" s="95" t="s">
        <v>126</v>
      </c>
      <c r="D12" s="108"/>
      <c r="E12" s="103"/>
      <c r="F12" s="98"/>
      <c r="G12" s="103"/>
      <c r="H12" s="98"/>
      <c r="I12" s="103"/>
      <c r="J12" s="98"/>
      <c r="K12" s="103"/>
      <c r="L12" s="98"/>
      <c r="M12" s="103"/>
      <c r="N12" s="98"/>
      <c r="O12" s="103"/>
      <c r="P12" s="98"/>
      <c r="Q12" s="103"/>
      <c r="R12" s="98"/>
      <c r="S12" s="103"/>
      <c r="T12" s="32"/>
    </row>
    <row r="13" spans="2:21" ht="15.95" customHeight="1" x14ac:dyDescent="0.25">
      <c r="B13" s="95" t="s">
        <v>125</v>
      </c>
      <c r="C13" s="6" t="s">
        <v>166</v>
      </c>
      <c r="D13" s="46">
        <v>25</v>
      </c>
      <c r="E13" s="47">
        <v>1</v>
      </c>
      <c r="F13" s="98">
        <f>E13*D13</f>
        <v>25</v>
      </c>
      <c r="G13" s="47">
        <v>1</v>
      </c>
      <c r="H13" s="98">
        <f t="shared" ref="H13:H14" si="0">G13*D13</f>
        <v>25</v>
      </c>
      <c r="I13" s="47">
        <v>1</v>
      </c>
      <c r="J13" s="98">
        <f t="shared" ref="J13:J14" si="1">I13*D13</f>
        <v>25</v>
      </c>
      <c r="K13" s="47">
        <v>1</v>
      </c>
      <c r="L13" s="98">
        <f t="shared" ref="L13:L14" si="2">K13*D13</f>
        <v>25</v>
      </c>
      <c r="M13" s="47">
        <v>1</v>
      </c>
      <c r="N13" s="98">
        <f t="shared" ref="N13:N14" si="3">M13*D13</f>
        <v>25</v>
      </c>
      <c r="O13" s="47">
        <v>1</v>
      </c>
      <c r="P13" s="98">
        <f t="shared" ref="P13:P14" si="4">O13*D13</f>
        <v>25</v>
      </c>
      <c r="Q13" s="47">
        <v>1</v>
      </c>
      <c r="R13" s="98">
        <f t="shared" ref="R13:R14" si="5">Q13*D13</f>
        <v>25</v>
      </c>
      <c r="S13" s="47">
        <v>1</v>
      </c>
      <c r="T13" s="32">
        <f t="shared" ref="T13:T14" si="6">S13*D13</f>
        <v>25</v>
      </c>
    </row>
    <row r="14" spans="2:21" ht="15.95" customHeight="1" x14ac:dyDescent="0.25">
      <c r="B14" s="95" t="s">
        <v>210</v>
      </c>
      <c r="C14" s="6" t="s">
        <v>28</v>
      </c>
      <c r="D14" s="46">
        <v>30</v>
      </c>
      <c r="E14" s="47">
        <v>2</v>
      </c>
      <c r="F14" s="98">
        <f>E14*D14</f>
        <v>60</v>
      </c>
      <c r="G14" s="47">
        <v>0</v>
      </c>
      <c r="H14" s="98">
        <f t="shared" si="0"/>
        <v>0</v>
      </c>
      <c r="I14" s="47">
        <v>0</v>
      </c>
      <c r="J14" s="98">
        <f t="shared" si="1"/>
        <v>0</v>
      </c>
      <c r="K14" s="47">
        <v>0</v>
      </c>
      <c r="L14" s="98">
        <f t="shared" si="2"/>
        <v>0</v>
      </c>
      <c r="M14" s="47">
        <v>0</v>
      </c>
      <c r="N14" s="98">
        <f t="shared" si="3"/>
        <v>0</v>
      </c>
      <c r="O14" s="47">
        <v>0</v>
      </c>
      <c r="P14" s="98">
        <f t="shared" si="4"/>
        <v>0</v>
      </c>
      <c r="Q14" s="47">
        <v>0</v>
      </c>
      <c r="R14" s="98">
        <f t="shared" si="5"/>
        <v>0</v>
      </c>
      <c r="S14" s="47">
        <v>0</v>
      </c>
      <c r="T14" s="32">
        <f t="shared" si="6"/>
        <v>0</v>
      </c>
      <c r="U14" s="112"/>
    </row>
    <row r="15" spans="2:21" ht="15.95" customHeight="1" x14ac:dyDescent="0.25">
      <c r="B15" s="95" t="s">
        <v>211</v>
      </c>
      <c r="C15" s="6" t="s">
        <v>4</v>
      </c>
      <c r="D15" s="46">
        <v>4.7699999999999996</v>
      </c>
      <c r="E15" s="47">
        <v>0</v>
      </c>
      <c r="F15" s="98">
        <f>E15*$D$15</f>
        <v>0</v>
      </c>
      <c r="G15" s="47">
        <v>60</v>
      </c>
      <c r="H15" s="98">
        <f>G15*D15</f>
        <v>286.2</v>
      </c>
      <c r="I15" s="47">
        <v>60</v>
      </c>
      <c r="J15" s="98">
        <f>I15*D15</f>
        <v>286.2</v>
      </c>
      <c r="K15" s="47">
        <v>45</v>
      </c>
      <c r="L15" s="98">
        <f>K15*D15</f>
        <v>214.64999999999998</v>
      </c>
      <c r="M15" s="47">
        <v>45</v>
      </c>
      <c r="N15" s="98">
        <f>M15*D15</f>
        <v>214.64999999999998</v>
      </c>
      <c r="O15" s="47">
        <v>45</v>
      </c>
      <c r="P15" s="98">
        <f>O15*D15</f>
        <v>214.64999999999998</v>
      </c>
      <c r="Q15" s="47">
        <v>45</v>
      </c>
      <c r="R15" s="98">
        <f>Q15*D15</f>
        <v>214.64999999999998</v>
      </c>
      <c r="S15" s="47">
        <v>45</v>
      </c>
      <c r="T15" s="32">
        <f>S15*D15</f>
        <v>214.64999999999998</v>
      </c>
      <c r="U15" s="112"/>
    </row>
    <row r="16" spans="2:21" ht="15.95" customHeight="1" x14ac:dyDescent="0.25">
      <c r="B16" s="95" t="s">
        <v>107</v>
      </c>
      <c r="C16" s="6" t="s">
        <v>4</v>
      </c>
      <c r="D16" s="46">
        <v>0.55000000000000004</v>
      </c>
      <c r="E16" s="47">
        <v>0</v>
      </c>
      <c r="F16" s="98">
        <f>E16*$D$16</f>
        <v>0</v>
      </c>
      <c r="G16" s="47">
        <v>0</v>
      </c>
      <c r="H16" s="98">
        <f>G16*$D$16</f>
        <v>0</v>
      </c>
      <c r="I16" s="47">
        <v>0</v>
      </c>
      <c r="J16" s="98">
        <f>I16*$D$16</f>
        <v>0</v>
      </c>
      <c r="K16" s="47">
        <v>0</v>
      </c>
      <c r="L16" s="98">
        <f>K16*$D$16</f>
        <v>0</v>
      </c>
      <c r="M16" s="47">
        <v>0</v>
      </c>
      <c r="N16" s="98">
        <f>M16*$D$16</f>
        <v>0</v>
      </c>
      <c r="O16" s="47">
        <v>0</v>
      </c>
      <c r="P16" s="98">
        <f>O16*$D$16</f>
        <v>0</v>
      </c>
      <c r="Q16" s="47">
        <v>0</v>
      </c>
      <c r="R16" s="98">
        <f>Q16*$D$16</f>
        <v>0</v>
      </c>
      <c r="S16" s="47">
        <v>0</v>
      </c>
      <c r="T16" s="32">
        <f>S16*$D$16</f>
        <v>0</v>
      </c>
      <c r="U16" s="112"/>
    </row>
    <row r="17" spans="2:21" ht="15.95" customHeight="1" x14ac:dyDescent="0.25">
      <c r="B17" s="95" t="s">
        <v>108</v>
      </c>
      <c r="C17" s="6" t="s">
        <v>4</v>
      </c>
      <c r="D17" s="46">
        <v>0.38</v>
      </c>
      <c r="E17" s="47">
        <v>75</v>
      </c>
      <c r="F17" s="98">
        <f>E17*$D$17</f>
        <v>28.5</v>
      </c>
      <c r="G17" s="47">
        <v>0</v>
      </c>
      <c r="H17" s="98">
        <f>G17*$D$17</f>
        <v>0</v>
      </c>
      <c r="I17" s="47">
        <v>0</v>
      </c>
      <c r="J17" s="98">
        <f>I17*$D$17</f>
        <v>0</v>
      </c>
      <c r="K17" s="47">
        <v>0</v>
      </c>
      <c r="L17" s="98">
        <f>K17*$D$17</f>
        <v>0</v>
      </c>
      <c r="M17" s="47">
        <v>0</v>
      </c>
      <c r="N17" s="98">
        <f>M17*$D$17</f>
        <v>0</v>
      </c>
      <c r="O17" s="47">
        <v>0</v>
      </c>
      <c r="P17" s="98">
        <f>O17*$D$17</f>
        <v>0</v>
      </c>
      <c r="Q17" s="47">
        <v>0</v>
      </c>
      <c r="R17" s="98">
        <f>Q17*$D$17</f>
        <v>0</v>
      </c>
      <c r="S17" s="47">
        <v>0</v>
      </c>
      <c r="T17" s="32">
        <f>S17*$D$17</f>
        <v>0</v>
      </c>
      <c r="U17" s="112"/>
    </row>
    <row r="18" spans="2:21" ht="15.95" customHeight="1" x14ac:dyDescent="0.25">
      <c r="B18" s="95" t="s">
        <v>233</v>
      </c>
      <c r="C18" s="6" t="s">
        <v>4</v>
      </c>
      <c r="D18" s="46">
        <v>4.92</v>
      </c>
      <c r="E18" s="47">
        <v>0</v>
      </c>
      <c r="F18" s="98">
        <f>E18*$D$18</f>
        <v>0</v>
      </c>
      <c r="G18" s="47">
        <v>0</v>
      </c>
      <c r="H18" s="98">
        <f>G18*$D$18</f>
        <v>0</v>
      </c>
      <c r="I18" s="47">
        <v>0</v>
      </c>
      <c r="J18" s="98">
        <f>I18*$D$18</f>
        <v>0</v>
      </c>
      <c r="K18" s="47">
        <v>8</v>
      </c>
      <c r="L18" s="98">
        <f>K18*$D$18</f>
        <v>39.36</v>
      </c>
      <c r="M18" s="47">
        <v>8</v>
      </c>
      <c r="N18" s="98">
        <f>M18*$D$18</f>
        <v>39.36</v>
      </c>
      <c r="O18" s="47">
        <v>8</v>
      </c>
      <c r="P18" s="98">
        <f>O18*$D$18</f>
        <v>39.36</v>
      </c>
      <c r="Q18" s="47">
        <v>8</v>
      </c>
      <c r="R18" s="98">
        <f>Q18*$D$18</f>
        <v>39.36</v>
      </c>
      <c r="S18" s="47">
        <v>8</v>
      </c>
      <c r="T18" s="32">
        <f>S18*$D$18</f>
        <v>39.36</v>
      </c>
    </row>
    <row r="19" spans="2:21" ht="15.95" customHeight="1" x14ac:dyDescent="0.25">
      <c r="B19" s="95" t="s">
        <v>234</v>
      </c>
      <c r="C19" s="6" t="s">
        <v>4</v>
      </c>
      <c r="D19" s="46">
        <v>2.0499999999999998</v>
      </c>
      <c r="E19" s="47">
        <v>0</v>
      </c>
      <c r="F19" s="98">
        <f>E19*$D$19</f>
        <v>0</v>
      </c>
      <c r="G19" s="47">
        <v>0</v>
      </c>
      <c r="H19" s="98">
        <f>G19*$D$19</f>
        <v>0</v>
      </c>
      <c r="I19" s="47">
        <v>0</v>
      </c>
      <c r="J19" s="98">
        <f>I19*$D$19</f>
        <v>0</v>
      </c>
      <c r="K19" s="47">
        <v>6</v>
      </c>
      <c r="L19" s="98">
        <f>K19*$D$19</f>
        <v>12.299999999999999</v>
      </c>
      <c r="M19" s="47">
        <v>6</v>
      </c>
      <c r="N19" s="98">
        <f>M19*$D$19</f>
        <v>12.299999999999999</v>
      </c>
      <c r="O19" s="47">
        <v>6</v>
      </c>
      <c r="P19" s="98">
        <f>O19*$D$19</f>
        <v>12.299999999999999</v>
      </c>
      <c r="Q19" s="47">
        <v>6</v>
      </c>
      <c r="R19" s="98">
        <f>Q19*$D$19</f>
        <v>12.299999999999999</v>
      </c>
      <c r="S19" s="47">
        <v>6</v>
      </c>
      <c r="T19" s="32">
        <f>S19*$D$19</f>
        <v>12.299999999999999</v>
      </c>
    </row>
    <row r="20" spans="2:21" ht="15.95" customHeight="1" x14ac:dyDescent="0.25">
      <c r="B20" s="95" t="s">
        <v>207</v>
      </c>
      <c r="D20" s="113"/>
      <c r="E20" s="103"/>
      <c r="F20" s="98"/>
      <c r="G20" s="103"/>
      <c r="H20" s="98"/>
      <c r="I20" s="103"/>
      <c r="J20" s="98"/>
      <c r="K20" s="103"/>
      <c r="L20" s="98"/>
      <c r="M20" s="103"/>
      <c r="N20" s="98"/>
      <c r="O20" s="103"/>
      <c r="P20" s="98"/>
      <c r="Q20" s="103"/>
      <c r="R20" s="98"/>
      <c r="S20" s="103"/>
      <c r="T20" s="32"/>
    </row>
    <row r="21" spans="2:21" ht="15.95" customHeight="1" x14ac:dyDescent="0.25">
      <c r="B21" s="95" t="s">
        <v>138</v>
      </c>
      <c r="C21" s="6" t="s">
        <v>124</v>
      </c>
      <c r="D21" s="113"/>
      <c r="E21" s="103"/>
      <c r="F21" s="98"/>
      <c r="G21" s="103"/>
      <c r="H21" s="144">
        <v>156.54999999999998</v>
      </c>
      <c r="I21" s="103"/>
      <c r="J21" s="144">
        <v>156.54999999999998</v>
      </c>
      <c r="K21" s="103"/>
      <c r="L21" s="144">
        <v>333.69600000000003</v>
      </c>
      <c r="M21" s="103"/>
      <c r="N21" s="144">
        <v>333.69600000000003</v>
      </c>
      <c r="O21" s="103"/>
      <c r="P21" s="144">
        <v>333.69600000000003</v>
      </c>
      <c r="Q21" s="103"/>
      <c r="R21" s="144">
        <v>333.69600000000003</v>
      </c>
      <c r="S21" s="103"/>
      <c r="T21" s="145">
        <v>333.69600000000003</v>
      </c>
    </row>
    <row r="22" spans="2:21" ht="15.95" customHeight="1" x14ac:dyDescent="0.25">
      <c r="B22" s="95" t="s">
        <v>137</v>
      </c>
      <c r="C22" s="6" t="s">
        <v>124</v>
      </c>
      <c r="D22" s="113"/>
      <c r="E22" s="103"/>
      <c r="F22" s="98"/>
      <c r="G22" s="103"/>
      <c r="H22" s="144">
        <v>225</v>
      </c>
      <c r="I22" s="103"/>
      <c r="J22" s="144">
        <v>225</v>
      </c>
      <c r="K22" s="103"/>
      <c r="L22" s="144">
        <v>150</v>
      </c>
      <c r="M22" s="103"/>
      <c r="N22" s="144">
        <v>150</v>
      </c>
      <c r="O22" s="103"/>
      <c r="P22" s="144">
        <v>150</v>
      </c>
      <c r="Q22" s="103"/>
      <c r="R22" s="144">
        <v>150</v>
      </c>
      <c r="S22" s="103"/>
      <c r="T22" s="145">
        <v>150</v>
      </c>
    </row>
    <row r="23" spans="2:21" ht="15.95" customHeight="1" x14ac:dyDescent="0.25">
      <c r="B23" s="95" t="s">
        <v>136</v>
      </c>
      <c r="C23" s="6" t="s">
        <v>124</v>
      </c>
      <c r="D23" s="113"/>
      <c r="E23" s="103"/>
      <c r="F23" s="98"/>
      <c r="G23" s="103"/>
      <c r="H23" s="144">
        <v>0</v>
      </c>
      <c r="I23" s="103"/>
      <c r="J23" s="144">
        <v>0</v>
      </c>
      <c r="K23" s="103"/>
      <c r="L23" s="144">
        <v>232.5</v>
      </c>
      <c r="M23" s="103"/>
      <c r="N23" s="144">
        <v>232.5</v>
      </c>
      <c r="O23" s="103"/>
      <c r="P23" s="144">
        <v>232.5</v>
      </c>
      <c r="Q23" s="103"/>
      <c r="R23" s="144">
        <v>232.5</v>
      </c>
      <c r="S23" s="103"/>
      <c r="T23" s="145">
        <v>232.5</v>
      </c>
    </row>
    <row r="24" spans="2:21" ht="15.95" customHeight="1" x14ac:dyDescent="0.25">
      <c r="B24" s="95" t="s">
        <v>135</v>
      </c>
      <c r="C24" s="6" t="s">
        <v>124</v>
      </c>
      <c r="D24" s="113"/>
      <c r="E24" s="103"/>
      <c r="F24" s="98"/>
      <c r="G24" s="103"/>
      <c r="H24" s="144">
        <v>0</v>
      </c>
      <c r="I24" s="103"/>
      <c r="J24" s="144">
        <v>0</v>
      </c>
      <c r="K24" s="103"/>
      <c r="L24" s="144">
        <v>66.960000000000008</v>
      </c>
      <c r="M24" s="103"/>
      <c r="N24" s="144">
        <v>66.960000000000008</v>
      </c>
      <c r="O24" s="103"/>
      <c r="P24" s="144">
        <v>66.960000000000008</v>
      </c>
      <c r="Q24" s="103"/>
      <c r="R24" s="144">
        <v>66.960000000000008</v>
      </c>
      <c r="S24" s="103"/>
      <c r="T24" s="145">
        <v>66.960000000000008</v>
      </c>
    </row>
    <row r="25" spans="2:21" ht="15.95" customHeight="1" x14ac:dyDescent="0.25">
      <c r="B25" s="95" t="s">
        <v>134</v>
      </c>
      <c r="C25" s="6" t="s">
        <v>124</v>
      </c>
      <c r="D25" s="113"/>
      <c r="E25" s="103"/>
      <c r="F25" s="144">
        <v>6.6</v>
      </c>
      <c r="G25" s="103"/>
      <c r="H25" s="144">
        <v>202.5</v>
      </c>
      <c r="I25" s="103"/>
      <c r="J25" s="144">
        <v>202.5</v>
      </c>
      <c r="K25" s="103"/>
      <c r="L25" s="144">
        <v>202.5</v>
      </c>
      <c r="M25" s="103"/>
      <c r="N25" s="144">
        <v>202.5</v>
      </c>
      <c r="O25" s="103"/>
      <c r="P25" s="144">
        <v>202.5</v>
      </c>
      <c r="Q25" s="103"/>
      <c r="R25" s="144">
        <v>202.5</v>
      </c>
      <c r="S25" s="103"/>
      <c r="T25" s="145">
        <v>202.5</v>
      </c>
    </row>
    <row r="26" spans="2:21" ht="15.95" customHeight="1" x14ac:dyDescent="0.25">
      <c r="B26" s="95" t="s">
        <v>0</v>
      </c>
      <c r="D26" s="108"/>
      <c r="E26" s="103"/>
      <c r="F26" s="98"/>
      <c r="G26" s="103"/>
      <c r="H26" s="98"/>
      <c r="I26" s="103"/>
      <c r="J26" s="98"/>
      <c r="K26" s="103"/>
      <c r="L26" s="98"/>
      <c r="M26" s="103"/>
      <c r="N26" s="98"/>
      <c r="O26" s="103"/>
      <c r="P26" s="98"/>
      <c r="Q26" s="103"/>
      <c r="R26" s="98"/>
      <c r="S26" s="103"/>
      <c r="T26" s="32"/>
    </row>
    <row r="27" spans="2:21" ht="15.95" customHeight="1" x14ac:dyDescent="0.25">
      <c r="B27" s="95" t="s">
        <v>129</v>
      </c>
      <c r="C27" s="6" t="s">
        <v>29</v>
      </c>
      <c r="D27" s="46">
        <v>18.5</v>
      </c>
      <c r="E27" s="47">
        <v>40</v>
      </c>
      <c r="F27" s="98">
        <f>$D$27*E27</f>
        <v>740</v>
      </c>
      <c r="G27" s="47">
        <v>50</v>
      </c>
      <c r="H27" s="98">
        <f>$D$27*G27</f>
        <v>925</v>
      </c>
      <c r="I27" s="47">
        <v>2</v>
      </c>
      <c r="J27" s="98">
        <f>$D$27*I27</f>
        <v>37</v>
      </c>
      <c r="K27" s="47">
        <v>1</v>
      </c>
      <c r="L27" s="98">
        <f>$D$27*K27</f>
        <v>18.5</v>
      </c>
      <c r="M27" s="47"/>
      <c r="N27" s="98">
        <f>$D$27*M27</f>
        <v>0</v>
      </c>
      <c r="O27" s="47"/>
      <c r="P27" s="98">
        <f>$D$27*O27</f>
        <v>0</v>
      </c>
      <c r="Q27" s="47"/>
      <c r="R27" s="98">
        <f>$D$27*Q27</f>
        <v>0</v>
      </c>
      <c r="S27" s="47"/>
      <c r="T27" s="32">
        <f>$D$27*S27</f>
        <v>0</v>
      </c>
    </row>
    <row r="28" spans="2:21" ht="15.95" customHeight="1" x14ac:dyDescent="0.25">
      <c r="B28" s="95" t="s">
        <v>199</v>
      </c>
      <c r="C28" s="6" t="s">
        <v>29</v>
      </c>
      <c r="D28" s="46">
        <v>18.5</v>
      </c>
      <c r="E28" s="114">
        <f>Machinery!E13</f>
        <v>1.5649999999999999</v>
      </c>
      <c r="F28" s="98">
        <f>E28*D28</f>
        <v>28.952500000000001</v>
      </c>
      <c r="G28" s="114">
        <f>Machinery!E27</f>
        <v>4.8789999999999996</v>
      </c>
      <c r="H28" s="98">
        <f>D28*G28</f>
        <v>90.261499999999998</v>
      </c>
      <c r="I28" s="114">
        <f>Machinery!E41</f>
        <v>4.8789999999999996</v>
      </c>
      <c r="J28" s="98">
        <f>D28*I28</f>
        <v>90.261499999999998</v>
      </c>
      <c r="K28" s="114">
        <f>Machinery!E55</f>
        <v>7.7370000000000001</v>
      </c>
      <c r="L28" s="98">
        <f>D28*K28</f>
        <v>143.1345</v>
      </c>
      <c r="M28" s="114">
        <f>Machinery!E69</f>
        <v>8.2370000000000001</v>
      </c>
      <c r="N28" s="98">
        <f>D28*M28</f>
        <v>152.3845</v>
      </c>
      <c r="O28" s="114">
        <f>Machinery!E83</f>
        <v>8.7370000000000001</v>
      </c>
      <c r="P28" s="98">
        <f>D28*O28</f>
        <v>161.6345</v>
      </c>
      <c r="Q28" s="114">
        <f>Machinery!E97</f>
        <v>8.7370000000000001</v>
      </c>
      <c r="R28" s="98">
        <f>D28*Q28</f>
        <v>161.6345</v>
      </c>
      <c r="S28" s="114">
        <f>Machinery!E111</f>
        <v>9.2370000000000001</v>
      </c>
      <c r="T28" s="32">
        <f>D28*S28</f>
        <v>170.8845</v>
      </c>
    </row>
    <row r="29" spans="2:21" ht="15.95" customHeight="1" x14ac:dyDescent="0.25">
      <c r="B29" s="95" t="s">
        <v>201</v>
      </c>
      <c r="C29" s="6" t="s">
        <v>29</v>
      </c>
      <c r="D29" s="46">
        <v>18.5</v>
      </c>
      <c r="E29" s="48">
        <v>0</v>
      </c>
      <c r="F29" s="98">
        <f>$D$29*E29</f>
        <v>0</v>
      </c>
      <c r="G29" s="48">
        <v>10</v>
      </c>
      <c r="H29" s="98">
        <f>$D$29*G29</f>
        <v>185</v>
      </c>
      <c r="I29" s="48">
        <v>10</v>
      </c>
      <c r="J29" s="98">
        <f>$D$29*I29</f>
        <v>185</v>
      </c>
      <c r="K29" s="48">
        <v>10</v>
      </c>
      <c r="L29" s="98">
        <f>$D$29*K29</f>
        <v>185</v>
      </c>
      <c r="M29" s="48">
        <v>10</v>
      </c>
      <c r="N29" s="98">
        <f>$D$29*M29</f>
        <v>185</v>
      </c>
      <c r="O29" s="48">
        <v>10</v>
      </c>
      <c r="P29" s="98">
        <f>$D$29*O29</f>
        <v>185</v>
      </c>
      <c r="Q29" s="48">
        <v>10</v>
      </c>
      <c r="R29" s="98">
        <f>$D$29*Q29</f>
        <v>185</v>
      </c>
      <c r="S29" s="48">
        <v>10</v>
      </c>
      <c r="T29" s="32">
        <f>$D$29*S29</f>
        <v>185</v>
      </c>
    </row>
    <row r="30" spans="2:21" ht="15.95" customHeight="1" x14ac:dyDescent="0.25">
      <c r="B30" s="95" t="s">
        <v>202</v>
      </c>
      <c r="C30" s="6" t="s">
        <v>29</v>
      </c>
      <c r="D30" s="46">
        <v>18.5</v>
      </c>
      <c r="E30" s="48">
        <v>0</v>
      </c>
      <c r="F30" s="98">
        <f>$D$30*E30</f>
        <v>0</v>
      </c>
      <c r="G30" s="48">
        <v>15</v>
      </c>
      <c r="H30" s="98">
        <f>$D$30*G30</f>
        <v>277.5</v>
      </c>
      <c r="I30" s="48">
        <v>30</v>
      </c>
      <c r="J30" s="98">
        <f>$D$30*I30</f>
        <v>555</v>
      </c>
      <c r="K30" s="48">
        <v>50</v>
      </c>
      <c r="L30" s="98">
        <f>$D$30*K30</f>
        <v>925</v>
      </c>
      <c r="M30" s="48">
        <v>50</v>
      </c>
      <c r="N30" s="98">
        <f>$D$30*M30</f>
        <v>925</v>
      </c>
      <c r="O30" s="48">
        <v>50</v>
      </c>
      <c r="P30" s="98">
        <f>$D$30*O30</f>
        <v>925</v>
      </c>
      <c r="Q30" s="48">
        <v>50</v>
      </c>
      <c r="R30" s="98">
        <f>$D$30*Q30</f>
        <v>925</v>
      </c>
      <c r="S30" s="48">
        <v>50</v>
      </c>
      <c r="T30" s="32">
        <f>$D$30*S30</f>
        <v>925</v>
      </c>
    </row>
    <row r="31" spans="2:21" ht="15.95" customHeight="1" x14ac:dyDescent="0.25">
      <c r="B31" s="95" t="s">
        <v>200</v>
      </c>
      <c r="C31" s="6" t="s">
        <v>29</v>
      </c>
      <c r="D31" s="46">
        <v>18.5</v>
      </c>
      <c r="E31" s="103"/>
      <c r="F31" s="98"/>
      <c r="G31" s="103"/>
      <c r="H31" s="98"/>
      <c r="I31" s="103"/>
      <c r="J31" s="98"/>
      <c r="K31" s="47">
        <v>15</v>
      </c>
      <c r="L31" s="98">
        <f>$D$31*K31</f>
        <v>277.5</v>
      </c>
      <c r="M31" s="47">
        <v>30</v>
      </c>
      <c r="N31" s="98">
        <f>$D$31*M31</f>
        <v>555</v>
      </c>
      <c r="O31" s="47">
        <v>60</v>
      </c>
      <c r="P31" s="98">
        <f>$D$31*O31</f>
        <v>1110</v>
      </c>
      <c r="Q31" s="47">
        <v>65</v>
      </c>
      <c r="R31" s="98">
        <f>$D$31*Q31</f>
        <v>1202.5</v>
      </c>
      <c r="S31" s="47">
        <v>70</v>
      </c>
      <c r="T31" s="32">
        <f>$D$31*S31</f>
        <v>1295</v>
      </c>
    </row>
    <row r="32" spans="2:21" ht="15.95" customHeight="1" x14ac:dyDescent="0.25">
      <c r="B32" s="95" t="s">
        <v>128</v>
      </c>
      <c r="C32" s="6" t="s">
        <v>29</v>
      </c>
      <c r="D32" s="46">
        <v>18.5</v>
      </c>
      <c r="E32" s="103"/>
      <c r="F32" s="98"/>
      <c r="G32" s="103"/>
      <c r="H32" s="98"/>
      <c r="I32" s="103"/>
      <c r="J32" s="98"/>
      <c r="K32" s="47">
        <v>15</v>
      </c>
      <c r="L32" s="98">
        <f>$D32*K32</f>
        <v>277.5</v>
      </c>
      <c r="M32" s="47">
        <v>25</v>
      </c>
      <c r="N32" s="98">
        <f>$D32*M32</f>
        <v>462.5</v>
      </c>
      <c r="O32" s="47">
        <v>40</v>
      </c>
      <c r="P32" s="98">
        <f>$D32*O32</f>
        <v>740</v>
      </c>
      <c r="Q32" s="47">
        <v>54</v>
      </c>
      <c r="R32" s="98">
        <f>$D32*Q32</f>
        <v>999</v>
      </c>
      <c r="S32" s="47">
        <v>65</v>
      </c>
      <c r="T32" s="32">
        <f>$D32*S32</f>
        <v>1202.5</v>
      </c>
    </row>
    <row r="33" spans="2:20" ht="15.95" customHeight="1" x14ac:dyDescent="0.25">
      <c r="B33" s="95" t="s">
        <v>127</v>
      </c>
      <c r="C33" s="6" t="s">
        <v>29</v>
      </c>
      <c r="D33" s="46">
        <v>18.5</v>
      </c>
      <c r="E33" s="31"/>
      <c r="F33" s="98"/>
      <c r="G33" s="103"/>
      <c r="H33" s="98"/>
      <c r="I33" s="103"/>
      <c r="J33" s="98"/>
      <c r="K33" s="47">
        <v>0</v>
      </c>
      <c r="L33" s="98">
        <f>$D33*K33</f>
        <v>0</v>
      </c>
      <c r="M33" s="47">
        <v>0</v>
      </c>
      <c r="N33" s="98">
        <f>$D33*M33</f>
        <v>0</v>
      </c>
      <c r="O33" s="47">
        <v>0</v>
      </c>
      <c r="P33" s="98">
        <f>$D33*O33</f>
        <v>0</v>
      </c>
      <c r="Q33" s="47">
        <v>0</v>
      </c>
      <c r="R33" s="98">
        <f>$D33*Q33</f>
        <v>0</v>
      </c>
      <c r="S33" s="47">
        <v>0</v>
      </c>
      <c r="T33" s="32">
        <f>$D33*S33</f>
        <v>0</v>
      </c>
    </row>
    <row r="34" spans="2:20" ht="15.95" customHeight="1" x14ac:dyDescent="0.25">
      <c r="B34" s="95" t="s">
        <v>232</v>
      </c>
      <c r="C34" s="6" t="s">
        <v>29</v>
      </c>
      <c r="D34" s="46">
        <v>18.5</v>
      </c>
      <c r="E34" s="31"/>
      <c r="F34" s="98"/>
      <c r="G34" s="103"/>
      <c r="H34" s="98"/>
      <c r="I34" s="103"/>
      <c r="J34" s="98"/>
      <c r="K34" s="47">
        <v>0</v>
      </c>
      <c r="L34" s="98">
        <f>$D34*K34</f>
        <v>0</v>
      </c>
      <c r="M34" s="47">
        <v>0</v>
      </c>
      <c r="N34" s="98">
        <f>$D34*M34</f>
        <v>0</v>
      </c>
      <c r="O34" s="47">
        <v>0</v>
      </c>
      <c r="P34" s="98">
        <f>$D34*O34</f>
        <v>0</v>
      </c>
      <c r="Q34" s="47">
        <v>0</v>
      </c>
      <c r="R34" s="98">
        <f>$D34*Q34</f>
        <v>0</v>
      </c>
      <c r="S34" s="47">
        <v>0</v>
      </c>
      <c r="T34" s="32">
        <f>$D34*S34</f>
        <v>0</v>
      </c>
    </row>
    <row r="35" spans="2:20" ht="15.95" customHeight="1" x14ac:dyDescent="0.25">
      <c r="B35" s="95" t="s">
        <v>152</v>
      </c>
      <c r="D35" s="113"/>
      <c r="E35" s="31"/>
      <c r="F35" s="98"/>
      <c r="G35" s="103"/>
      <c r="H35" s="98"/>
      <c r="I35" s="103"/>
      <c r="J35" s="98"/>
      <c r="K35" s="103"/>
      <c r="L35" s="98"/>
      <c r="M35" s="103"/>
      <c r="N35" s="98"/>
      <c r="O35" s="103"/>
      <c r="P35" s="98"/>
      <c r="Q35" s="103"/>
      <c r="R35" s="98"/>
      <c r="S35" s="103"/>
      <c r="T35" s="32"/>
    </row>
    <row r="36" spans="2:20" ht="15.95" customHeight="1" x14ac:dyDescent="0.25">
      <c r="B36" s="95" t="s">
        <v>130</v>
      </c>
      <c r="C36" s="6" t="s">
        <v>3</v>
      </c>
      <c r="D36" s="46">
        <v>0.8</v>
      </c>
      <c r="E36" s="103"/>
      <c r="F36" s="98"/>
      <c r="G36" s="62">
        <v>1210</v>
      </c>
      <c r="H36" s="98">
        <f>D36*G36</f>
        <v>968</v>
      </c>
      <c r="I36" s="103"/>
      <c r="J36" s="98"/>
      <c r="K36" s="103"/>
      <c r="L36" s="98"/>
      <c r="M36" s="103"/>
      <c r="N36" s="98"/>
      <c r="O36" s="103"/>
      <c r="P36" s="98"/>
      <c r="Q36" s="103"/>
      <c r="R36" s="98"/>
      <c r="S36" s="103"/>
      <c r="T36" s="32"/>
    </row>
    <row r="37" spans="2:20" ht="15.95" customHeight="1" x14ac:dyDescent="0.25">
      <c r="B37" s="95" t="s">
        <v>131</v>
      </c>
      <c r="C37" s="6" t="s">
        <v>4</v>
      </c>
      <c r="D37" s="46">
        <v>2.8</v>
      </c>
      <c r="E37" s="47">
        <v>0</v>
      </c>
      <c r="F37" s="98">
        <f>E37*$D$37</f>
        <v>0</v>
      </c>
      <c r="G37" s="47">
        <v>0</v>
      </c>
      <c r="H37" s="98">
        <f>G37*$D$37</f>
        <v>0</v>
      </c>
      <c r="I37" s="47">
        <v>0</v>
      </c>
      <c r="J37" s="98">
        <f>I37*$D$37</f>
        <v>0</v>
      </c>
      <c r="K37" s="47">
        <v>0</v>
      </c>
      <c r="L37" s="98">
        <f>K37*$D$37</f>
        <v>0</v>
      </c>
      <c r="M37" s="47">
        <v>0</v>
      </c>
      <c r="N37" s="98">
        <f>M37*$D$37</f>
        <v>0</v>
      </c>
      <c r="O37" s="47">
        <v>0</v>
      </c>
      <c r="P37" s="98">
        <f>O37*$D$37</f>
        <v>0</v>
      </c>
      <c r="Q37" s="47">
        <v>0</v>
      </c>
      <c r="R37" s="98">
        <f>Q37*$D$37</f>
        <v>0</v>
      </c>
      <c r="S37" s="47">
        <v>0</v>
      </c>
      <c r="T37" s="32">
        <f>S37*$D$37</f>
        <v>0</v>
      </c>
    </row>
    <row r="38" spans="2:20" ht="15.95" customHeight="1" x14ac:dyDescent="0.25">
      <c r="B38" s="95" t="s">
        <v>133</v>
      </c>
      <c r="C38" s="6" t="s">
        <v>4</v>
      </c>
      <c r="D38" s="46">
        <v>2.8</v>
      </c>
      <c r="E38" s="49">
        <v>0</v>
      </c>
      <c r="F38" s="98">
        <f>E38*D38</f>
        <v>0</v>
      </c>
      <c r="G38" s="47">
        <v>10</v>
      </c>
      <c r="H38" s="98">
        <f>G38*D38</f>
        <v>28</v>
      </c>
      <c r="I38" s="47">
        <v>10</v>
      </c>
      <c r="J38" s="98">
        <f>I38*D38</f>
        <v>28</v>
      </c>
      <c r="K38" s="47">
        <v>10</v>
      </c>
      <c r="L38" s="98">
        <f>K38*D38</f>
        <v>28</v>
      </c>
      <c r="M38" s="47">
        <v>10</v>
      </c>
      <c r="N38" s="98">
        <f>M38*D38</f>
        <v>28</v>
      </c>
      <c r="O38" s="47">
        <v>10</v>
      </c>
      <c r="P38" s="98">
        <f>O38*D38</f>
        <v>28</v>
      </c>
      <c r="Q38" s="47">
        <v>10</v>
      </c>
      <c r="R38" s="98">
        <f>Q38*D38</f>
        <v>28</v>
      </c>
      <c r="S38" s="47">
        <v>10</v>
      </c>
      <c r="T38" s="32">
        <f>S38*D38</f>
        <v>28</v>
      </c>
    </row>
    <row r="39" spans="2:20" ht="15.95" customHeight="1" x14ac:dyDescent="0.25">
      <c r="B39" s="95" t="s">
        <v>132</v>
      </c>
      <c r="C39" s="6" t="s">
        <v>175</v>
      </c>
      <c r="D39" s="46">
        <v>64</v>
      </c>
      <c r="E39" s="49">
        <v>0</v>
      </c>
      <c r="F39" s="98">
        <f>D39*E39</f>
        <v>0</v>
      </c>
      <c r="G39" s="47">
        <v>0</v>
      </c>
      <c r="H39" s="98">
        <f>D39*G39</f>
        <v>0</v>
      </c>
      <c r="I39" s="47">
        <v>0</v>
      </c>
      <c r="J39" s="98">
        <f>I39*D39</f>
        <v>0</v>
      </c>
      <c r="K39" s="47">
        <v>1.5</v>
      </c>
      <c r="L39" s="98">
        <f>K39*D39</f>
        <v>96</v>
      </c>
      <c r="M39" s="47">
        <v>1.5</v>
      </c>
      <c r="N39" s="98">
        <f>M39*D39</f>
        <v>96</v>
      </c>
      <c r="O39" s="47">
        <v>1.5</v>
      </c>
      <c r="P39" s="98">
        <f>O39*D39</f>
        <v>96</v>
      </c>
      <c r="Q39" s="47">
        <v>1.5</v>
      </c>
      <c r="R39" s="98">
        <f>Q39*D39</f>
        <v>96</v>
      </c>
      <c r="S39" s="47">
        <v>1.5</v>
      </c>
      <c r="T39" s="32">
        <f>S39*D39</f>
        <v>96</v>
      </c>
    </row>
    <row r="40" spans="2:20" ht="15.95" customHeight="1" x14ac:dyDescent="0.25">
      <c r="B40" s="95" t="s">
        <v>72</v>
      </c>
      <c r="D40" s="113"/>
      <c r="E40" s="31"/>
      <c r="F40" s="98"/>
      <c r="G40" s="103"/>
      <c r="H40" s="98"/>
      <c r="I40" s="103"/>
      <c r="J40" s="98"/>
      <c r="K40" s="103"/>
      <c r="L40" s="98"/>
      <c r="M40" s="103"/>
      <c r="N40" s="98"/>
      <c r="O40" s="103"/>
      <c r="P40" s="98"/>
      <c r="Q40" s="103"/>
      <c r="R40" s="98"/>
      <c r="S40" s="103"/>
      <c r="T40" s="32"/>
    </row>
    <row r="41" spans="2:20" ht="15.95" customHeight="1" x14ac:dyDescent="0.25">
      <c r="B41" s="95" t="s">
        <v>109</v>
      </c>
      <c r="C41" s="6" t="s">
        <v>2</v>
      </c>
      <c r="D41" s="46">
        <v>25</v>
      </c>
      <c r="E41" s="49">
        <v>1</v>
      </c>
      <c r="F41" s="98">
        <f t="shared" ref="F41:F48" si="7">D41*E41</f>
        <v>25</v>
      </c>
      <c r="G41" s="103"/>
      <c r="H41" s="98"/>
      <c r="I41" s="103"/>
      <c r="J41" s="98"/>
      <c r="K41" s="103"/>
      <c r="L41" s="98"/>
      <c r="M41" s="103"/>
      <c r="N41" s="98"/>
      <c r="O41" s="103"/>
      <c r="P41" s="98"/>
      <c r="Q41" s="103"/>
      <c r="R41" s="98"/>
      <c r="S41" s="103"/>
      <c r="T41" s="32"/>
    </row>
    <row r="42" spans="2:20" ht="15.95" customHeight="1" x14ac:dyDescent="0.25">
      <c r="B42" s="95" t="s">
        <v>169</v>
      </c>
      <c r="C42" s="6" t="s">
        <v>2</v>
      </c>
      <c r="D42" s="46">
        <v>25</v>
      </c>
      <c r="E42" s="49">
        <v>2</v>
      </c>
      <c r="F42" s="98">
        <f t="shared" si="7"/>
        <v>50</v>
      </c>
      <c r="G42" s="103"/>
      <c r="H42" s="98"/>
      <c r="I42" s="103"/>
      <c r="J42" s="98"/>
      <c r="K42" s="103"/>
      <c r="L42" s="98"/>
      <c r="M42" s="103"/>
      <c r="N42" s="98"/>
      <c r="O42" s="103"/>
      <c r="P42" s="98"/>
      <c r="Q42" s="103"/>
      <c r="R42" s="98"/>
      <c r="S42" s="103"/>
      <c r="T42" s="32"/>
    </row>
    <row r="43" spans="2:20" ht="15.95" customHeight="1" x14ac:dyDescent="0.25">
      <c r="B43" s="95" t="s">
        <v>257</v>
      </c>
      <c r="C43" s="6" t="s">
        <v>2</v>
      </c>
      <c r="D43" s="46">
        <v>10</v>
      </c>
      <c r="E43" s="49">
        <v>1</v>
      </c>
      <c r="F43" s="98">
        <f t="shared" si="7"/>
        <v>10</v>
      </c>
      <c r="G43" s="103"/>
      <c r="H43" s="98"/>
      <c r="I43" s="103"/>
      <c r="J43" s="98"/>
      <c r="K43" s="103"/>
      <c r="L43" s="98"/>
      <c r="M43" s="103"/>
      <c r="N43" s="98"/>
      <c r="O43" s="103"/>
      <c r="P43" s="98"/>
      <c r="Q43" s="103"/>
      <c r="R43" s="98"/>
      <c r="S43" s="103"/>
      <c r="T43" s="32"/>
    </row>
    <row r="44" spans="2:20" ht="15.95" customHeight="1" x14ac:dyDescent="0.25">
      <c r="B44" s="95" t="s">
        <v>110</v>
      </c>
      <c r="C44" s="6" t="s">
        <v>29</v>
      </c>
      <c r="D44" s="46">
        <v>197.5</v>
      </c>
      <c r="E44" s="49">
        <v>1</v>
      </c>
      <c r="F44" s="98">
        <f t="shared" si="7"/>
        <v>197.5</v>
      </c>
      <c r="G44" s="103"/>
      <c r="H44" s="98"/>
      <c r="I44" s="103"/>
      <c r="J44" s="98"/>
      <c r="K44" s="103"/>
      <c r="L44" s="98"/>
      <c r="M44" s="103"/>
      <c r="N44" s="98"/>
      <c r="O44" s="103"/>
      <c r="P44" s="98"/>
      <c r="Q44" s="103"/>
      <c r="R44" s="98"/>
      <c r="S44" s="103"/>
      <c r="T44" s="32"/>
    </row>
    <row r="45" spans="2:20" ht="15.95" customHeight="1" x14ac:dyDescent="0.25">
      <c r="B45" s="95" t="s">
        <v>113</v>
      </c>
      <c r="C45" s="6" t="s">
        <v>71</v>
      </c>
      <c r="D45" s="46">
        <v>2.57</v>
      </c>
      <c r="E45" s="49">
        <v>0</v>
      </c>
      <c r="F45" s="98">
        <f t="shared" si="7"/>
        <v>0</v>
      </c>
      <c r="G45" s="103"/>
      <c r="H45" s="98"/>
      <c r="I45" s="103"/>
      <c r="J45" s="98"/>
      <c r="K45" s="103"/>
      <c r="L45" s="98"/>
      <c r="M45" s="103"/>
      <c r="N45" s="98"/>
      <c r="O45" s="103"/>
      <c r="P45" s="98"/>
      <c r="Q45" s="103"/>
      <c r="R45" s="98"/>
      <c r="S45" s="103"/>
      <c r="T45" s="32"/>
    </row>
    <row r="46" spans="2:20" ht="15.95" customHeight="1" x14ac:dyDescent="0.25">
      <c r="B46" s="95" t="s">
        <v>114</v>
      </c>
      <c r="C46" s="6" t="s">
        <v>71</v>
      </c>
      <c r="D46" s="46">
        <v>0.44</v>
      </c>
      <c r="E46" s="49">
        <v>0</v>
      </c>
      <c r="F46" s="98">
        <f t="shared" si="7"/>
        <v>0</v>
      </c>
      <c r="G46" s="31"/>
      <c r="H46" s="33"/>
      <c r="I46" s="103"/>
      <c r="J46" s="98"/>
      <c r="K46" s="103"/>
      <c r="L46" s="98"/>
      <c r="M46" s="103"/>
      <c r="N46" s="98"/>
      <c r="O46" s="103"/>
      <c r="P46" s="98"/>
      <c r="Q46" s="103"/>
      <c r="R46" s="98"/>
      <c r="S46" s="103"/>
      <c r="T46" s="32"/>
    </row>
    <row r="47" spans="2:20" ht="15.95" customHeight="1" x14ac:dyDescent="0.25">
      <c r="B47" s="95" t="s">
        <v>208</v>
      </c>
      <c r="C47" s="6" t="s">
        <v>29</v>
      </c>
      <c r="D47" s="46">
        <v>174</v>
      </c>
      <c r="E47" s="48">
        <v>8</v>
      </c>
      <c r="F47" s="98">
        <f t="shared" si="7"/>
        <v>1392</v>
      </c>
      <c r="G47" s="31"/>
      <c r="H47" s="31"/>
      <c r="I47" s="114"/>
      <c r="J47" s="98"/>
      <c r="K47" s="114"/>
      <c r="L47" s="98"/>
      <c r="M47" s="103"/>
      <c r="N47" s="98"/>
      <c r="O47" s="103"/>
      <c r="P47" s="98"/>
      <c r="Q47" s="103"/>
      <c r="R47" s="98"/>
      <c r="S47" s="103"/>
      <c r="T47" s="32"/>
    </row>
    <row r="48" spans="2:20" ht="15.95" customHeight="1" x14ac:dyDescent="0.25">
      <c r="B48" s="95" t="s">
        <v>111</v>
      </c>
      <c r="C48" s="6" t="s">
        <v>162</v>
      </c>
      <c r="D48" s="46">
        <v>3.25</v>
      </c>
      <c r="E48" s="114">
        <f>Machinery!F13</f>
        <v>3.0987</v>
      </c>
      <c r="F48" s="98">
        <f t="shared" si="7"/>
        <v>10.070774999999999</v>
      </c>
      <c r="G48" s="114">
        <f>Machinery!F27</f>
        <v>9.6604200000000002</v>
      </c>
      <c r="H48" s="98">
        <f>G48*D48</f>
        <v>31.396364999999999</v>
      </c>
      <c r="I48" s="114">
        <f>Machinery!F41</f>
        <v>13.12542</v>
      </c>
      <c r="J48" s="98">
        <f>I48*D48</f>
        <v>42.657615</v>
      </c>
      <c r="K48" s="114">
        <f>Machinery!F55</f>
        <v>39.079259999999998</v>
      </c>
      <c r="L48" s="98">
        <f>K48*D48</f>
        <v>127.00759499999999</v>
      </c>
      <c r="M48" s="114">
        <f>Machinery!F69</f>
        <v>48.484259999999992</v>
      </c>
      <c r="N48" s="98">
        <f>D48*M48</f>
        <v>157.57384499999998</v>
      </c>
      <c r="O48" s="114">
        <f>Machinery!F83</f>
        <v>64.324259999999995</v>
      </c>
      <c r="P48" s="98">
        <f>D48*O48</f>
        <v>209.053845</v>
      </c>
      <c r="Q48" s="114">
        <f>Machinery!F97</f>
        <v>72.739260000000002</v>
      </c>
      <c r="R48" s="98">
        <f>D48*Q48</f>
        <v>236.40259500000002</v>
      </c>
      <c r="S48" s="114">
        <f>Machinery!F111</f>
        <v>80.164259999999999</v>
      </c>
      <c r="T48" s="32">
        <f>D48*S48</f>
        <v>260.53384499999999</v>
      </c>
    </row>
    <row r="49" spans="2:20" ht="15.95" customHeight="1" x14ac:dyDescent="0.25">
      <c r="B49" s="95" t="s">
        <v>27</v>
      </c>
      <c r="D49" s="113"/>
      <c r="E49" s="114"/>
      <c r="F49" s="98"/>
      <c r="G49" s="114"/>
      <c r="H49" s="98"/>
      <c r="I49" s="114"/>
      <c r="J49" s="98"/>
      <c r="K49" s="114"/>
      <c r="L49" s="98"/>
      <c r="M49" s="103"/>
      <c r="N49" s="98"/>
      <c r="O49" s="103"/>
      <c r="P49" s="98"/>
      <c r="Q49" s="103"/>
      <c r="R49" s="98"/>
      <c r="S49" s="103"/>
      <c r="T49" s="32"/>
    </row>
    <row r="50" spans="2:20" ht="15.95" customHeight="1" x14ac:dyDescent="0.25">
      <c r="B50" s="95" t="s">
        <v>153</v>
      </c>
      <c r="D50" s="113"/>
      <c r="E50" s="114"/>
      <c r="F50" s="98">
        <f>Machinery!G13-Budget!F28-Budget!F48</f>
        <v>9.0720299999999963</v>
      </c>
      <c r="G50" s="114"/>
      <c r="H50" s="98">
        <f>Machinery!G27-Budget!H28-Budget!H48</f>
        <v>28.130970000000008</v>
      </c>
      <c r="I50" s="114"/>
      <c r="J50" s="98">
        <f>Machinery!G41-Budget!J28-Budget!J48</f>
        <v>75.783469999999994</v>
      </c>
      <c r="K50" s="114"/>
      <c r="L50" s="98">
        <f>Machinery!G55-Budget!L28-Budget!L48</f>
        <v>363.47941000000009</v>
      </c>
      <c r="M50" s="103"/>
      <c r="N50" s="98">
        <f>Machinery!G69-Budget!N28-Budget!N48</f>
        <v>486.86941000000002</v>
      </c>
      <c r="O50" s="103"/>
      <c r="P50" s="98">
        <f>Machinery!G83-Budget!P28-Budget!P48</f>
        <v>711.22441000000003</v>
      </c>
      <c r="Q50" s="103"/>
      <c r="R50" s="98">
        <f>Machinery!G97-Budget!R28-Budget!R48</f>
        <v>826.95191000000023</v>
      </c>
      <c r="S50" s="103"/>
      <c r="T50" s="32">
        <f>Machinery!G111-Budget!T28-Budget!T48</f>
        <v>948.04691000000003</v>
      </c>
    </row>
    <row r="51" spans="2:20" ht="15.95" customHeight="1" x14ac:dyDescent="0.25">
      <c r="B51" s="95" t="s">
        <v>154</v>
      </c>
      <c r="D51" s="34"/>
      <c r="E51" s="114"/>
      <c r="F51" s="98">
        <f>Investments!L16</f>
        <v>79.88</v>
      </c>
      <c r="G51" s="114"/>
      <c r="H51" s="98">
        <f>Investments!L16</f>
        <v>79.88</v>
      </c>
      <c r="I51" s="114"/>
      <c r="J51" s="98">
        <f>Investments!L16</f>
        <v>79.88</v>
      </c>
      <c r="K51" s="114"/>
      <c r="L51" s="98">
        <f>Investments!L16+Investments!L26</f>
        <v>393.3175</v>
      </c>
      <c r="M51" s="103"/>
      <c r="N51" s="98">
        <f>Investments!L16+Investments!L26</f>
        <v>393.3175</v>
      </c>
      <c r="O51" s="103"/>
      <c r="P51" s="98">
        <f>Investments!L16+Investments!L26</f>
        <v>393.3175</v>
      </c>
      <c r="Q51" s="103"/>
      <c r="R51" s="98">
        <f>Investments!L16+Investments!L26</f>
        <v>393.3175</v>
      </c>
      <c r="S51" s="103"/>
      <c r="T51" s="32">
        <f>Investments!L16+Investments!L26</f>
        <v>393.3175</v>
      </c>
    </row>
    <row r="52" spans="2:20" ht="15.95" customHeight="1" x14ac:dyDescent="0.25">
      <c r="B52" s="95" t="s">
        <v>231</v>
      </c>
      <c r="C52" s="6" t="s">
        <v>45</v>
      </c>
      <c r="D52" s="50">
        <v>0.1</v>
      </c>
      <c r="E52" s="114"/>
      <c r="F52" s="98"/>
      <c r="G52" s="114"/>
      <c r="H52" s="98"/>
      <c r="I52" s="114"/>
      <c r="J52" s="98"/>
      <c r="K52" s="114"/>
      <c r="L52" s="98">
        <f>L7*$D$52</f>
        <v>405</v>
      </c>
      <c r="M52" s="103"/>
      <c r="N52" s="98">
        <f>N7*$D$52</f>
        <v>787.5</v>
      </c>
      <c r="O52" s="103"/>
      <c r="P52" s="98">
        <f>P7*$D$52</f>
        <v>1350</v>
      </c>
      <c r="Q52" s="103"/>
      <c r="R52" s="98">
        <f>R7*$D$52</f>
        <v>1800</v>
      </c>
      <c r="S52" s="103"/>
      <c r="T52" s="32">
        <f>T7*$D$52</f>
        <v>2250</v>
      </c>
    </row>
    <row r="53" spans="2:20" ht="15.95" customHeight="1" x14ac:dyDescent="0.25">
      <c r="B53" s="95" t="s">
        <v>99</v>
      </c>
      <c r="C53" s="6" t="s">
        <v>2</v>
      </c>
      <c r="D53" s="113"/>
      <c r="E53" s="115"/>
      <c r="F53" s="98"/>
      <c r="G53" s="114"/>
      <c r="H53" s="98"/>
      <c r="I53" s="114"/>
      <c r="J53" s="98"/>
      <c r="K53" s="114"/>
      <c r="L53" s="98"/>
      <c r="M53" s="103"/>
      <c r="N53" s="144">
        <v>113</v>
      </c>
      <c r="O53" s="103"/>
      <c r="P53" s="144">
        <v>194</v>
      </c>
      <c r="Q53" s="103"/>
      <c r="R53" s="144">
        <v>259</v>
      </c>
      <c r="S53" s="103"/>
      <c r="T53" s="145">
        <v>323</v>
      </c>
    </row>
    <row r="54" spans="2:20" ht="15.95" customHeight="1" x14ac:dyDescent="0.25">
      <c r="B54" s="95" t="s">
        <v>209</v>
      </c>
      <c r="C54" s="6" t="s">
        <v>206</v>
      </c>
      <c r="D54" s="46">
        <v>0.3</v>
      </c>
      <c r="E54" s="115"/>
      <c r="F54" s="98"/>
      <c r="G54" s="114"/>
      <c r="H54" s="98"/>
      <c r="I54" s="114"/>
      <c r="J54" s="98"/>
      <c r="K54" s="114"/>
      <c r="L54" s="98">
        <f>D54*K5</f>
        <v>54</v>
      </c>
      <c r="M54" s="103"/>
      <c r="N54" s="98">
        <f>D54*M5</f>
        <v>105</v>
      </c>
      <c r="O54" s="103"/>
      <c r="P54" s="98">
        <f>D54*O5</f>
        <v>180</v>
      </c>
      <c r="Q54" s="103"/>
      <c r="R54" s="98">
        <f>D54*Q5</f>
        <v>240</v>
      </c>
      <c r="S54" s="103"/>
      <c r="T54" s="32">
        <f>D54*S5</f>
        <v>300</v>
      </c>
    </row>
    <row r="55" spans="2:20" ht="15.95" customHeight="1" x14ac:dyDescent="0.25">
      <c r="B55" s="95" t="s">
        <v>8</v>
      </c>
      <c r="C55" s="6" t="s">
        <v>2</v>
      </c>
      <c r="D55" s="46">
        <v>0</v>
      </c>
      <c r="E55" s="103"/>
      <c r="F55" s="98">
        <f>D55</f>
        <v>0</v>
      </c>
      <c r="G55" s="103"/>
      <c r="H55" s="98">
        <f>D55</f>
        <v>0</v>
      </c>
      <c r="I55" s="103"/>
      <c r="J55" s="98">
        <f>D55</f>
        <v>0</v>
      </c>
      <c r="K55" s="103"/>
      <c r="L55" s="98">
        <f>D55</f>
        <v>0</v>
      </c>
      <c r="M55" s="103"/>
      <c r="N55" s="98">
        <f>D55</f>
        <v>0</v>
      </c>
      <c r="O55" s="103"/>
      <c r="P55" s="98">
        <f>F55</f>
        <v>0</v>
      </c>
      <c r="Q55" s="103"/>
      <c r="R55" s="98">
        <f>H55</f>
        <v>0</v>
      </c>
      <c r="S55" s="103"/>
      <c r="T55" s="32">
        <f>J55</f>
        <v>0</v>
      </c>
    </row>
    <row r="56" spans="2:20" ht="15.95" customHeight="1" x14ac:dyDescent="0.25">
      <c r="B56" s="95" t="s">
        <v>1</v>
      </c>
      <c r="C56" s="6" t="s">
        <v>15</v>
      </c>
      <c r="D56" s="51">
        <v>0.08</v>
      </c>
      <c r="E56" s="96"/>
      <c r="F56" s="110">
        <f>SUM(F12:F55)/2*D56</f>
        <v>106.5030122</v>
      </c>
      <c r="G56" s="96"/>
      <c r="H56" s="110">
        <f>SUM(H12:H55)/2*D56</f>
        <v>140.33675340000002</v>
      </c>
      <c r="I56" s="96"/>
      <c r="J56" s="110">
        <f>SUM(J12:J55)/2*D56</f>
        <v>79.553303400000004</v>
      </c>
      <c r="K56" s="103"/>
      <c r="L56" s="110">
        <f>SUM(L12:L55)/2*D56</f>
        <v>182.8162002</v>
      </c>
      <c r="M56" s="103"/>
      <c r="N56" s="110">
        <f>SUM(N12:N55)/2*D56</f>
        <v>228.96445019999999</v>
      </c>
      <c r="O56" s="103"/>
      <c r="P56" s="110">
        <f>SUM(P12:P55)/2*D56</f>
        <v>302.40785020000004</v>
      </c>
      <c r="Q56" s="103"/>
      <c r="R56" s="110">
        <f>SUM(R12:R55)/2*D56</f>
        <v>345.19090020000004</v>
      </c>
      <c r="S56" s="103"/>
      <c r="T56" s="116">
        <f>SUM(T12:T55)/2*D56</f>
        <v>386.16995020000002</v>
      </c>
    </row>
    <row r="57" spans="2:20" ht="15.95" customHeight="1" x14ac:dyDescent="0.25">
      <c r="B57" s="117" t="s">
        <v>14</v>
      </c>
      <c r="D57" s="34"/>
      <c r="E57" s="96"/>
      <c r="F57" s="98">
        <f>SUM(F12:F56)</f>
        <v>2769.0783171999997</v>
      </c>
      <c r="G57" s="96"/>
      <c r="H57" s="98">
        <f>SUM(H11:H56)</f>
        <v>16353.755588400001</v>
      </c>
      <c r="I57" s="96"/>
      <c r="J57" s="98">
        <f>SUM(J12:J56)</f>
        <v>2068.3858884000001</v>
      </c>
      <c r="K57" s="103"/>
      <c r="L57" s="98">
        <f>SUM(L12:L56)</f>
        <v>4753.2212051999995</v>
      </c>
      <c r="M57" s="103"/>
      <c r="N57" s="98">
        <f>SUM(N12:N56)</f>
        <v>5953.0757051999999</v>
      </c>
      <c r="O57" s="103"/>
      <c r="P57" s="98">
        <f>SUM(P12:P56)</f>
        <v>7862.604105200001</v>
      </c>
      <c r="Q57" s="103"/>
      <c r="R57" s="98">
        <f>SUM(R12:R56)</f>
        <v>8974.9634052000001</v>
      </c>
      <c r="S57" s="103"/>
      <c r="T57" s="32">
        <f>SUM(T12:T56)</f>
        <v>10040.4187052</v>
      </c>
    </row>
    <row r="58" spans="2:20" ht="15.95" customHeight="1" x14ac:dyDescent="0.25">
      <c r="B58" s="95"/>
      <c r="C58" s="99"/>
      <c r="D58" s="34"/>
      <c r="E58" s="96"/>
      <c r="F58" s="98"/>
      <c r="G58" s="96"/>
      <c r="H58" s="98"/>
      <c r="I58" s="96"/>
      <c r="J58" s="98"/>
      <c r="K58" s="103"/>
      <c r="L58" s="98"/>
      <c r="M58" s="103"/>
      <c r="N58" s="98"/>
      <c r="O58" s="103"/>
      <c r="P58" s="98"/>
      <c r="Q58" s="103"/>
      <c r="R58" s="98"/>
      <c r="S58" s="103"/>
      <c r="T58" s="32"/>
    </row>
    <row r="59" spans="2:20" ht="15.95" customHeight="1" x14ac:dyDescent="0.25">
      <c r="B59" s="81" t="s">
        <v>30</v>
      </c>
      <c r="C59" s="82" t="s">
        <v>5</v>
      </c>
      <c r="D59" s="83" t="s">
        <v>9</v>
      </c>
      <c r="E59" s="84"/>
      <c r="F59" s="83" t="s">
        <v>11</v>
      </c>
      <c r="G59" s="84"/>
      <c r="H59" s="83" t="s">
        <v>11</v>
      </c>
      <c r="I59" s="84"/>
      <c r="J59" s="83" t="s">
        <v>11</v>
      </c>
      <c r="K59" s="84"/>
      <c r="L59" s="83" t="s">
        <v>11</v>
      </c>
      <c r="M59" s="84"/>
      <c r="N59" s="83" t="s">
        <v>11</v>
      </c>
      <c r="O59" s="84"/>
      <c r="P59" s="83" t="s">
        <v>11</v>
      </c>
      <c r="Q59" s="84"/>
      <c r="R59" s="83" t="s">
        <v>11</v>
      </c>
      <c r="S59" s="84"/>
      <c r="T59" s="85" t="s">
        <v>11</v>
      </c>
    </row>
    <row r="60" spans="2:20" ht="15.95" customHeight="1" x14ac:dyDescent="0.25">
      <c r="B60" s="95" t="s">
        <v>163</v>
      </c>
      <c r="C60" s="111"/>
      <c r="D60" s="88"/>
      <c r="E60" s="118"/>
      <c r="F60" s="98">
        <f>Investments!I16</f>
        <v>501.50563809523811</v>
      </c>
      <c r="G60" s="118"/>
      <c r="H60" s="98">
        <f>Investments!I16</f>
        <v>501.50563809523811</v>
      </c>
      <c r="I60" s="118"/>
      <c r="J60" s="98">
        <f>Investments!I16</f>
        <v>501.50563809523811</v>
      </c>
      <c r="K60" s="118"/>
      <c r="L60" s="98">
        <f>Investments!I16+Investments!I26</f>
        <v>1463.805638095238</v>
      </c>
      <c r="M60" s="119"/>
      <c r="N60" s="120">
        <f>Investments!I16+Investments!I26</f>
        <v>1463.805638095238</v>
      </c>
      <c r="O60" s="111"/>
      <c r="P60" s="33">
        <f>Investments!I16+Investments!I26</f>
        <v>1463.805638095238</v>
      </c>
      <c r="Q60" s="119"/>
      <c r="R60" s="120">
        <f>Investments!I16+Investments!I26</f>
        <v>1463.805638095238</v>
      </c>
      <c r="S60" s="119"/>
      <c r="T60" s="121">
        <f>Investments!I16+Investments!I26</f>
        <v>1463.805638095238</v>
      </c>
    </row>
    <row r="61" spans="2:20" ht="15.95" customHeight="1" x14ac:dyDescent="0.25">
      <c r="B61" s="95" t="s">
        <v>164</v>
      </c>
      <c r="C61" s="6" t="s">
        <v>15</v>
      </c>
      <c r="D61" s="51">
        <v>7.4999999999999997E-2</v>
      </c>
      <c r="E61" s="118"/>
      <c r="F61" s="98">
        <f>Investments!J16</f>
        <v>399.42225000000008</v>
      </c>
      <c r="G61" s="118"/>
      <c r="H61" s="98">
        <f>Investments!J16</f>
        <v>399.42225000000008</v>
      </c>
      <c r="I61" s="118"/>
      <c r="J61" s="98">
        <f>Investments!J16</f>
        <v>399.42225000000008</v>
      </c>
      <c r="K61" s="118"/>
      <c r="L61" s="98">
        <f>Investments!J16+Investments!J26</f>
        <v>1301.5785000000001</v>
      </c>
      <c r="M61" s="118"/>
      <c r="N61" s="98">
        <f>Investments!J16+Investments!J26</f>
        <v>1301.5785000000001</v>
      </c>
      <c r="O61" s="111"/>
      <c r="P61" s="33">
        <f>Investments!J16+Investments!J26</f>
        <v>1301.5785000000001</v>
      </c>
      <c r="Q61" s="118"/>
      <c r="R61" s="98">
        <f>Investments!J16+Investments!J26</f>
        <v>1301.5785000000001</v>
      </c>
      <c r="S61" s="118"/>
      <c r="T61" s="32">
        <f>Investments!J16+Investments!J26</f>
        <v>1301.5785000000001</v>
      </c>
    </row>
    <row r="62" spans="2:20" ht="15.95" customHeight="1" x14ac:dyDescent="0.25">
      <c r="B62" s="95" t="s">
        <v>112</v>
      </c>
      <c r="D62" s="122"/>
      <c r="E62" s="118"/>
      <c r="F62" s="98">
        <f>Machinery!H13</f>
        <v>32.443639999999995</v>
      </c>
      <c r="G62" s="118"/>
      <c r="H62" s="98">
        <f>Machinery!H27</f>
        <v>78.972340000000003</v>
      </c>
      <c r="I62" s="118"/>
      <c r="J62" s="98">
        <f>Machinery!H41</f>
        <v>160.97734</v>
      </c>
      <c r="K62" s="118"/>
      <c r="L62" s="98">
        <f>Machinery!H55</f>
        <v>673.09955999999988</v>
      </c>
      <c r="M62" s="118"/>
      <c r="N62" s="98">
        <f>Machinery!H69</f>
        <v>877.32205999999996</v>
      </c>
      <c r="O62" s="111"/>
      <c r="P62" s="33">
        <f>Machinery!H83</f>
        <v>1233.8395600000001</v>
      </c>
      <c r="Q62" s="118"/>
      <c r="R62" s="98">
        <f>Machinery!H97</f>
        <v>1432.9945600000001</v>
      </c>
      <c r="S62" s="118"/>
      <c r="T62" s="32">
        <f>Machinery!H111</f>
        <v>1590.35706</v>
      </c>
    </row>
    <row r="63" spans="2:20" ht="15.95" customHeight="1" x14ac:dyDescent="0.25">
      <c r="B63" s="95" t="s">
        <v>13</v>
      </c>
      <c r="C63" s="6" t="s">
        <v>2</v>
      </c>
      <c r="D63" s="46">
        <v>50</v>
      </c>
      <c r="E63" s="118"/>
      <c r="F63" s="98">
        <f>D63</f>
        <v>50</v>
      </c>
      <c r="G63" s="123"/>
      <c r="H63" s="98">
        <f>D63</f>
        <v>50</v>
      </c>
      <c r="I63" s="123"/>
      <c r="J63" s="98">
        <f>D63</f>
        <v>50</v>
      </c>
      <c r="K63" s="123"/>
      <c r="L63" s="98">
        <f>D63</f>
        <v>50</v>
      </c>
      <c r="M63" s="123"/>
      <c r="N63" s="98">
        <f>L63</f>
        <v>50</v>
      </c>
      <c r="O63" s="124"/>
      <c r="P63" s="33">
        <f>N63</f>
        <v>50</v>
      </c>
      <c r="Q63" s="123"/>
      <c r="R63" s="98">
        <f>P63</f>
        <v>50</v>
      </c>
      <c r="S63" s="123"/>
      <c r="T63" s="32">
        <f>R63</f>
        <v>50</v>
      </c>
    </row>
    <row r="64" spans="2:20" ht="15.95" customHeight="1" x14ac:dyDescent="0.25">
      <c r="B64" s="95" t="s">
        <v>197</v>
      </c>
      <c r="C64" s="6" t="s">
        <v>165</v>
      </c>
      <c r="D64" s="51">
        <v>0.01</v>
      </c>
      <c r="E64" s="118"/>
      <c r="F64" s="110">
        <f>Investments!$F$16*$D$64</f>
        <v>106.51260000000001</v>
      </c>
      <c r="G64" s="118"/>
      <c r="H64" s="110">
        <f>Investments!$F$16*$D$64</f>
        <v>106.51260000000001</v>
      </c>
      <c r="I64" s="118"/>
      <c r="J64" s="110">
        <f>Investments!$F$16*$D$64</f>
        <v>106.51260000000001</v>
      </c>
      <c r="K64" s="118"/>
      <c r="L64" s="110">
        <f>(Investments!$F$16+Investments!F26)*$D$64</f>
        <v>347.08760000000001</v>
      </c>
      <c r="M64" s="118"/>
      <c r="N64" s="110">
        <f>(Investments!$F$16+Investments!F26)*$D$64</f>
        <v>347.08760000000001</v>
      </c>
      <c r="O64" s="111"/>
      <c r="P64" s="35">
        <f>(Investments!$F$16+Investments!F26)*$D$64</f>
        <v>347.08760000000001</v>
      </c>
      <c r="Q64" s="118"/>
      <c r="R64" s="110">
        <f>(Investments!$F$16+Investments!F26)*$D$64</f>
        <v>347.08760000000001</v>
      </c>
      <c r="S64" s="118"/>
      <c r="T64" s="116">
        <f>(Investments!$F$16+Investments!F26)*$D$64</f>
        <v>347.08760000000001</v>
      </c>
    </row>
    <row r="65" spans="2:20" ht="15.95" customHeight="1" x14ac:dyDescent="0.25">
      <c r="B65" s="101" t="s">
        <v>16</v>
      </c>
      <c r="C65" s="31"/>
      <c r="D65" s="34"/>
      <c r="E65" s="118"/>
      <c r="F65" s="98">
        <f>SUM(F60:F64)</f>
        <v>1089.8841280952381</v>
      </c>
      <c r="G65" s="118"/>
      <c r="H65" s="98">
        <f>SUM(H60:H64)</f>
        <v>1136.4128280952382</v>
      </c>
      <c r="I65" s="118"/>
      <c r="J65" s="98">
        <f>SUM(J60:J64)</f>
        <v>1218.4178280952381</v>
      </c>
      <c r="K65" s="118"/>
      <c r="L65" s="98">
        <f>SUM(L60:L64)</f>
        <v>3835.5712980952376</v>
      </c>
      <c r="M65" s="118"/>
      <c r="N65" s="98">
        <f>SUM(N60:N64)</f>
        <v>4039.7937980952379</v>
      </c>
      <c r="O65" s="111"/>
      <c r="P65" s="33">
        <f>SUM(P60:P64)</f>
        <v>4396.3112980952383</v>
      </c>
      <c r="Q65" s="118"/>
      <c r="R65" s="98">
        <f>SUM(R60:R64)</f>
        <v>4595.466298095238</v>
      </c>
      <c r="S65" s="118"/>
      <c r="T65" s="32">
        <f>SUM(T60:T64)</f>
        <v>4752.8287980952382</v>
      </c>
    </row>
    <row r="66" spans="2:20" ht="15.95" customHeight="1" x14ac:dyDescent="0.25">
      <c r="B66" s="95"/>
      <c r="C66" s="31"/>
      <c r="D66" s="34"/>
      <c r="E66" s="118"/>
      <c r="F66" s="125"/>
      <c r="G66" s="118"/>
      <c r="H66" s="125"/>
      <c r="I66" s="118"/>
      <c r="J66" s="125"/>
      <c r="K66" s="118"/>
      <c r="L66" s="125"/>
      <c r="M66" s="118"/>
      <c r="N66" s="125"/>
      <c r="O66" s="111"/>
      <c r="P66" s="126"/>
      <c r="Q66" s="118"/>
      <c r="R66" s="125"/>
      <c r="S66" s="118"/>
      <c r="T66" s="127"/>
    </row>
    <row r="67" spans="2:20" ht="15.95" customHeight="1" x14ac:dyDescent="0.25">
      <c r="B67" s="101" t="s">
        <v>17</v>
      </c>
      <c r="C67" s="31"/>
      <c r="D67" s="108"/>
      <c r="E67" s="103"/>
      <c r="F67" s="98">
        <f>F57+F65</f>
        <v>3858.9624452952376</v>
      </c>
      <c r="G67" s="103"/>
      <c r="H67" s="98">
        <f>H57+H65</f>
        <v>17490.168416495238</v>
      </c>
      <c r="I67" s="103"/>
      <c r="J67" s="98">
        <f>J57+J65</f>
        <v>3286.8037164952384</v>
      </c>
      <c r="K67" s="103"/>
      <c r="L67" s="98">
        <f>L57+L65</f>
        <v>8588.7925032952371</v>
      </c>
      <c r="M67" s="103"/>
      <c r="N67" s="98">
        <f>N57+N65</f>
        <v>9992.8695032952382</v>
      </c>
      <c r="O67" s="31"/>
      <c r="P67" s="33">
        <f>P57+P65</f>
        <v>12258.915403295239</v>
      </c>
      <c r="Q67" s="103"/>
      <c r="R67" s="98">
        <f>R57+R65</f>
        <v>13570.429703295238</v>
      </c>
      <c r="S67" s="103"/>
      <c r="T67" s="32">
        <f>T57+T65</f>
        <v>14793.247503295239</v>
      </c>
    </row>
    <row r="68" spans="2:20" ht="15.95" customHeight="1" x14ac:dyDescent="0.25">
      <c r="B68" s="128"/>
      <c r="C68" s="36"/>
      <c r="D68" s="129"/>
      <c r="E68" s="103"/>
      <c r="F68" s="98"/>
      <c r="G68" s="109"/>
      <c r="H68" s="110"/>
      <c r="I68" s="109"/>
      <c r="J68" s="110"/>
      <c r="K68" s="109"/>
      <c r="L68" s="110"/>
      <c r="M68" s="109"/>
      <c r="N68" s="110"/>
      <c r="O68" s="36"/>
      <c r="P68" s="35"/>
      <c r="Q68" s="109"/>
      <c r="R68" s="110"/>
      <c r="S68" s="109"/>
      <c r="T68" s="116"/>
    </row>
    <row r="69" spans="2:20" ht="15.95" customHeight="1" x14ac:dyDescent="0.25">
      <c r="B69" s="101" t="s">
        <v>18</v>
      </c>
      <c r="C69" s="31"/>
      <c r="D69" s="31"/>
      <c r="E69" s="130"/>
      <c r="F69" s="131">
        <f>F7-F57</f>
        <v>-2769.0783171999997</v>
      </c>
      <c r="G69" s="132"/>
      <c r="H69" s="131">
        <f>H7-H57</f>
        <v>-16353.755588400001</v>
      </c>
      <c r="I69" s="132"/>
      <c r="J69" s="131">
        <f>J7-J57</f>
        <v>-2068.3858884000001</v>
      </c>
      <c r="K69" s="133"/>
      <c r="L69" s="131">
        <f>L7-L57</f>
        <v>-703.22120519999953</v>
      </c>
      <c r="M69" s="133"/>
      <c r="N69" s="131">
        <f>N7-N57</f>
        <v>1921.9242948000001</v>
      </c>
      <c r="O69" s="134"/>
      <c r="P69" s="135">
        <f>P7-P57</f>
        <v>5637.395894799999</v>
      </c>
      <c r="Q69" s="133"/>
      <c r="R69" s="131">
        <f>R7-R57</f>
        <v>9025.0365947999999</v>
      </c>
      <c r="S69" s="133"/>
      <c r="T69" s="136">
        <f>T7-T57</f>
        <v>12459.5812948</v>
      </c>
    </row>
    <row r="70" spans="2:20" ht="15.95" customHeight="1" thickBot="1" x14ac:dyDescent="0.3">
      <c r="B70" s="137" t="s">
        <v>19</v>
      </c>
      <c r="C70" s="138"/>
      <c r="D70" s="138"/>
      <c r="E70" s="139"/>
      <c r="F70" s="140">
        <f>F7-F67</f>
        <v>-3858.9624452952376</v>
      </c>
      <c r="G70" s="141"/>
      <c r="H70" s="140">
        <f>H7-H67</f>
        <v>-17490.168416495238</v>
      </c>
      <c r="I70" s="141"/>
      <c r="J70" s="140">
        <f>J7-J67</f>
        <v>-3286.8037164952384</v>
      </c>
      <c r="K70" s="141"/>
      <c r="L70" s="140">
        <f>L7-L67</f>
        <v>-4538.7925032952371</v>
      </c>
      <c r="M70" s="141"/>
      <c r="N70" s="140">
        <f>N7-N67</f>
        <v>-2117.8695032952382</v>
      </c>
      <c r="O70" s="142"/>
      <c r="P70" s="142">
        <f>P7-P67</f>
        <v>1241.0845967047608</v>
      </c>
      <c r="Q70" s="141"/>
      <c r="R70" s="140">
        <f>R7-R67</f>
        <v>4429.5702967047619</v>
      </c>
      <c r="S70" s="141"/>
      <c r="T70" s="143">
        <f>T7-T67</f>
        <v>7706.7524967047611</v>
      </c>
    </row>
    <row r="71" spans="2:20" ht="15.95" customHeight="1" x14ac:dyDescent="0.25">
      <c r="B71" s="6" t="s">
        <v>216</v>
      </c>
    </row>
    <row r="74" spans="2:20" ht="18.75" hidden="1" customHeight="1" x14ac:dyDescent="0.25"/>
  </sheetData>
  <sheetProtection sheet="1" objects="1" scenarios="1"/>
  <mergeCells count="9">
    <mergeCell ref="B1:T1"/>
    <mergeCell ref="O2:P2"/>
    <mergeCell ref="Q2:R2"/>
    <mergeCell ref="S2:T2"/>
    <mergeCell ref="E2:F2"/>
    <mergeCell ref="G2:H2"/>
    <mergeCell ref="I2:J2"/>
    <mergeCell ref="K2:L2"/>
    <mergeCell ref="M2:N2"/>
  </mergeCells>
  <phoneticPr fontId="14" type="noConversion"/>
  <pageMargins left="0.7" right="0.7" top="0.5" bottom="0.5" header="0" footer="0"/>
  <pageSetup scale="49" orientation="landscape" r:id="rId1"/>
  <ignoredErrors>
    <ignoredError sqref="E48 G48 I48 K48 M48 O48 Q48 S48 E28 G28 I28 K28 M28 O28 Q28 S2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78536-8AD1-440B-A712-48D3CCF19B2C}">
  <sheetPr>
    <pageSetUpPr fitToPage="1"/>
  </sheetPr>
  <dimension ref="A1:M29"/>
  <sheetViews>
    <sheetView zoomScaleNormal="100" workbookViewId="0">
      <selection activeCell="M19" sqref="M19"/>
    </sheetView>
  </sheetViews>
  <sheetFormatPr defaultColWidth="0" defaultRowHeight="15.75" zeroHeight="1" x14ac:dyDescent="0.25"/>
  <cols>
    <col min="1" max="1" width="3.28515625" style="31" customWidth="1"/>
    <col min="2" max="2" width="56.85546875" style="31" customWidth="1"/>
    <col min="3" max="3" width="11.85546875" style="31" customWidth="1"/>
    <col min="4" max="4" width="12.7109375" style="31" customWidth="1"/>
    <col min="5" max="5" width="16" style="31" customWidth="1"/>
    <col min="6" max="6" width="9.140625" style="31" customWidth="1"/>
    <col min="7" max="8" width="10.7109375" style="31" customWidth="1"/>
    <col min="9" max="9" width="15.42578125" style="31" customWidth="1"/>
    <col min="10" max="12" width="10.7109375" style="31" customWidth="1"/>
    <col min="13" max="13" width="3.28515625" style="31" customWidth="1"/>
    <col min="14" max="16384" width="9.140625" style="31" hidden="1"/>
  </cols>
  <sheetData>
    <row r="1" spans="2:12" ht="15.95" customHeight="1" x14ac:dyDescent="0.25">
      <c r="B1" s="36" t="s">
        <v>167</v>
      </c>
      <c r="C1" s="36"/>
      <c r="D1" s="36"/>
      <c r="E1" s="36"/>
      <c r="F1" s="36"/>
      <c r="G1" s="36"/>
      <c r="H1" s="36"/>
      <c r="I1" s="36"/>
      <c r="J1" s="36"/>
      <c r="K1" s="36"/>
    </row>
    <row r="2" spans="2:12" ht="15.95" customHeight="1" x14ac:dyDescent="0.25">
      <c r="B2" s="153" t="s">
        <v>21</v>
      </c>
      <c r="C2" s="153" t="s">
        <v>5</v>
      </c>
      <c r="D2" s="154" t="s">
        <v>10</v>
      </c>
      <c r="E2" s="155" t="s">
        <v>224</v>
      </c>
      <c r="F2" s="156" t="s">
        <v>11</v>
      </c>
      <c r="G2" s="156" t="s">
        <v>20</v>
      </c>
      <c r="H2" s="156" t="s">
        <v>37</v>
      </c>
      <c r="I2" s="156" t="s">
        <v>22</v>
      </c>
      <c r="J2" s="156" t="s">
        <v>23</v>
      </c>
      <c r="K2" s="156" t="s">
        <v>100</v>
      </c>
      <c r="L2" s="156" t="s">
        <v>100</v>
      </c>
    </row>
    <row r="3" spans="2:12" ht="15.95" customHeight="1" x14ac:dyDescent="0.25">
      <c r="B3" s="157"/>
      <c r="C3" s="157"/>
      <c r="D3" s="158" t="s">
        <v>225</v>
      </c>
      <c r="E3" s="158" t="s">
        <v>24</v>
      </c>
      <c r="F3" s="158" t="s">
        <v>24</v>
      </c>
      <c r="G3" s="158" t="s">
        <v>25</v>
      </c>
      <c r="H3" s="158" t="s">
        <v>26</v>
      </c>
      <c r="I3" s="158" t="s">
        <v>24</v>
      </c>
      <c r="J3" s="158" t="s">
        <v>24</v>
      </c>
      <c r="K3" s="158" t="s">
        <v>26</v>
      </c>
      <c r="L3" s="158" t="s">
        <v>24</v>
      </c>
    </row>
    <row r="4" spans="2:12" ht="15.95" customHeight="1" x14ac:dyDescent="0.25">
      <c r="B4" s="38" t="s">
        <v>212</v>
      </c>
      <c r="C4" s="10" t="s">
        <v>3</v>
      </c>
      <c r="D4" s="52">
        <v>68</v>
      </c>
      <c r="E4" s="53">
        <v>34</v>
      </c>
      <c r="F4" s="134">
        <f>D4*E4</f>
        <v>2312</v>
      </c>
      <c r="G4" s="49">
        <v>25</v>
      </c>
      <c r="H4" s="55">
        <v>0</v>
      </c>
      <c r="I4" s="159">
        <f>IF(F4&gt;0,(F4-(F4*H4))/G4,"")</f>
        <v>92.48</v>
      </c>
      <c r="J4" s="159">
        <f>IF(F4&gt;0,((F4+F4*H4)/2)*Budget!$D$61,"")</f>
        <v>86.7</v>
      </c>
      <c r="K4" s="149">
        <v>0</v>
      </c>
      <c r="L4" s="37">
        <f>IF(F4&gt;0,((F4+F4*H4)/2)*K4,"")</f>
        <v>0</v>
      </c>
    </row>
    <row r="5" spans="2:12" ht="15.95" customHeight="1" x14ac:dyDescent="0.25">
      <c r="B5" s="38" t="s">
        <v>213</v>
      </c>
      <c r="C5" s="10" t="s">
        <v>3</v>
      </c>
      <c r="D5" s="52">
        <v>119</v>
      </c>
      <c r="E5" s="53">
        <v>19.5</v>
      </c>
      <c r="F5" s="134">
        <f t="shared" ref="F5:F15" si="0">D5*E5</f>
        <v>2320.5</v>
      </c>
      <c r="G5" s="49">
        <v>25</v>
      </c>
      <c r="H5" s="55">
        <v>0</v>
      </c>
      <c r="I5" s="159">
        <f t="shared" ref="I5:I15" si="1">IF(F5&gt;0,(F5-(F5*H5))/G5,"")</f>
        <v>92.82</v>
      </c>
      <c r="J5" s="159">
        <f>IF(F5&gt;0,((F5+F5*H5)/2)*Budget!$D$61,"")</f>
        <v>87.018749999999997</v>
      </c>
      <c r="K5" s="149">
        <v>0</v>
      </c>
      <c r="L5" s="37">
        <f t="shared" ref="L5:L15" si="2">IF(F5&gt;0,((F5+F5*H5)/2)*K5,"")</f>
        <v>0</v>
      </c>
    </row>
    <row r="6" spans="2:12" ht="15.95" customHeight="1" x14ac:dyDescent="0.25">
      <c r="B6" s="38" t="s">
        <v>214</v>
      </c>
      <c r="C6" s="10" t="s">
        <v>3</v>
      </c>
      <c r="D6" s="52">
        <v>34</v>
      </c>
      <c r="E6" s="53">
        <v>19.5</v>
      </c>
      <c r="F6" s="134">
        <f t="shared" si="0"/>
        <v>663</v>
      </c>
      <c r="G6" s="49">
        <v>25</v>
      </c>
      <c r="H6" s="55">
        <v>0</v>
      </c>
      <c r="I6" s="159">
        <f t="shared" si="1"/>
        <v>26.52</v>
      </c>
      <c r="J6" s="159">
        <f>IF(F6&gt;0,((F6+F6*H6)/2)*Budget!$D$61,"")</f>
        <v>24.862500000000001</v>
      </c>
      <c r="K6" s="149">
        <v>0</v>
      </c>
      <c r="L6" s="37">
        <f t="shared" si="2"/>
        <v>0</v>
      </c>
    </row>
    <row r="7" spans="2:12" ht="15.95" customHeight="1" x14ac:dyDescent="0.25">
      <c r="B7" s="38" t="s">
        <v>65</v>
      </c>
      <c r="C7" s="10" t="s">
        <v>3</v>
      </c>
      <c r="D7" s="52">
        <v>68</v>
      </c>
      <c r="E7" s="53">
        <v>0.8</v>
      </c>
      <c r="F7" s="134">
        <f t="shared" si="0"/>
        <v>54.400000000000006</v>
      </c>
      <c r="G7" s="49">
        <v>25</v>
      </c>
      <c r="H7" s="55">
        <v>0</v>
      </c>
      <c r="I7" s="159">
        <f t="shared" si="1"/>
        <v>2.1760000000000002</v>
      </c>
      <c r="J7" s="159">
        <f>IF(F7&gt;0,((F7+F7*H7)/2)*Budget!$D$61,"")</f>
        <v>2.04</v>
      </c>
      <c r="K7" s="149">
        <v>0</v>
      </c>
      <c r="L7" s="37">
        <f t="shared" si="2"/>
        <v>0</v>
      </c>
    </row>
    <row r="8" spans="2:12" ht="15.95" customHeight="1" x14ac:dyDescent="0.25">
      <c r="B8" s="38" t="s">
        <v>66</v>
      </c>
      <c r="C8" s="10" t="s">
        <v>71</v>
      </c>
      <c r="D8" s="52">
        <v>21140</v>
      </c>
      <c r="E8" s="53">
        <v>3.7499999999999999E-2</v>
      </c>
      <c r="F8" s="134">
        <f t="shared" si="0"/>
        <v>792.75</v>
      </c>
      <c r="G8" s="49">
        <v>25</v>
      </c>
      <c r="H8" s="55">
        <v>0</v>
      </c>
      <c r="I8" s="159">
        <f t="shared" si="1"/>
        <v>31.71</v>
      </c>
      <c r="J8" s="159">
        <f>IF(F8&gt;0,((F8+F8*H8)/2)*Budget!$D$61,"")</f>
        <v>29.728124999999999</v>
      </c>
      <c r="K8" s="149">
        <v>0</v>
      </c>
      <c r="L8" s="37">
        <f t="shared" si="2"/>
        <v>0</v>
      </c>
    </row>
    <row r="9" spans="2:12" ht="15.95" customHeight="1" x14ac:dyDescent="0.25">
      <c r="B9" s="38" t="s">
        <v>67</v>
      </c>
      <c r="C9" s="10" t="s">
        <v>3</v>
      </c>
      <c r="D9" s="52">
        <v>119</v>
      </c>
      <c r="E9" s="53">
        <v>4.99</v>
      </c>
      <c r="F9" s="134">
        <f t="shared" si="0"/>
        <v>593.81000000000006</v>
      </c>
      <c r="G9" s="49">
        <v>25</v>
      </c>
      <c r="H9" s="55">
        <v>0</v>
      </c>
      <c r="I9" s="159">
        <f t="shared" si="1"/>
        <v>23.752400000000002</v>
      </c>
      <c r="J9" s="159">
        <f>IF(F9&gt;0,((F9+F9*H9)/2)*Budget!$D$61,"")</f>
        <v>22.267875</v>
      </c>
      <c r="K9" s="149">
        <v>0</v>
      </c>
      <c r="L9" s="37">
        <f t="shared" si="2"/>
        <v>0</v>
      </c>
    </row>
    <row r="10" spans="2:12" ht="15.95" customHeight="1" x14ac:dyDescent="0.25">
      <c r="B10" s="38" t="s">
        <v>68</v>
      </c>
      <c r="C10" s="160" t="s">
        <v>3</v>
      </c>
      <c r="D10" s="150">
        <v>374</v>
      </c>
      <c r="E10" s="151">
        <v>1.6</v>
      </c>
      <c r="F10" s="134">
        <f t="shared" si="0"/>
        <v>598.4</v>
      </c>
      <c r="G10" s="49">
        <v>25</v>
      </c>
      <c r="H10" s="55">
        <v>0</v>
      </c>
      <c r="I10" s="159">
        <f t="shared" si="1"/>
        <v>23.936</v>
      </c>
      <c r="J10" s="159">
        <f>IF(F10&gt;0,((F10+F10*H10)/2)*Budget!$D$61,"")</f>
        <v>22.439999999999998</v>
      </c>
      <c r="K10" s="149">
        <v>0</v>
      </c>
      <c r="L10" s="37">
        <f t="shared" si="2"/>
        <v>0</v>
      </c>
    </row>
    <row r="11" spans="2:12" ht="15.95" customHeight="1" x14ac:dyDescent="0.25">
      <c r="B11" s="38" t="s">
        <v>69</v>
      </c>
      <c r="C11" s="10" t="s">
        <v>3</v>
      </c>
      <c r="D11" s="52">
        <v>986</v>
      </c>
      <c r="E11" s="54">
        <v>0.02</v>
      </c>
      <c r="F11" s="134">
        <f t="shared" si="0"/>
        <v>19.72</v>
      </c>
      <c r="G11" s="49">
        <v>25</v>
      </c>
      <c r="H11" s="55">
        <v>0</v>
      </c>
      <c r="I11" s="159">
        <f t="shared" si="1"/>
        <v>0.78879999999999995</v>
      </c>
      <c r="J11" s="159">
        <f>IF(F11&gt;0,((F11+F11*H11)/2)*Budget!$D$61,"")</f>
        <v>0.73949999999999994</v>
      </c>
      <c r="K11" s="149">
        <v>0</v>
      </c>
      <c r="L11" s="37">
        <f t="shared" si="2"/>
        <v>0</v>
      </c>
    </row>
    <row r="12" spans="2:12" ht="15.95" customHeight="1" x14ac:dyDescent="0.25">
      <c r="B12" s="38" t="s">
        <v>101</v>
      </c>
      <c r="C12" s="10" t="s">
        <v>3</v>
      </c>
      <c r="D12" s="52">
        <f>1210*5</f>
        <v>6050</v>
      </c>
      <c r="E12" s="54">
        <v>0.12</v>
      </c>
      <c r="F12" s="134">
        <f t="shared" si="0"/>
        <v>726</v>
      </c>
      <c r="G12" s="49">
        <v>15</v>
      </c>
      <c r="H12" s="55">
        <v>0</v>
      </c>
      <c r="I12" s="159">
        <f t="shared" si="1"/>
        <v>48.4</v>
      </c>
      <c r="J12" s="159">
        <f>IF(F12&gt;0,((F12+F12*H12)/2)*Budget!$D$61,"")</f>
        <v>27.224999999999998</v>
      </c>
      <c r="K12" s="149">
        <v>0.01</v>
      </c>
      <c r="L12" s="37">
        <f t="shared" si="2"/>
        <v>3.63</v>
      </c>
    </row>
    <row r="13" spans="2:12" ht="15.95" customHeight="1" x14ac:dyDescent="0.25">
      <c r="B13" s="38" t="s">
        <v>198</v>
      </c>
      <c r="C13" s="10" t="s">
        <v>2</v>
      </c>
      <c r="D13" s="52">
        <v>1</v>
      </c>
      <c r="E13" s="53">
        <v>1525</v>
      </c>
      <c r="F13" s="134">
        <f t="shared" si="0"/>
        <v>1525</v>
      </c>
      <c r="G13" s="49">
        <v>15</v>
      </c>
      <c r="H13" s="55">
        <v>0</v>
      </c>
      <c r="I13" s="159">
        <f t="shared" si="1"/>
        <v>101.66666666666667</v>
      </c>
      <c r="J13" s="159">
        <f>IF(F13&gt;0,((F13+F13*H13)/2)*Budget!$D$61,"")</f>
        <v>57.1875</v>
      </c>
      <c r="K13" s="149">
        <v>0.1</v>
      </c>
      <c r="L13" s="37">
        <f t="shared" si="2"/>
        <v>76.25</v>
      </c>
    </row>
    <row r="14" spans="2:12" ht="15.95" customHeight="1" x14ac:dyDescent="0.25">
      <c r="B14" s="38" t="s">
        <v>172</v>
      </c>
      <c r="C14" s="10" t="s">
        <v>171</v>
      </c>
      <c r="D14" s="52">
        <v>288</v>
      </c>
      <c r="E14" s="54">
        <v>3.11</v>
      </c>
      <c r="F14" s="134">
        <f t="shared" si="0"/>
        <v>895.68</v>
      </c>
      <c r="G14" s="49">
        <v>25</v>
      </c>
      <c r="H14" s="55">
        <v>0</v>
      </c>
      <c r="I14" s="159">
        <f t="shared" si="1"/>
        <v>35.827199999999998</v>
      </c>
      <c r="J14" s="159">
        <f>IF(F14&gt;0,((F14+F14*H14)/2)*Budget!$D$61,"")</f>
        <v>33.587999999999994</v>
      </c>
      <c r="K14" s="149">
        <v>0</v>
      </c>
      <c r="L14" s="37">
        <f t="shared" si="2"/>
        <v>0</v>
      </c>
    </row>
    <row r="15" spans="2:12" ht="15.95" customHeight="1" x14ac:dyDescent="0.25">
      <c r="B15" s="38" t="s">
        <v>70</v>
      </c>
      <c r="C15" s="10" t="s">
        <v>2</v>
      </c>
      <c r="D15" s="52">
        <v>1</v>
      </c>
      <c r="E15" s="54">
        <v>150</v>
      </c>
      <c r="F15" s="161">
        <f t="shared" si="0"/>
        <v>150</v>
      </c>
      <c r="G15" s="49">
        <v>7</v>
      </c>
      <c r="H15" s="55">
        <v>0</v>
      </c>
      <c r="I15" s="162">
        <f t="shared" si="1"/>
        <v>21.428571428571427</v>
      </c>
      <c r="J15" s="162">
        <f>IF(F15&gt;0,((F15+F15*H15)/2)*Budget!$D$61,"")</f>
        <v>5.625</v>
      </c>
      <c r="K15" s="152">
        <v>0</v>
      </c>
      <c r="L15" s="39">
        <f t="shared" si="2"/>
        <v>0</v>
      </c>
    </row>
    <row r="16" spans="2:12" ht="15.95" customHeight="1" x14ac:dyDescent="0.25">
      <c r="B16" s="40"/>
      <c r="C16" s="40"/>
      <c r="D16" s="40"/>
      <c r="E16" s="40"/>
      <c r="F16" s="134">
        <f>SUM(F4:F15)</f>
        <v>10651.26</v>
      </c>
      <c r="I16" s="159">
        <f>SUM(I4:I15)</f>
        <v>501.50563809523811</v>
      </c>
      <c r="J16" s="159">
        <f>SUM(J4:J15)</f>
        <v>399.42225000000008</v>
      </c>
      <c r="K16" s="159"/>
      <c r="L16" s="37">
        <f>SUM(L4:L15)</f>
        <v>79.88</v>
      </c>
    </row>
    <row r="17" spans="2:12" ht="15.95" customHeight="1" x14ac:dyDescent="0.25">
      <c r="B17" s="40"/>
      <c r="C17" s="40"/>
      <c r="D17" s="40"/>
      <c r="E17" s="40"/>
      <c r="F17" s="134"/>
      <c r="I17" s="159"/>
      <c r="J17" s="159"/>
      <c r="K17" s="159"/>
      <c r="L17" s="37"/>
    </row>
    <row r="18" spans="2:12" ht="15.95" customHeight="1" x14ac:dyDescent="0.25">
      <c r="B18" s="36" t="s">
        <v>217</v>
      </c>
      <c r="C18" s="36"/>
      <c r="D18" s="36"/>
      <c r="E18" s="36"/>
      <c r="F18" s="36"/>
      <c r="G18" s="36"/>
      <c r="H18" s="36"/>
      <c r="I18" s="36"/>
      <c r="J18" s="36"/>
      <c r="K18" s="36"/>
    </row>
    <row r="19" spans="2:12" ht="15.95" customHeight="1" x14ac:dyDescent="0.25">
      <c r="B19" s="153" t="s">
        <v>21</v>
      </c>
      <c r="C19" s="153" t="s">
        <v>5</v>
      </c>
      <c r="D19" s="154" t="s">
        <v>10</v>
      </c>
      <c r="E19" s="155" t="s">
        <v>224</v>
      </c>
      <c r="F19" s="156" t="s">
        <v>11</v>
      </c>
      <c r="G19" s="156" t="s">
        <v>20</v>
      </c>
      <c r="H19" s="156" t="s">
        <v>37</v>
      </c>
      <c r="I19" s="156" t="s">
        <v>22</v>
      </c>
      <c r="J19" s="156" t="s">
        <v>23</v>
      </c>
      <c r="K19" s="156" t="s">
        <v>100</v>
      </c>
      <c r="L19" s="156" t="s">
        <v>100</v>
      </c>
    </row>
    <row r="20" spans="2:12" ht="15.95" customHeight="1" x14ac:dyDescent="0.25">
      <c r="B20" s="157"/>
      <c r="C20" s="157"/>
      <c r="D20" s="157"/>
      <c r="E20" s="158" t="s">
        <v>24</v>
      </c>
      <c r="F20" s="158" t="s">
        <v>24</v>
      </c>
      <c r="G20" s="158" t="s">
        <v>25</v>
      </c>
      <c r="H20" s="158" t="s">
        <v>26</v>
      </c>
      <c r="I20" s="158" t="s">
        <v>24</v>
      </c>
      <c r="J20" s="158" t="s">
        <v>24</v>
      </c>
      <c r="K20" s="158" t="s">
        <v>26</v>
      </c>
      <c r="L20" s="158" t="s">
        <v>24</v>
      </c>
    </row>
    <row r="21" spans="2:12" ht="15.95" customHeight="1" x14ac:dyDescent="0.25">
      <c r="B21" s="38" t="s">
        <v>170</v>
      </c>
      <c r="C21" s="10" t="s">
        <v>3</v>
      </c>
      <c r="D21" s="52">
        <v>335</v>
      </c>
      <c r="E21" s="53">
        <v>14.5</v>
      </c>
      <c r="F21" s="134">
        <f>D21*E21</f>
        <v>4857.5</v>
      </c>
      <c r="G21" s="49">
        <v>25</v>
      </c>
      <c r="H21" s="55">
        <v>0</v>
      </c>
      <c r="I21" s="159">
        <f>IF(F21&gt;0,(F21-(F21*H21))/G21,"")</f>
        <v>194.3</v>
      </c>
      <c r="J21" s="159">
        <f>IF(F21&gt;0,((F21+F21*H21)/2)*Budget!$D$61,"")</f>
        <v>182.15625</v>
      </c>
      <c r="K21" s="149">
        <v>0.05</v>
      </c>
      <c r="L21" s="37">
        <f>IF(F21&gt;0,((F21+F21*H21)/2)*K21,"")</f>
        <v>121.4375</v>
      </c>
    </row>
    <row r="22" spans="2:12" ht="15.95" customHeight="1" x14ac:dyDescent="0.25">
      <c r="B22" s="38" t="s">
        <v>168</v>
      </c>
      <c r="C22" s="10" t="s">
        <v>174</v>
      </c>
      <c r="D22" s="52">
        <v>1280</v>
      </c>
      <c r="E22" s="53">
        <v>15</v>
      </c>
      <c r="F22" s="134">
        <f t="shared" ref="F22:F25" si="3">D22*E22</f>
        <v>19200</v>
      </c>
      <c r="G22" s="49">
        <v>25</v>
      </c>
      <c r="H22" s="55">
        <v>0</v>
      </c>
      <c r="I22" s="159">
        <f t="shared" ref="I22:I25" si="4">IF(F22&gt;0,(F22-(F22*H22))/G22,"")</f>
        <v>768</v>
      </c>
      <c r="J22" s="159">
        <f>IF(F22&gt;0,((F22+F22*H22)/2)*Budget!$D$61,"")</f>
        <v>720</v>
      </c>
      <c r="K22" s="149">
        <v>0.02</v>
      </c>
      <c r="L22" s="37">
        <f t="shared" ref="L22:L25" si="5">IF(F22&gt;0,((F22+F22*H22)/2)*K22,"")</f>
        <v>192</v>
      </c>
    </row>
    <row r="23" spans="2:12" ht="15.95" customHeight="1" x14ac:dyDescent="0.25">
      <c r="B23" s="38" t="s">
        <v>235</v>
      </c>
      <c r="C23" s="65"/>
      <c r="D23" s="52"/>
      <c r="E23" s="53"/>
      <c r="F23" s="134">
        <f t="shared" si="3"/>
        <v>0</v>
      </c>
      <c r="G23" s="49">
        <v>15</v>
      </c>
      <c r="H23" s="55">
        <v>0</v>
      </c>
      <c r="I23" s="159" t="str">
        <f t="shared" si="4"/>
        <v/>
      </c>
      <c r="J23" s="159" t="str">
        <f>IF(F23&gt;0,((F23+F23*H23)/2)*Budget!$D$61,"")</f>
        <v/>
      </c>
      <c r="K23" s="149">
        <v>0</v>
      </c>
      <c r="L23" s="37" t="str">
        <f t="shared" si="5"/>
        <v/>
      </c>
    </row>
    <row r="24" spans="2:12" ht="15.95" customHeight="1" x14ac:dyDescent="0.25">
      <c r="B24" s="38" t="s">
        <v>230</v>
      </c>
      <c r="C24" s="56"/>
      <c r="D24" s="52"/>
      <c r="E24" s="53"/>
      <c r="F24" s="134">
        <f t="shared" si="3"/>
        <v>0</v>
      </c>
      <c r="G24" s="49">
        <v>15</v>
      </c>
      <c r="H24" s="55">
        <v>0</v>
      </c>
      <c r="I24" s="159" t="str">
        <f t="shared" si="4"/>
        <v/>
      </c>
      <c r="J24" s="159" t="str">
        <f>IF(F24&gt;0,((F24+F24*H24)/2)*Budget!$D$61,"")</f>
        <v/>
      </c>
      <c r="K24" s="149">
        <v>0</v>
      </c>
      <c r="L24" s="37" t="str">
        <f t="shared" si="5"/>
        <v/>
      </c>
    </row>
    <row r="25" spans="2:12" ht="15.95" customHeight="1" x14ac:dyDescent="0.25">
      <c r="B25" s="56"/>
      <c r="C25" s="56"/>
      <c r="D25" s="52"/>
      <c r="E25" s="53"/>
      <c r="F25" s="161">
        <f t="shared" si="3"/>
        <v>0</v>
      </c>
      <c r="G25" s="49">
        <v>15</v>
      </c>
      <c r="H25" s="55">
        <v>0</v>
      </c>
      <c r="I25" s="162" t="str">
        <f t="shared" si="4"/>
        <v/>
      </c>
      <c r="J25" s="162" t="str">
        <f>IF(F25&gt;0,((F25+F25*H25)/2)*Budget!$D$61,"")</f>
        <v/>
      </c>
      <c r="K25" s="152">
        <v>0</v>
      </c>
      <c r="L25" s="39" t="str">
        <f t="shared" si="5"/>
        <v/>
      </c>
    </row>
    <row r="26" spans="2:12" ht="15.95" customHeight="1" x14ac:dyDescent="0.25">
      <c r="B26" s="40"/>
      <c r="C26" s="40"/>
      <c r="D26" s="40"/>
      <c r="E26" s="40"/>
      <c r="F26" s="134">
        <f>SUM(F21:F25)</f>
        <v>24057.5</v>
      </c>
      <c r="I26" s="159">
        <f>SUM(I21:I25)</f>
        <v>962.3</v>
      </c>
      <c r="J26" s="159">
        <f>SUM(J21:J25)</f>
        <v>902.15625</v>
      </c>
      <c r="K26" s="159"/>
      <c r="L26" s="37">
        <f>SUM(L21:L25)</f>
        <v>313.4375</v>
      </c>
    </row>
    <row r="27" spans="2:12" ht="15" customHeight="1" x14ac:dyDescent="0.25">
      <c r="B27" s="40"/>
      <c r="C27" s="40"/>
      <c r="D27" s="40"/>
      <c r="E27" s="40"/>
      <c r="F27" s="134"/>
      <c r="I27" s="159"/>
      <c r="J27" s="159"/>
      <c r="K27" s="159"/>
      <c r="L27" s="37"/>
    </row>
    <row r="28" spans="2:12" ht="15" hidden="1" customHeight="1" x14ac:dyDescent="0.25">
      <c r="B28" s="40"/>
      <c r="C28" s="40"/>
      <c r="D28" s="40"/>
      <c r="E28" s="40"/>
      <c r="F28" s="134"/>
      <c r="I28" s="159"/>
      <c r="J28" s="159"/>
      <c r="K28" s="159"/>
      <c r="L28" s="37"/>
    </row>
    <row r="29" spans="2:12" ht="18.75" hidden="1" customHeight="1" x14ac:dyDescent="0.25"/>
  </sheetData>
  <sheetProtection sheet="1" objects="1" scenarios="1"/>
  <pageMargins left="0.7" right="0.7" top="0.75" bottom="0.75" header="0.3" footer="0.3"/>
  <pageSetup scale="69" orientation="landscape" r:id="rId1"/>
  <ignoredErrors>
    <ignoredError sqref="F13:F15 D12 F4:F12 F21:F2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94F4F-2DB5-4C29-AF71-C6A816B124BB}">
  <sheetPr>
    <pageSetUpPr fitToPage="1"/>
  </sheetPr>
  <dimension ref="A1:T117"/>
  <sheetViews>
    <sheetView zoomScaleNormal="100" workbookViewId="0">
      <selection activeCell="R22" sqref="R22"/>
    </sheetView>
  </sheetViews>
  <sheetFormatPr defaultColWidth="0" defaultRowHeight="15.75" zeroHeight="1" x14ac:dyDescent="0.25"/>
  <cols>
    <col min="1" max="1" width="3.28515625" style="31" customWidth="1"/>
    <col min="2" max="2" width="43.7109375" style="31" customWidth="1"/>
    <col min="3" max="3" width="9.85546875" style="31" customWidth="1"/>
    <col min="4" max="4" width="10.7109375" style="31" customWidth="1"/>
    <col min="5" max="6" width="11.7109375" style="31" customWidth="1"/>
    <col min="7" max="9" width="12.7109375" style="31" customWidth="1"/>
    <col min="10" max="11" width="3.28515625" style="31" customWidth="1"/>
    <col min="12" max="12" width="39.85546875" style="31" customWidth="1"/>
    <col min="13" max="13" width="10.42578125" style="31" customWidth="1"/>
    <col min="14" max="14" width="14" style="31" customWidth="1"/>
    <col min="15" max="15" width="12.28515625" style="31" customWidth="1"/>
    <col min="16" max="16" width="10.7109375" style="31" customWidth="1"/>
    <col min="17" max="17" width="11.140625" style="31" customWidth="1"/>
    <col min="18" max="18" width="11.5703125" style="31" customWidth="1"/>
    <col min="19" max="19" width="9.7109375" style="31" customWidth="1"/>
    <col min="20" max="20" width="3.28515625" style="31" customWidth="1"/>
    <col min="21" max="16384" width="9.140625" style="31" hidden="1"/>
  </cols>
  <sheetData>
    <row r="1" spans="2:19" ht="15.95" customHeight="1" x14ac:dyDescent="0.25">
      <c r="B1" s="36" t="s">
        <v>218</v>
      </c>
      <c r="C1" s="36"/>
      <c r="D1" s="36"/>
      <c r="E1" s="36"/>
      <c r="F1" s="36"/>
      <c r="G1" s="36"/>
      <c r="H1" s="36"/>
      <c r="I1" s="36"/>
      <c r="L1" s="36" t="s">
        <v>256</v>
      </c>
    </row>
    <row r="2" spans="2:19" ht="33" customHeight="1" x14ac:dyDescent="0.25">
      <c r="B2" s="43" t="s">
        <v>221</v>
      </c>
      <c r="C2" s="43" t="s">
        <v>5</v>
      </c>
      <c r="D2" s="44" t="s">
        <v>5</v>
      </c>
      <c r="E2" s="44" t="s">
        <v>116</v>
      </c>
      <c r="F2" s="44" t="s">
        <v>117</v>
      </c>
      <c r="G2" s="45" t="s">
        <v>222</v>
      </c>
      <c r="H2" s="45" t="s">
        <v>223</v>
      </c>
      <c r="I2" s="45" t="s">
        <v>226</v>
      </c>
      <c r="J2" s="40"/>
      <c r="L2" s="43" t="s">
        <v>221</v>
      </c>
      <c r="M2" s="44" t="s">
        <v>141</v>
      </c>
      <c r="N2" s="44" t="s">
        <v>22</v>
      </c>
      <c r="O2" s="44" t="s">
        <v>142</v>
      </c>
      <c r="P2" s="44" t="s">
        <v>143</v>
      </c>
      <c r="Q2" s="44" t="s">
        <v>118</v>
      </c>
      <c r="R2" s="44" t="s">
        <v>159</v>
      </c>
      <c r="S2" s="44" t="s">
        <v>118</v>
      </c>
    </row>
    <row r="3" spans="2:19" ht="15.95" customHeight="1" x14ac:dyDescent="0.25">
      <c r="D3" s="9" t="s">
        <v>219</v>
      </c>
      <c r="E3" s="40" t="s">
        <v>118</v>
      </c>
      <c r="F3" s="40" t="s">
        <v>220</v>
      </c>
      <c r="G3" s="40" t="s">
        <v>24</v>
      </c>
      <c r="H3" s="40" t="s">
        <v>24</v>
      </c>
      <c r="I3" s="40" t="s">
        <v>227</v>
      </c>
      <c r="J3" s="40"/>
      <c r="M3" s="40" t="s">
        <v>144</v>
      </c>
      <c r="N3" s="40" t="s">
        <v>144</v>
      </c>
      <c r="O3" s="40" t="s">
        <v>144</v>
      </c>
      <c r="P3" s="40" t="s">
        <v>144</v>
      </c>
      <c r="Q3" s="40" t="s">
        <v>119</v>
      </c>
      <c r="R3" s="40" t="s">
        <v>160</v>
      </c>
      <c r="S3" s="40" t="s">
        <v>155</v>
      </c>
    </row>
    <row r="4" spans="2:19" ht="15.95" customHeight="1" x14ac:dyDescent="0.25">
      <c r="B4" s="31" t="str">
        <f>$L$5</f>
        <v>Airblast sprayer, 100 gallon; 45 HP MFWD</v>
      </c>
      <c r="C4" s="31" t="s">
        <v>161</v>
      </c>
      <c r="D4" s="49">
        <v>0</v>
      </c>
      <c r="E4" s="37">
        <f>D4*$Q$5</f>
        <v>0</v>
      </c>
      <c r="F4" s="37">
        <f>$M$4*$Q$5*D4</f>
        <v>0</v>
      </c>
      <c r="G4" s="37">
        <f>(E4*$M$18)+(F4*$M$19)+($P$4+$P$5)*$Q$5*D4</f>
        <v>0</v>
      </c>
      <c r="H4" s="37">
        <f>($N$4+$O$4+N5+O5)*$Q$5*D4</f>
        <v>0</v>
      </c>
      <c r="I4" s="37">
        <f>G4+H4</f>
        <v>0</v>
      </c>
      <c r="J4" s="40"/>
      <c r="L4" s="31" t="s">
        <v>145</v>
      </c>
      <c r="M4" s="31">
        <v>1.98</v>
      </c>
      <c r="N4" s="31">
        <v>4.03</v>
      </c>
      <c r="O4" s="31">
        <v>7.31</v>
      </c>
      <c r="P4" s="31">
        <v>2.99</v>
      </c>
      <c r="R4" s="33">
        <v>48000</v>
      </c>
      <c r="S4" s="33">
        <v>400</v>
      </c>
    </row>
    <row r="5" spans="2:19" ht="15.95" customHeight="1" x14ac:dyDescent="0.25">
      <c r="B5" s="31" t="str">
        <f>$L$6</f>
        <v>Weed sprayer - pull-type; 45 HP MFWD</v>
      </c>
      <c r="C5" s="31" t="s">
        <v>161</v>
      </c>
      <c r="D5" s="49">
        <v>2</v>
      </c>
      <c r="E5" s="37">
        <f>D5*$Q$6</f>
        <v>0.52400000000000002</v>
      </c>
      <c r="F5" s="37">
        <f>$M$4*$Q$6*D5</f>
        <v>1.03752</v>
      </c>
      <c r="G5" s="37">
        <f>(E5*$M$18)+(F5*$M$19)+($P$4+$P$6)*$Q$6*D5</f>
        <v>15.361060000000002</v>
      </c>
      <c r="H5" s="37">
        <f>($N$4+O$4+N$6+O$6)*$Q$6*D5</f>
        <v>11.04068</v>
      </c>
      <c r="I5" s="37">
        <f t="shared" ref="I5:I12" si="0">G5+H5</f>
        <v>26.401740000000004</v>
      </c>
      <c r="J5" s="37"/>
      <c r="L5" s="31" t="s">
        <v>146</v>
      </c>
      <c r="N5" s="31">
        <v>3.59</v>
      </c>
      <c r="O5" s="31">
        <v>9.74</v>
      </c>
      <c r="P5" s="31">
        <v>2.69</v>
      </c>
      <c r="Q5" s="31">
        <v>0.39300000000000002</v>
      </c>
      <c r="R5" s="33">
        <v>8000</v>
      </c>
      <c r="S5" s="33">
        <v>50</v>
      </c>
    </row>
    <row r="6" spans="2:19" ht="15.95" customHeight="1" x14ac:dyDescent="0.25">
      <c r="B6" s="31" t="str">
        <f>$L$8</f>
        <v>Spreader - double spinner; 45 HP MFWD</v>
      </c>
      <c r="C6" s="31" t="s">
        <v>161</v>
      </c>
      <c r="D6" s="49">
        <v>0</v>
      </c>
      <c r="E6" s="37">
        <f>D6*$Q$8</f>
        <v>0</v>
      </c>
      <c r="F6" s="37">
        <f>$M$4*$Q$8*D6</f>
        <v>0</v>
      </c>
      <c r="G6" s="37">
        <f>(E6*$M$18)+(F6*$M$19)+($P$4+$P$8)*$Q$8*D6</f>
        <v>0</v>
      </c>
      <c r="H6" s="37">
        <f>($N$4+$O$4+$N$8+$O$8)*$Q$8*D6</f>
        <v>0</v>
      </c>
      <c r="I6" s="37">
        <f t="shared" si="0"/>
        <v>0</v>
      </c>
      <c r="J6" s="37"/>
      <c r="L6" s="31" t="s">
        <v>147</v>
      </c>
      <c r="N6" s="31">
        <v>1.79</v>
      </c>
      <c r="O6" s="31">
        <v>7.94</v>
      </c>
      <c r="P6" s="31">
        <v>1.39</v>
      </c>
      <c r="Q6" s="31">
        <v>0.26200000000000001</v>
      </c>
      <c r="R6" s="33">
        <v>2700</v>
      </c>
      <c r="S6" s="33">
        <v>20</v>
      </c>
    </row>
    <row r="7" spans="2:19" ht="15.95" customHeight="1" x14ac:dyDescent="0.25">
      <c r="B7" s="31" t="str">
        <f>$L$9</f>
        <v>Finish mower, 7 ft.; 45 HP MFWD</v>
      </c>
      <c r="C7" s="31" t="s">
        <v>161</v>
      </c>
      <c r="D7" s="49">
        <v>3</v>
      </c>
      <c r="E7" s="37">
        <f>D7*$Q$9</f>
        <v>1.0409999999999999</v>
      </c>
      <c r="F7" s="37">
        <f>$M$4*$Q$9*D7</f>
        <v>2.0611799999999998</v>
      </c>
      <c r="G7" s="37">
        <f>(E7*$M$18)+(F7*$M$19)+($P$4+$P$9)*$Q$9*D7</f>
        <v>32.734244999999994</v>
      </c>
      <c r="H7" s="37">
        <f>($N$4+$O$4+$N$9+$O$9)*$Q$9*D7</f>
        <v>21.402959999999997</v>
      </c>
      <c r="I7" s="37">
        <f t="shared" si="0"/>
        <v>54.137204999999994</v>
      </c>
      <c r="J7" s="37"/>
      <c r="L7" s="31" t="s">
        <v>193</v>
      </c>
      <c r="N7" s="31">
        <v>5.48</v>
      </c>
      <c r="O7" s="37">
        <v>3.4</v>
      </c>
      <c r="P7" s="31">
        <v>6.06</v>
      </c>
      <c r="R7" s="33">
        <v>22500</v>
      </c>
      <c r="S7" s="33">
        <v>500</v>
      </c>
    </row>
    <row r="8" spans="2:19" ht="15.95" customHeight="1" x14ac:dyDescent="0.25">
      <c r="B8" s="31" t="str">
        <f>$L$7</f>
        <v>2-man work platform; 45 HP MFWD</v>
      </c>
      <c r="C8" s="31" t="s">
        <v>249</v>
      </c>
      <c r="D8" s="49">
        <v>0</v>
      </c>
      <c r="E8" s="37"/>
      <c r="F8" s="37">
        <f>$M$4*D8*M17</f>
        <v>0</v>
      </c>
      <c r="G8" s="37">
        <f>((F8*$M$19)+($P$7+$P$4*$M$17)*D8)</f>
        <v>0</v>
      </c>
      <c r="H8" s="37">
        <f>(($O$4+$N$4)*$M$17+$O$7+$N$7)*D8</f>
        <v>0</v>
      </c>
      <c r="I8" s="37">
        <f>G8+H8</f>
        <v>0</v>
      </c>
      <c r="J8" s="37"/>
      <c r="L8" s="31" t="s">
        <v>148</v>
      </c>
      <c r="N8" s="31">
        <v>3.72</v>
      </c>
      <c r="O8" s="31">
        <v>11.73</v>
      </c>
      <c r="P8" s="31">
        <v>3.33</v>
      </c>
      <c r="Q8" s="31">
        <v>8.5999999999999993E-2</v>
      </c>
      <c r="R8" s="33">
        <v>4500</v>
      </c>
      <c r="S8" s="33">
        <v>20</v>
      </c>
    </row>
    <row r="9" spans="2:19" ht="15.95" customHeight="1" x14ac:dyDescent="0.25">
      <c r="B9" s="31" t="str">
        <f>$L$10</f>
        <v>Harvest bin trailer; 45 HP MFWD</v>
      </c>
      <c r="C9" s="31" t="s">
        <v>29</v>
      </c>
      <c r="D9" s="49">
        <v>0</v>
      </c>
      <c r="E9" s="37">
        <f t="shared" ref="E9" si="1">1*D9</f>
        <v>0</v>
      </c>
      <c r="F9" s="37">
        <f>$M$4*D9</f>
        <v>0</v>
      </c>
      <c r="G9" s="37">
        <f>((E9*$M$18+F9*$M$19+($P$10+$P$4*$M$17))*D9)</f>
        <v>0</v>
      </c>
      <c r="H9" s="37">
        <f>(($O$4+$P$4)*$M$17+$O$10+$P$10)*D9</f>
        <v>0</v>
      </c>
      <c r="I9" s="37">
        <f t="shared" si="0"/>
        <v>0</v>
      </c>
      <c r="J9" s="37"/>
      <c r="L9" s="31" t="s">
        <v>149</v>
      </c>
      <c r="N9" s="31">
        <v>1.59</v>
      </c>
      <c r="O9" s="31">
        <v>7.63</v>
      </c>
      <c r="P9" s="31">
        <v>3.52</v>
      </c>
      <c r="Q9" s="31">
        <v>0.34699999999999998</v>
      </c>
      <c r="R9" s="33">
        <v>3200</v>
      </c>
      <c r="S9" s="33">
        <v>25</v>
      </c>
    </row>
    <row r="10" spans="2:19" ht="15.95" customHeight="1" x14ac:dyDescent="0.25">
      <c r="B10" s="31" t="str">
        <f>$L$11</f>
        <v>900 CC 4x4 UTV</v>
      </c>
      <c r="C10" s="31" t="s">
        <v>29</v>
      </c>
      <c r="D10" s="49">
        <v>0</v>
      </c>
      <c r="E10" s="37">
        <f>1*D10</f>
        <v>0</v>
      </c>
      <c r="F10" s="37">
        <f>$M$11*D10</f>
        <v>0</v>
      </c>
      <c r="G10" s="37">
        <f>F10*$M$19+E10*$M$18</f>
        <v>0</v>
      </c>
      <c r="H10" s="37">
        <f>($O$11+$N$11)*D10</f>
        <v>0</v>
      </c>
      <c r="I10" s="37">
        <f t="shared" si="0"/>
        <v>0</v>
      </c>
      <c r="J10" s="37"/>
      <c r="L10" s="31" t="s">
        <v>150</v>
      </c>
      <c r="N10" s="31">
        <v>2.0299999999999998</v>
      </c>
      <c r="O10" s="31">
        <v>5.45</v>
      </c>
      <c r="P10" s="31">
        <v>2.11</v>
      </c>
      <c r="R10" s="33">
        <v>6800</v>
      </c>
      <c r="S10" s="33">
        <v>100</v>
      </c>
    </row>
    <row r="11" spans="2:19" ht="15.95" customHeight="1" x14ac:dyDescent="0.25">
      <c r="B11" s="31" t="str">
        <f>$L$12</f>
        <v>1-ton 4x4 pickup</v>
      </c>
      <c r="C11" s="31" t="s">
        <v>29</v>
      </c>
      <c r="D11" s="49">
        <v>0</v>
      </c>
      <c r="E11" s="37">
        <f>1*D11</f>
        <v>0</v>
      </c>
      <c r="F11" s="37">
        <f>$M$12*D11</f>
        <v>0</v>
      </c>
      <c r="G11" s="37">
        <f>F11*$M$19+$E11*$M$18</f>
        <v>0</v>
      </c>
      <c r="H11" s="37">
        <f>($O$12+$N$12)*D11</f>
        <v>0</v>
      </c>
      <c r="I11" s="37">
        <f>G11+H11</f>
        <v>0</v>
      </c>
      <c r="L11" s="31" t="s">
        <v>158</v>
      </c>
      <c r="M11" s="31">
        <v>0.9</v>
      </c>
      <c r="N11" s="31">
        <v>6.73</v>
      </c>
      <c r="O11" s="31">
        <v>3.64</v>
      </c>
      <c r="P11" s="31">
        <v>6.43</v>
      </c>
      <c r="R11" s="33">
        <v>14400</v>
      </c>
      <c r="S11" s="33">
        <v>200</v>
      </c>
    </row>
    <row r="12" spans="2:19" ht="15.95" customHeight="1" x14ac:dyDescent="0.25">
      <c r="B12" s="36" t="str">
        <f>$L$13</f>
        <v>2-ton flatbed truck</v>
      </c>
      <c r="C12" s="36" t="s">
        <v>29</v>
      </c>
      <c r="D12" s="168">
        <v>0</v>
      </c>
      <c r="E12" s="39">
        <f>1*D12</f>
        <v>0</v>
      </c>
      <c r="F12" s="39">
        <f>$M$13*D12</f>
        <v>0</v>
      </c>
      <c r="G12" s="39">
        <f>F12*$M$19+$E12*$M$18</f>
        <v>0</v>
      </c>
      <c r="H12" s="39">
        <f>($O$13+$N$13)*D12</f>
        <v>0</v>
      </c>
      <c r="I12" s="39">
        <f t="shared" si="0"/>
        <v>0</v>
      </c>
      <c r="L12" s="31" t="s">
        <v>192</v>
      </c>
      <c r="M12" s="31">
        <v>3</v>
      </c>
      <c r="N12" s="31">
        <v>5.0199999999999996</v>
      </c>
      <c r="O12" s="31">
        <v>8.66</v>
      </c>
      <c r="P12" s="31">
        <v>17.68</v>
      </c>
      <c r="R12" s="33">
        <v>56000</v>
      </c>
      <c r="S12" s="33">
        <v>200</v>
      </c>
    </row>
    <row r="13" spans="2:19" ht="15.95" customHeight="1" x14ac:dyDescent="0.25">
      <c r="B13" s="40" t="s">
        <v>215</v>
      </c>
      <c r="C13" s="40"/>
      <c r="E13" s="37">
        <f>SUM(E4:E12)</f>
        <v>1.5649999999999999</v>
      </c>
      <c r="F13" s="37">
        <f>SUM(F4:F12)</f>
        <v>3.0987</v>
      </c>
      <c r="G13" s="37">
        <f>SUM(G4:G12)</f>
        <v>48.095304999999996</v>
      </c>
      <c r="H13" s="37">
        <f>SUM(H4:H12)</f>
        <v>32.443639999999995</v>
      </c>
      <c r="I13" s="37">
        <f>SUM(I4:I12)</f>
        <v>80.538944999999998</v>
      </c>
      <c r="L13" s="31" t="s">
        <v>194</v>
      </c>
      <c r="M13" s="36">
        <v>6</v>
      </c>
      <c r="N13" s="36">
        <v>2.82</v>
      </c>
      <c r="O13" s="36">
        <v>6.7</v>
      </c>
      <c r="P13" s="36">
        <v>11.65</v>
      </c>
      <c r="Q13" s="36"/>
      <c r="R13" s="35">
        <v>7500</v>
      </c>
      <c r="S13" s="36">
        <v>100</v>
      </c>
    </row>
    <row r="14" spans="2:19" ht="15.95" customHeight="1" x14ac:dyDescent="0.25"/>
    <row r="15" spans="2:19" ht="15.95" customHeight="1" x14ac:dyDescent="0.25">
      <c r="B15" s="36" t="s">
        <v>228</v>
      </c>
      <c r="M15" s="40"/>
      <c r="N15" s="37"/>
    </row>
    <row r="16" spans="2:19" ht="33" customHeight="1" x14ac:dyDescent="0.25">
      <c r="B16" s="43" t="s">
        <v>221</v>
      </c>
      <c r="C16" s="43" t="s">
        <v>5</v>
      </c>
      <c r="D16" s="44" t="s">
        <v>5</v>
      </c>
      <c r="E16" s="44" t="s">
        <v>116</v>
      </c>
      <c r="F16" s="44" t="s">
        <v>117</v>
      </c>
      <c r="G16" s="45" t="s">
        <v>222</v>
      </c>
      <c r="H16" s="45" t="s">
        <v>223</v>
      </c>
      <c r="I16" s="45" t="s">
        <v>226</v>
      </c>
      <c r="P16" s="38"/>
      <c r="Q16" s="38"/>
      <c r="R16" s="38"/>
    </row>
    <row r="17" spans="2:17" ht="15.95" customHeight="1" x14ac:dyDescent="0.25">
      <c r="D17" s="9" t="s">
        <v>219</v>
      </c>
      <c r="E17" s="40" t="s">
        <v>118</v>
      </c>
      <c r="F17" s="40" t="s">
        <v>220</v>
      </c>
      <c r="G17" s="40" t="s">
        <v>24</v>
      </c>
      <c r="H17" s="40" t="s">
        <v>24</v>
      </c>
      <c r="I17" s="40" t="s">
        <v>227</v>
      </c>
      <c r="L17" s="40" t="s">
        <v>140</v>
      </c>
      <c r="M17" s="167">
        <v>0.25</v>
      </c>
      <c r="N17" s="163" t="s">
        <v>253</v>
      </c>
    </row>
    <row r="18" spans="2:17" ht="15.95" customHeight="1" x14ac:dyDescent="0.25">
      <c r="B18" s="31" t="str">
        <f>$L$5</f>
        <v>Airblast sprayer, 100 gallon; 45 HP MFWD</v>
      </c>
      <c r="C18" s="31" t="s">
        <v>161</v>
      </c>
      <c r="D18" s="49">
        <v>6</v>
      </c>
      <c r="E18" s="37">
        <f>D18*$Q$5</f>
        <v>2.3580000000000001</v>
      </c>
      <c r="F18" s="37">
        <f>$M$4*$Q$5*D18</f>
        <v>4.6688400000000003</v>
      </c>
      <c r="G18" s="37">
        <f>(E18*$M$18)+(F18*$M$19)+($P$4+$P$5)*$Q$5*D18</f>
        <v>72.190170000000009</v>
      </c>
      <c r="H18" s="37">
        <f>($N$4+$O$4+N22+O22)*$Q$5*D18</f>
        <v>26.739719999999998</v>
      </c>
      <c r="I18" s="37">
        <f>G18+H18</f>
        <v>98.92989</v>
      </c>
      <c r="L18" s="40" t="s">
        <v>151</v>
      </c>
      <c r="M18" s="37">
        <f>Budget!D28</f>
        <v>18.5</v>
      </c>
      <c r="O18" s="37"/>
      <c r="P18" s="37"/>
      <c r="Q18" s="37"/>
    </row>
    <row r="19" spans="2:17" ht="15.95" customHeight="1" x14ac:dyDescent="0.25">
      <c r="B19" s="31" t="str">
        <f>$L$6</f>
        <v>Weed sprayer - pull-type; 45 HP MFWD</v>
      </c>
      <c r="C19" s="31" t="s">
        <v>161</v>
      </c>
      <c r="D19" s="49">
        <v>3</v>
      </c>
      <c r="E19" s="37">
        <f>D19*$Q$6</f>
        <v>0.78600000000000003</v>
      </c>
      <c r="F19" s="37">
        <f>$M$4*$Q$6*D19</f>
        <v>1.5562800000000001</v>
      </c>
      <c r="G19" s="37">
        <f>(E19*$M$18)+(F19*$M$19)+($P$4+$P$6)*$Q$6*D19</f>
        <v>23.041589999999999</v>
      </c>
      <c r="H19" s="37">
        <f>($N$4+O$4+N$6+O$6)*$Q$6*D19</f>
        <v>16.561019999999999</v>
      </c>
      <c r="I19" s="37">
        <f t="shared" ref="I19:I21" si="2">G19+H19</f>
        <v>39.602609999999999</v>
      </c>
      <c r="L19" s="40" t="s">
        <v>139</v>
      </c>
      <c r="M19" s="37">
        <f>Budget!D48</f>
        <v>3.25</v>
      </c>
      <c r="N19" s="40"/>
      <c r="O19" s="40"/>
      <c r="P19" s="40"/>
      <c r="Q19" s="40"/>
    </row>
    <row r="20" spans="2:17" ht="15.95" customHeight="1" x14ac:dyDescent="0.25">
      <c r="B20" s="31" t="str">
        <f>$L$8</f>
        <v>Spreader - double spinner; 45 HP MFWD</v>
      </c>
      <c r="C20" s="31" t="s">
        <v>161</v>
      </c>
      <c r="D20" s="49">
        <v>0</v>
      </c>
      <c r="E20" s="37">
        <f>D20*$Q$8</f>
        <v>0</v>
      </c>
      <c r="F20" s="37">
        <f>$M$4*$Q$8*D20</f>
        <v>0</v>
      </c>
      <c r="G20" s="37">
        <f>(E20*$M$18)+(F20*$M$19)+($P$4+$P$8)*$Q$8*D20</f>
        <v>0</v>
      </c>
      <c r="H20" s="37">
        <f>($N$4+$O$4+$N$8+$O$8)*$Q$8*D20</f>
        <v>0</v>
      </c>
      <c r="I20" s="37">
        <f t="shared" si="2"/>
        <v>0</v>
      </c>
      <c r="L20" s="42"/>
      <c r="M20" s="40"/>
      <c r="N20" s="40"/>
      <c r="O20" s="40"/>
      <c r="P20" s="40"/>
      <c r="Q20" s="40"/>
    </row>
    <row r="21" spans="2:17" ht="15.95" customHeight="1" x14ac:dyDescent="0.25">
      <c r="B21" s="31" t="str">
        <f>$L$9</f>
        <v>Finish mower, 7 ft.; 45 HP MFWD</v>
      </c>
      <c r="C21" s="31" t="s">
        <v>161</v>
      </c>
      <c r="D21" s="49">
        <v>5</v>
      </c>
      <c r="E21" s="37">
        <f>D21*$Q$9</f>
        <v>1.7349999999999999</v>
      </c>
      <c r="F21" s="37">
        <f>$M$4*$Q$9*D21</f>
        <v>3.4352999999999994</v>
      </c>
      <c r="G21" s="37">
        <f>(E21*$M$18)+(F21*$M$19)+($P$4+$P$9)*$Q$9*D21</f>
        <v>54.55707499999999</v>
      </c>
      <c r="H21" s="37">
        <f>($N$4+$O$4+$N$9+$O$9)*$Q$9*D21</f>
        <v>35.671599999999998</v>
      </c>
      <c r="I21" s="37">
        <f t="shared" si="2"/>
        <v>90.228674999999981</v>
      </c>
      <c r="L21" s="41"/>
      <c r="M21" s="40"/>
      <c r="N21" s="40"/>
      <c r="O21" s="40"/>
      <c r="P21" s="40"/>
      <c r="Q21" s="40"/>
    </row>
    <row r="22" spans="2:17" ht="15.95" customHeight="1" x14ac:dyDescent="0.25">
      <c r="B22" s="31" t="str">
        <f>$L$7</f>
        <v>2-man work platform; 45 HP MFWD</v>
      </c>
      <c r="C22" s="31" t="s">
        <v>249</v>
      </c>
      <c r="D22" s="49">
        <v>0</v>
      </c>
      <c r="E22" s="37"/>
      <c r="F22" s="37">
        <f>$M$4*D22*M17</f>
        <v>0</v>
      </c>
      <c r="G22" s="37">
        <f>((F22*$M$19)+($P$7+$P$4*$M$17)*D22)</f>
        <v>0</v>
      </c>
      <c r="H22" s="37">
        <f>(($O$4+$N$4)*$M$17+$O$7+$N$7)*D22</f>
        <v>0</v>
      </c>
      <c r="I22" s="37">
        <f>G22+H22</f>
        <v>0</v>
      </c>
      <c r="L22" s="41"/>
    </row>
    <row r="23" spans="2:17" ht="15.95" customHeight="1" x14ac:dyDescent="0.25">
      <c r="B23" s="31" t="str">
        <f>$L$10</f>
        <v>Harvest bin trailer; 45 HP MFWD</v>
      </c>
      <c r="C23" s="31" t="s">
        <v>29</v>
      </c>
      <c r="D23" s="49">
        <v>0</v>
      </c>
      <c r="E23" s="37">
        <f>1*D23</f>
        <v>0</v>
      </c>
      <c r="F23" s="37">
        <f>$M$4*D23</f>
        <v>0</v>
      </c>
      <c r="G23" s="37">
        <f>((E23*$M$18+F23*$M$19+($P$10+$P$4*$M$17))*D23)</f>
        <v>0</v>
      </c>
      <c r="H23" s="37">
        <f>(($O$4+$P$4)*$M$17+$O$10+$P$10)*D23</f>
        <v>0</v>
      </c>
      <c r="I23" s="37">
        <f t="shared" ref="I23:I24" si="3">G23+H23</f>
        <v>0</v>
      </c>
      <c r="L23" s="41"/>
    </row>
    <row r="24" spans="2:17" ht="15.95" customHeight="1" x14ac:dyDescent="0.25">
      <c r="B24" s="31" t="str">
        <f>$L$11</f>
        <v>900 CC 4x4 UTV</v>
      </c>
      <c r="C24" s="31" t="s">
        <v>29</v>
      </c>
      <c r="D24" s="49">
        <v>0</v>
      </c>
      <c r="E24" s="37">
        <f>1*D24</f>
        <v>0</v>
      </c>
      <c r="F24" s="37">
        <f>$M$11*D24</f>
        <v>0</v>
      </c>
      <c r="G24" s="37">
        <f>F24*$M$19+E24*$M$18</f>
        <v>0</v>
      </c>
      <c r="H24" s="37">
        <f>($O$11+$N$11)*D24</f>
        <v>0</v>
      </c>
      <c r="I24" s="37">
        <f t="shared" si="3"/>
        <v>0</v>
      </c>
      <c r="L24" s="41"/>
    </row>
    <row r="25" spans="2:17" ht="15.95" customHeight="1" x14ac:dyDescent="0.25">
      <c r="B25" s="31" t="str">
        <f>$L$12</f>
        <v>1-ton 4x4 pickup</v>
      </c>
      <c r="C25" s="31" t="s">
        <v>29</v>
      </c>
      <c r="D25" s="49">
        <v>0</v>
      </c>
      <c r="E25" s="37">
        <f>1*D25</f>
        <v>0</v>
      </c>
      <c r="F25" s="37">
        <f>$M$12*D25</f>
        <v>0</v>
      </c>
      <c r="G25" s="37">
        <f>F25*$M$19+$E25*$M$18</f>
        <v>0</v>
      </c>
      <c r="H25" s="37">
        <f>($O$12+$N$12)*D25</f>
        <v>0</v>
      </c>
      <c r="I25" s="37">
        <f>G25+H25</f>
        <v>0</v>
      </c>
    </row>
    <row r="26" spans="2:17" ht="15.95" customHeight="1" x14ac:dyDescent="0.25">
      <c r="B26" s="36" t="str">
        <f>$L$13</f>
        <v>2-ton flatbed truck</v>
      </c>
      <c r="C26" s="36" t="s">
        <v>29</v>
      </c>
      <c r="D26" s="168">
        <v>0</v>
      </c>
      <c r="E26" s="39">
        <f>1*D26</f>
        <v>0</v>
      </c>
      <c r="F26" s="39">
        <f>$M$13*D26</f>
        <v>0</v>
      </c>
      <c r="G26" s="39">
        <f>F26*$M$19+$E26*$M$18</f>
        <v>0</v>
      </c>
      <c r="H26" s="39">
        <f>($O$13+$N$13)*D26</f>
        <v>0</v>
      </c>
      <c r="I26" s="39">
        <f t="shared" ref="I26" si="4">G26+H26</f>
        <v>0</v>
      </c>
    </row>
    <row r="27" spans="2:17" ht="15.95" customHeight="1" x14ac:dyDescent="0.25">
      <c r="B27" s="40" t="s">
        <v>215</v>
      </c>
      <c r="C27" s="40"/>
      <c r="E27" s="37">
        <f>SUM(E18:E26)</f>
        <v>4.8789999999999996</v>
      </c>
      <c r="F27" s="37">
        <f>SUM(F18:F26)</f>
        <v>9.6604200000000002</v>
      </c>
      <c r="G27" s="37">
        <f>SUM(G18:G26)</f>
        <v>149.78883500000001</v>
      </c>
      <c r="H27" s="37">
        <f>SUM(H18:H26)</f>
        <v>78.972340000000003</v>
      </c>
      <c r="I27" s="37">
        <f>SUM(I18:I26)</f>
        <v>228.76117499999998</v>
      </c>
      <c r="K27" s="40"/>
    </row>
    <row r="28" spans="2:17" ht="15.95" customHeight="1" x14ac:dyDescent="0.25">
      <c r="B28" s="40"/>
      <c r="C28" s="40"/>
      <c r="E28" s="37"/>
      <c r="F28" s="37"/>
      <c r="G28" s="37"/>
      <c r="H28" s="37"/>
      <c r="I28" s="37"/>
      <c r="K28" s="40"/>
    </row>
    <row r="29" spans="2:17" ht="15.95" customHeight="1" x14ac:dyDescent="0.25">
      <c r="B29" s="36" t="s">
        <v>229</v>
      </c>
      <c r="J29" s="40"/>
      <c r="K29" s="40"/>
    </row>
    <row r="30" spans="2:17" ht="33" customHeight="1" x14ac:dyDescent="0.25">
      <c r="B30" s="43" t="s">
        <v>221</v>
      </c>
      <c r="C30" s="43" t="s">
        <v>5</v>
      </c>
      <c r="D30" s="44" t="s">
        <v>5</v>
      </c>
      <c r="E30" s="44" t="s">
        <v>116</v>
      </c>
      <c r="F30" s="44" t="s">
        <v>117</v>
      </c>
      <c r="G30" s="45" t="s">
        <v>222</v>
      </c>
      <c r="H30" s="45" t="s">
        <v>223</v>
      </c>
      <c r="I30" s="45" t="s">
        <v>226</v>
      </c>
      <c r="J30" s="40"/>
      <c r="K30" s="40"/>
    </row>
    <row r="31" spans="2:17" ht="15.95" customHeight="1" x14ac:dyDescent="0.25">
      <c r="D31" s="9" t="s">
        <v>219</v>
      </c>
      <c r="E31" s="40" t="s">
        <v>118</v>
      </c>
      <c r="F31" s="40" t="s">
        <v>220</v>
      </c>
      <c r="G31" s="40" t="s">
        <v>24</v>
      </c>
      <c r="H31" s="40" t="s">
        <v>24</v>
      </c>
      <c r="I31" s="40" t="s">
        <v>227</v>
      </c>
      <c r="J31" s="40"/>
    </row>
    <row r="32" spans="2:17" ht="15.95" customHeight="1" x14ac:dyDescent="0.25">
      <c r="B32" s="31" t="str">
        <f>$L$5</f>
        <v>Airblast sprayer, 100 gallon; 45 HP MFWD</v>
      </c>
      <c r="C32" s="31" t="s">
        <v>161</v>
      </c>
      <c r="D32" s="49">
        <v>6</v>
      </c>
      <c r="E32" s="37">
        <f>D32*$Q$5</f>
        <v>2.3580000000000001</v>
      </c>
      <c r="F32" s="37">
        <f>$M$4*$Q$5*D32</f>
        <v>4.6688400000000003</v>
      </c>
      <c r="G32" s="37">
        <f>(E32*$M$18)+(F32*$M$19)+($P$4+$P$5)*$Q$5*D32</f>
        <v>72.190170000000009</v>
      </c>
      <c r="H32" s="37">
        <f>($N$4+$O$4+N36+O36)*$Q$5*D32</f>
        <v>26.739719999999998</v>
      </c>
      <c r="I32" s="37">
        <f>G32+H32</f>
        <v>98.92989</v>
      </c>
    </row>
    <row r="33" spans="2:9" ht="15.95" customHeight="1" x14ac:dyDescent="0.25">
      <c r="B33" s="31" t="str">
        <f>$L$6</f>
        <v>Weed sprayer - pull-type; 45 HP MFWD</v>
      </c>
      <c r="C33" s="31" t="s">
        <v>161</v>
      </c>
      <c r="D33" s="49">
        <v>3</v>
      </c>
      <c r="E33" s="37">
        <f>D33*$Q$6</f>
        <v>0.78600000000000003</v>
      </c>
      <c r="F33" s="37">
        <f>$M$4*$Q$6*D33</f>
        <v>1.5562800000000001</v>
      </c>
      <c r="G33" s="37">
        <f>(E33*$M$18)+(F33*$M$19)+($P$4+$P$6)*$Q$6*D33</f>
        <v>23.041589999999999</v>
      </c>
      <c r="H33" s="37">
        <f>($N$4+O$4+N$6+O$6)*$Q$6*D33</f>
        <v>16.561019999999999</v>
      </c>
      <c r="I33" s="37">
        <f t="shared" ref="I33:I35" si="5">G33+H33</f>
        <v>39.602609999999999</v>
      </c>
    </row>
    <row r="34" spans="2:9" ht="15.95" customHeight="1" x14ac:dyDescent="0.25">
      <c r="B34" s="31" t="str">
        <f>$L$8</f>
        <v>Spreader - double spinner; 45 HP MFWD</v>
      </c>
      <c r="C34" s="31" t="s">
        <v>161</v>
      </c>
      <c r="D34" s="49">
        <v>0</v>
      </c>
      <c r="E34" s="37">
        <f>D34*$Q$8</f>
        <v>0</v>
      </c>
      <c r="F34" s="37">
        <f>$M$4*$Q$8*D34</f>
        <v>0</v>
      </c>
      <c r="G34" s="37">
        <f>(E34*$M$18)+(F34*$M$19)+($P$4+$P$8)*$Q$8*D34</f>
        <v>0</v>
      </c>
      <c r="H34" s="37">
        <f>($N$4+$O$4+$N$8+$O$8)*$Q$8*D34</f>
        <v>0</v>
      </c>
      <c r="I34" s="37">
        <f t="shared" si="5"/>
        <v>0</v>
      </c>
    </row>
    <row r="35" spans="2:9" ht="15.95" customHeight="1" x14ac:dyDescent="0.25">
      <c r="B35" s="31" t="str">
        <f>$L$9</f>
        <v>Finish mower, 7 ft.; 45 HP MFWD</v>
      </c>
      <c r="C35" s="31" t="s">
        <v>161</v>
      </c>
      <c r="D35" s="49">
        <v>5</v>
      </c>
      <c r="E35" s="37">
        <f>D35*$Q$9</f>
        <v>1.7349999999999999</v>
      </c>
      <c r="F35" s="37">
        <f>$M$4*$Q$9*D35</f>
        <v>3.4352999999999994</v>
      </c>
      <c r="G35" s="37">
        <f>(E35*$M$18)+(F35*$M$19)+($P$4+$P$9)*$Q$9*D35</f>
        <v>54.55707499999999</v>
      </c>
      <c r="H35" s="37">
        <f>($N$4+$O$4+$N$9+$O$9)*$Q$9*D35</f>
        <v>35.671599999999998</v>
      </c>
      <c r="I35" s="37">
        <f t="shared" si="5"/>
        <v>90.228674999999981</v>
      </c>
    </row>
    <row r="36" spans="2:9" ht="15.95" customHeight="1" x14ac:dyDescent="0.25">
      <c r="B36" s="31" t="str">
        <f>$L$7</f>
        <v>2-man work platform; 45 HP MFWD</v>
      </c>
      <c r="C36" s="31" t="s">
        <v>249</v>
      </c>
      <c r="D36" s="49">
        <v>7</v>
      </c>
      <c r="E36" s="37"/>
      <c r="F36" s="37">
        <f>$M$4*D36*$M$17</f>
        <v>3.4649999999999999</v>
      </c>
      <c r="G36" s="37">
        <f>((F36*$M$19)+($P$7+$P$4*$M$17)*D36)</f>
        <v>58.913749999999993</v>
      </c>
      <c r="H36" s="37">
        <f>(($O$4+$N$4)*$M$17+$O$7+$N$7)*D36</f>
        <v>82.004999999999995</v>
      </c>
      <c r="I36" s="37">
        <f>G36+H36</f>
        <v>140.91874999999999</v>
      </c>
    </row>
    <row r="37" spans="2:9" ht="15.95" customHeight="1" x14ac:dyDescent="0.25">
      <c r="B37" s="31" t="str">
        <f>$L$10</f>
        <v>Harvest bin trailer; 45 HP MFWD</v>
      </c>
      <c r="C37" s="31" t="s">
        <v>29</v>
      </c>
      <c r="D37" s="49">
        <v>0</v>
      </c>
      <c r="E37" s="37">
        <f>1*D37</f>
        <v>0</v>
      </c>
      <c r="F37" s="37">
        <f>$M$4*D37</f>
        <v>0</v>
      </c>
      <c r="G37" s="37">
        <f>((E37*$M$18+F37*$M$19+($P$10+$P$4*$M$17))*D37)</f>
        <v>0</v>
      </c>
      <c r="H37" s="37">
        <f>(($O$4+$P$4)*$M$17+$O$10+$P$10)*D37</f>
        <v>0</v>
      </c>
      <c r="I37" s="37">
        <f t="shared" ref="I37:I38" si="6">G37+H37</f>
        <v>0</v>
      </c>
    </row>
    <row r="38" spans="2:9" ht="15.95" customHeight="1" x14ac:dyDescent="0.25">
      <c r="B38" s="31" t="str">
        <f>$L$11</f>
        <v>900 CC 4x4 UTV</v>
      </c>
      <c r="C38" s="31" t="s">
        <v>29</v>
      </c>
      <c r="D38" s="49">
        <v>0</v>
      </c>
      <c r="E38" s="37">
        <f>1*D38</f>
        <v>0</v>
      </c>
      <c r="F38" s="37">
        <f>$M$11*D38</f>
        <v>0</v>
      </c>
      <c r="G38" s="37">
        <f>F38*$M$19+E38*$M$18</f>
        <v>0</v>
      </c>
      <c r="H38" s="37">
        <f>($O$11+$N$11)*D38</f>
        <v>0</v>
      </c>
      <c r="I38" s="37">
        <f t="shared" si="6"/>
        <v>0</v>
      </c>
    </row>
    <row r="39" spans="2:9" ht="15.95" customHeight="1" x14ac:dyDescent="0.25">
      <c r="B39" s="31" t="str">
        <f>$L$12</f>
        <v>1-ton 4x4 pickup</v>
      </c>
      <c r="C39" s="31" t="s">
        <v>29</v>
      </c>
      <c r="D39" s="49">
        <v>0</v>
      </c>
      <c r="E39" s="37">
        <f>1*D39</f>
        <v>0</v>
      </c>
      <c r="F39" s="37">
        <f>$M$12*D39</f>
        <v>0</v>
      </c>
      <c r="G39" s="37">
        <f>F39*$M$19+$E39*$M$18</f>
        <v>0</v>
      </c>
      <c r="H39" s="37">
        <f>($O$12+$N$12)*D39</f>
        <v>0</v>
      </c>
      <c r="I39" s="37">
        <f>G39+H39</f>
        <v>0</v>
      </c>
    </row>
    <row r="40" spans="2:9" ht="15.95" customHeight="1" x14ac:dyDescent="0.25">
      <c r="B40" s="36" t="str">
        <f>$L$13</f>
        <v>2-ton flatbed truck</v>
      </c>
      <c r="C40" s="36" t="s">
        <v>29</v>
      </c>
      <c r="D40" s="168">
        <v>0</v>
      </c>
      <c r="E40" s="39">
        <f>1*D40</f>
        <v>0</v>
      </c>
      <c r="F40" s="39">
        <f>$M$13*D40</f>
        <v>0</v>
      </c>
      <c r="G40" s="39">
        <f>F40*$M$19+$E40*$M$18</f>
        <v>0</v>
      </c>
      <c r="H40" s="39">
        <f>($O$13+$N$13)*D40</f>
        <v>0</v>
      </c>
      <c r="I40" s="39">
        <f t="shared" ref="I40" si="7">G40+H40</f>
        <v>0</v>
      </c>
    </row>
    <row r="41" spans="2:9" ht="15.95" customHeight="1" x14ac:dyDescent="0.25">
      <c r="B41" s="40" t="s">
        <v>215</v>
      </c>
      <c r="C41" s="40"/>
      <c r="E41" s="37">
        <f>SUM(E32:E40)</f>
        <v>4.8789999999999996</v>
      </c>
      <c r="F41" s="37">
        <f>SUM(F32:F40)</f>
        <v>13.12542</v>
      </c>
      <c r="G41" s="37">
        <f>SUM(G32:G40)</f>
        <v>208.702585</v>
      </c>
      <c r="H41" s="37">
        <f>SUM(H32:H40)</f>
        <v>160.97734</v>
      </c>
      <c r="I41" s="37">
        <f>SUM(I32:I40)</f>
        <v>369.67992499999997</v>
      </c>
    </row>
    <row r="42" spans="2:9" ht="15.95" customHeight="1" x14ac:dyDescent="0.25">
      <c r="B42" s="40"/>
      <c r="C42" s="40"/>
      <c r="E42" s="37"/>
      <c r="F42" s="37"/>
      <c r="G42" s="37"/>
      <c r="H42" s="37"/>
      <c r="I42" s="37"/>
    </row>
    <row r="43" spans="2:9" ht="15.95" customHeight="1" x14ac:dyDescent="0.25">
      <c r="B43" s="36" t="s">
        <v>250</v>
      </c>
    </row>
    <row r="44" spans="2:9" ht="33" customHeight="1" x14ac:dyDescent="0.25">
      <c r="B44" s="43" t="s">
        <v>221</v>
      </c>
      <c r="C44" s="43" t="s">
        <v>5</v>
      </c>
      <c r="D44" s="44" t="s">
        <v>5</v>
      </c>
      <c r="E44" s="44" t="s">
        <v>116</v>
      </c>
      <c r="F44" s="44" t="s">
        <v>117</v>
      </c>
      <c r="G44" s="45" t="s">
        <v>222</v>
      </c>
      <c r="H44" s="45" t="s">
        <v>223</v>
      </c>
      <c r="I44" s="45" t="s">
        <v>226</v>
      </c>
    </row>
    <row r="45" spans="2:9" ht="15.95" customHeight="1" x14ac:dyDescent="0.25">
      <c r="D45" s="9" t="s">
        <v>219</v>
      </c>
      <c r="E45" s="40" t="s">
        <v>118</v>
      </c>
      <c r="F45" s="40" t="s">
        <v>220</v>
      </c>
      <c r="G45" s="40" t="s">
        <v>24</v>
      </c>
      <c r="H45" s="40" t="s">
        <v>24</v>
      </c>
      <c r="I45" s="40" t="s">
        <v>227</v>
      </c>
    </row>
    <row r="46" spans="2:9" ht="15.95" customHeight="1" x14ac:dyDescent="0.25">
      <c r="B46" s="31" t="str">
        <f>$L$5</f>
        <v>Airblast sprayer, 100 gallon; 45 HP MFWD</v>
      </c>
      <c r="C46" s="31" t="s">
        <v>161</v>
      </c>
      <c r="D46" s="49">
        <v>12</v>
      </c>
      <c r="E46" s="37">
        <f>D46*$Q$5</f>
        <v>4.7160000000000002</v>
      </c>
      <c r="F46" s="37">
        <f>$M$4*$Q$5*D46</f>
        <v>9.3376800000000006</v>
      </c>
      <c r="G46" s="37">
        <f>(E46*$M$18)+(F46*$M$19)+($P$4+$P$5)*$Q$5*D46</f>
        <v>144.38034000000002</v>
      </c>
      <c r="H46" s="37">
        <f>($N$4+$O$4+N50+O50)*$Q$5*D46</f>
        <v>53.479439999999997</v>
      </c>
      <c r="I46" s="37">
        <f>G46+H46</f>
        <v>197.85978</v>
      </c>
    </row>
    <row r="47" spans="2:9" ht="15.95" customHeight="1" x14ac:dyDescent="0.25">
      <c r="B47" s="31" t="str">
        <f>$L$6</f>
        <v>Weed sprayer - pull-type; 45 HP MFWD</v>
      </c>
      <c r="C47" s="31" t="s">
        <v>161</v>
      </c>
      <c r="D47" s="49">
        <v>3</v>
      </c>
      <c r="E47" s="37">
        <f>D47*$Q$6</f>
        <v>0.78600000000000003</v>
      </c>
      <c r="F47" s="37">
        <f>$M$4*$Q$6*D47</f>
        <v>1.5562800000000001</v>
      </c>
      <c r="G47" s="37">
        <f>(E47*$M$18)+(F47*$M$19)+($P$4+$P$6)*$Q$6*D47</f>
        <v>23.041589999999999</v>
      </c>
      <c r="H47" s="37">
        <f>($N$4+O$4+N$6+O$6)*$Q$6*D47</f>
        <v>16.561019999999999</v>
      </c>
      <c r="I47" s="37">
        <f t="shared" ref="I47:I49" si="8">G47+H47</f>
        <v>39.602609999999999</v>
      </c>
    </row>
    <row r="48" spans="2:9" ht="15.95" customHeight="1" x14ac:dyDescent="0.25">
      <c r="B48" s="31" t="str">
        <f>$L$8</f>
        <v>Spreader - double spinner; 45 HP MFWD</v>
      </c>
      <c r="C48" s="31" t="s">
        <v>161</v>
      </c>
      <c r="D48" s="49">
        <v>0</v>
      </c>
      <c r="E48" s="37">
        <f>D48*$Q$8</f>
        <v>0</v>
      </c>
      <c r="F48" s="37">
        <f>$M$4*$Q$8*D48</f>
        <v>0</v>
      </c>
      <c r="G48" s="37">
        <f>(E48*$M$18)+(F48*$M$19)+($P$4+$P$8)*$Q$8*D48</f>
        <v>0</v>
      </c>
      <c r="H48" s="37">
        <f>($N$4+$O$4+$N$8+$O$8)*$Q$8*D48</f>
        <v>0</v>
      </c>
      <c r="I48" s="37">
        <f t="shared" si="8"/>
        <v>0</v>
      </c>
    </row>
    <row r="49" spans="2:9" ht="15.95" customHeight="1" x14ac:dyDescent="0.25">
      <c r="B49" s="31" t="str">
        <f>$L$9</f>
        <v>Finish mower, 7 ft.; 45 HP MFWD</v>
      </c>
      <c r="C49" s="31" t="s">
        <v>161</v>
      </c>
      <c r="D49" s="49">
        <v>5</v>
      </c>
      <c r="E49" s="37">
        <f>D49*$Q$9</f>
        <v>1.7349999999999999</v>
      </c>
      <c r="F49" s="37">
        <f>$M$4*$Q$9*D49</f>
        <v>3.4352999999999994</v>
      </c>
      <c r="G49" s="37">
        <f>(E49*$M$18)+(F49*$M$19)+($P$4+$P$9)*$Q$9*D49</f>
        <v>54.55707499999999</v>
      </c>
      <c r="H49" s="37">
        <f>($N$4+$O$4+$N$9+$O$9)*$Q$9*D49</f>
        <v>35.671599999999998</v>
      </c>
      <c r="I49" s="37">
        <f t="shared" si="8"/>
        <v>90.228674999999981</v>
      </c>
    </row>
    <row r="50" spans="2:9" ht="15.95" customHeight="1" x14ac:dyDescent="0.25">
      <c r="B50" s="31" t="str">
        <f>$L$7</f>
        <v>2-man work platform; 45 HP MFWD</v>
      </c>
      <c r="C50" s="31" t="s">
        <v>249</v>
      </c>
      <c r="D50" s="49">
        <v>48</v>
      </c>
      <c r="E50" s="37"/>
      <c r="F50" s="37">
        <f>$M$4*D50*M17</f>
        <v>23.759999999999998</v>
      </c>
      <c r="G50" s="37">
        <f>((F50*$M$19)+($P$7+$P$4*$M$17)*D50)</f>
        <v>403.98</v>
      </c>
      <c r="H50" s="37">
        <f>(($O$4+$N$4)*$M$17+$O$7+$N$7)*D50</f>
        <v>562.31999999999994</v>
      </c>
      <c r="I50" s="37">
        <f>G50+H50</f>
        <v>966.3</v>
      </c>
    </row>
    <row r="51" spans="2:9" ht="15.95" customHeight="1" x14ac:dyDescent="0.25">
      <c r="B51" s="31" t="str">
        <f>$L$10</f>
        <v>Harvest bin trailer; 45 HP MFWD</v>
      </c>
      <c r="C51" s="31" t="s">
        <v>29</v>
      </c>
      <c r="D51" s="49">
        <v>0.5</v>
      </c>
      <c r="E51" s="37">
        <f>1*D51</f>
        <v>0.5</v>
      </c>
      <c r="F51" s="37">
        <f>$M$4*D51</f>
        <v>0.99</v>
      </c>
      <c r="G51" s="37">
        <f>((E51*$M$18+F51*$M$19+($P$10+$P$4*$M$17))*D51)</f>
        <v>7.6624999999999996</v>
      </c>
      <c r="H51" s="37">
        <f>(($O$4+$P$4)*$M$17+$O$10+$P$10)*D51</f>
        <v>5.0674999999999999</v>
      </c>
      <c r="I51" s="37">
        <f t="shared" ref="I51:I52" si="9">G51+H51</f>
        <v>12.73</v>
      </c>
    </row>
    <row r="52" spans="2:9" ht="15.95" customHeight="1" x14ac:dyDescent="0.25">
      <c r="B52" s="31" t="str">
        <f>$L$11</f>
        <v>900 CC 4x4 UTV</v>
      </c>
      <c r="C52" s="31" t="s">
        <v>29</v>
      </c>
      <c r="D52" s="49">
        <v>0</v>
      </c>
      <c r="E52" s="37">
        <f>1*D52</f>
        <v>0</v>
      </c>
      <c r="F52" s="37">
        <f>$M$11*D52</f>
        <v>0</v>
      </c>
      <c r="G52" s="37">
        <f>F52*$M$19+E52*$M$18</f>
        <v>0</v>
      </c>
      <c r="H52" s="37">
        <f>($O$11+$N$11)*D52</f>
        <v>0</v>
      </c>
      <c r="I52" s="37">
        <f t="shared" si="9"/>
        <v>0</v>
      </c>
    </row>
    <row r="53" spans="2:9" ht="15.95" customHeight="1" x14ac:dyDescent="0.25">
      <c r="B53" s="31" t="str">
        <f>$L$12</f>
        <v>1-ton 4x4 pickup</v>
      </c>
      <c r="C53" s="31" t="s">
        <v>29</v>
      </c>
      <c r="D53" s="49">
        <v>0</v>
      </c>
      <c r="E53" s="37">
        <f>1*D53</f>
        <v>0</v>
      </c>
      <c r="F53" s="37">
        <f>$M$12*D53</f>
        <v>0</v>
      </c>
      <c r="G53" s="37">
        <f>F53*$M$19+$E53*$M$18</f>
        <v>0</v>
      </c>
      <c r="H53" s="37">
        <f>($O$12+$N$12)*D53</f>
        <v>0</v>
      </c>
      <c r="I53" s="37">
        <f>G53+H53</f>
        <v>0</v>
      </c>
    </row>
    <row r="54" spans="2:9" ht="15.95" customHeight="1" x14ac:dyDescent="0.25">
      <c r="B54" s="36" t="str">
        <f>$L$13</f>
        <v>2-ton flatbed truck</v>
      </c>
      <c r="C54" s="36" t="s">
        <v>29</v>
      </c>
      <c r="D54" s="168">
        <v>0</v>
      </c>
      <c r="E54" s="39">
        <f>1*D54</f>
        <v>0</v>
      </c>
      <c r="F54" s="39">
        <f>$M$13*D54</f>
        <v>0</v>
      </c>
      <c r="G54" s="39">
        <f>F54*$M$19+$E54*$M$18</f>
        <v>0</v>
      </c>
      <c r="H54" s="39">
        <f>($O$13+$N$13)*D54</f>
        <v>0</v>
      </c>
      <c r="I54" s="39">
        <f t="shared" ref="I54" si="10">G54+H54</f>
        <v>0</v>
      </c>
    </row>
    <row r="55" spans="2:9" ht="15.95" customHeight="1" x14ac:dyDescent="0.25">
      <c r="B55" s="40" t="s">
        <v>215</v>
      </c>
      <c r="C55" s="40"/>
      <c r="E55" s="37">
        <f>SUM(E46:E54)</f>
        <v>7.7370000000000001</v>
      </c>
      <c r="F55" s="37">
        <f>SUM(F46:F54)</f>
        <v>39.079259999999998</v>
      </c>
      <c r="G55" s="37">
        <f>SUM(G46:G54)</f>
        <v>633.62150500000007</v>
      </c>
      <c r="H55" s="37">
        <f>SUM(H46:H54)</f>
        <v>673.09955999999988</v>
      </c>
      <c r="I55" s="37">
        <f>SUM(I46:I54)</f>
        <v>1306.721065</v>
      </c>
    </row>
    <row r="56" spans="2:9" ht="15.95" customHeight="1" x14ac:dyDescent="0.25">
      <c r="B56" s="40"/>
      <c r="C56" s="40"/>
      <c r="E56" s="37"/>
      <c r="F56" s="37"/>
      <c r="G56" s="37"/>
      <c r="H56" s="37"/>
      <c r="I56" s="37"/>
    </row>
    <row r="57" spans="2:9" ht="15.95" customHeight="1" x14ac:dyDescent="0.25">
      <c r="B57" s="36" t="s">
        <v>251</v>
      </c>
    </row>
    <row r="58" spans="2:9" ht="33" customHeight="1" x14ac:dyDescent="0.25">
      <c r="B58" s="43" t="s">
        <v>221</v>
      </c>
      <c r="C58" s="43" t="s">
        <v>5</v>
      </c>
      <c r="D58" s="44" t="s">
        <v>5</v>
      </c>
      <c r="E58" s="44" t="s">
        <v>116</v>
      </c>
      <c r="F58" s="44" t="s">
        <v>117</v>
      </c>
      <c r="G58" s="45" t="s">
        <v>222</v>
      </c>
      <c r="H58" s="45" t="s">
        <v>223</v>
      </c>
      <c r="I58" s="45" t="s">
        <v>226</v>
      </c>
    </row>
    <row r="59" spans="2:9" ht="15.95" customHeight="1" x14ac:dyDescent="0.25">
      <c r="D59" s="9" t="s">
        <v>219</v>
      </c>
      <c r="E59" s="40" t="s">
        <v>118</v>
      </c>
      <c r="F59" s="40" t="s">
        <v>220</v>
      </c>
      <c r="G59" s="40" t="s">
        <v>24</v>
      </c>
      <c r="H59" s="40" t="s">
        <v>24</v>
      </c>
      <c r="I59" s="40" t="s">
        <v>227</v>
      </c>
    </row>
    <row r="60" spans="2:9" ht="15.95" customHeight="1" x14ac:dyDescent="0.25">
      <c r="B60" s="31" t="str">
        <f>$L$5</f>
        <v>Airblast sprayer, 100 gallon; 45 HP MFWD</v>
      </c>
      <c r="C60" s="31" t="s">
        <v>161</v>
      </c>
      <c r="D60" s="49">
        <v>12</v>
      </c>
      <c r="E60" s="37">
        <f>D60*$Q$5</f>
        <v>4.7160000000000002</v>
      </c>
      <c r="F60" s="37">
        <f>$M$4*$Q$5*D60</f>
        <v>9.3376800000000006</v>
      </c>
      <c r="G60" s="37">
        <f>(E60*$M$18)+(F60*$M$19)+($P$4+$P$5)*$Q$5*D60</f>
        <v>144.38034000000002</v>
      </c>
      <c r="H60" s="37">
        <f>($N$4+$O$4+N64+O64)*$Q$5*D60</f>
        <v>53.479439999999997</v>
      </c>
      <c r="I60" s="37">
        <f>G60+H60</f>
        <v>197.85978</v>
      </c>
    </row>
    <row r="61" spans="2:9" ht="15.95" customHeight="1" x14ac:dyDescent="0.25">
      <c r="B61" s="31" t="str">
        <f>$L$6</f>
        <v>Weed sprayer - pull-type; 45 HP MFWD</v>
      </c>
      <c r="C61" s="31" t="s">
        <v>161</v>
      </c>
      <c r="D61" s="49">
        <v>3</v>
      </c>
      <c r="E61" s="37">
        <f>D61*$Q$6</f>
        <v>0.78600000000000003</v>
      </c>
      <c r="F61" s="37">
        <f>$M$4*$Q$6*D61</f>
        <v>1.5562800000000001</v>
      </c>
      <c r="G61" s="37">
        <f>(E61*$M$18)+(F61*$M$19)+($P$4+$P$6)*$Q$6*D61</f>
        <v>23.041589999999999</v>
      </c>
      <c r="H61" s="37">
        <f>($N$4+O$4+N$6+O$6)*$Q$6*D61</f>
        <v>16.561019999999999</v>
      </c>
      <c r="I61" s="37">
        <f t="shared" ref="I61:I63" si="11">G61+H61</f>
        <v>39.602609999999999</v>
      </c>
    </row>
    <row r="62" spans="2:9" ht="15.95" customHeight="1" x14ac:dyDescent="0.25">
      <c r="B62" s="31" t="str">
        <f>$L$8</f>
        <v>Spreader - double spinner; 45 HP MFWD</v>
      </c>
      <c r="C62" s="31" t="s">
        <v>161</v>
      </c>
      <c r="D62" s="49">
        <v>0</v>
      </c>
      <c r="E62" s="37">
        <f>D62*$Q$8</f>
        <v>0</v>
      </c>
      <c r="F62" s="37">
        <f>$M$4*$Q$8*D62</f>
        <v>0</v>
      </c>
      <c r="G62" s="37">
        <f>(E62*$M$18)+(F62*$M$19)+($P$4+$P$8)*$Q$8*D62</f>
        <v>0</v>
      </c>
      <c r="H62" s="37">
        <f>($N$4+$O$4+$N$8+$O$8)*$Q$8*D62</f>
        <v>0</v>
      </c>
      <c r="I62" s="37">
        <f t="shared" si="11"/>
        <v>0</v>
      </c>
    </row>
    <row r="63" spans="2:9" ht="15.95" customHeight="1" x14ac:dyDescent="0.25">
      <c r="B63" s="31" t="str">
        <f>$L$9</f>
        <v>Finish mower, 7 ft.; 45 HP MFWD</v>
      </c>
      <c r="C63" s="31" t="s">
        <v>161</v>
      </c>
      <c r="D63" s="49">
        <v>5</v>
      </c>
      <c r="E63" s="37">
        <f>D63*$Q$9</f>
        <v>1.7349999999999999</v>
      </c>
      <c r="F63" s="37">
        <f>$M$4*$Q$9*D63</f>
        <v>3.4352999999999994</v>
      </c>
      <c r="G63" s="37">
        <f>(E63*$M$18)+(F63*$M$19)+($P$4+$P$9)*$Q$9*D63</f>
        <v>54.55707499999999</v>
      </c>
      <c r="H63" s="37">
        <f>($N$4+$O$4+$N$9+$O$9)*$Q$9*D63</f>
        <v>35.671599999999998</v>
      </c>
      <c r="I63" s="37">
        <f t="shared" si="11"/>
        <v>90.228674999999981</v>
      </c>
    </row>
    <row r="64" spans="2:9" ht="15.95" customHeight="1" x14ac:dyDescent="0.25">
      <c r="B64" s="31" t="str">
        <f>$L$7</f>
        <v>2-man work platform; 45 HP MFWD</v>
      </c>
      <c r="C64" s="31" t="s">
        <v>249</v>
      </c>
      <c r="D64" s="49">
        <v>65</v>
      </c>
      <c r="E64" s="37"/>
      <c r="F64" s="37">
        <f>$M$4*D64*M17</f>
        <v>32.174999999999997</v>
      </c>
      <c r="G64" s="37">
        <f>((F64*$M$19)+($P$7+$P$4*$M$17)*D64)</f>
        <v>547.05624999999998</v>
      </c>
      <c r="H64" s="37">
        <f>(($O$4+$N$4)*$M$17+$O$7+$N$7)*D64</f>
        <v>761.47500000000002</v>
      </c>
      <c r="I64" s="37">
        <f>G64+H64</f>
        <v>1308.53125</v>
      </c>
    </row>
    <row r="65" spans="2:9" ht="15.95" customHeight="1" x14ac:dyDescent="0.25">
      <c r="B65" s="31" t="str">
        <f>$L$10</f>
        <v>Harvest bin trailer; 45 HP MFWD</v>
      </c>
      <c r="C65" s="31" t="s">
        <v>29</v>
      </c>
      <c r="D65" s="49">
        <v>1</v>
      </c>
      <c r="E65" s="37">
        <f>1*D65</f>
        <v>1</v>
      </c>
      <c r="F65" s="37">
        <f>$M$4*D65</f>
        <v>1.98</v>
      </c>
      <c r="G65" s="37">
        <f>((E65*$M$18+F65*$M$19+($P$10+$P$4*$M$17))*D65)</f>
        <v>27.792499999999997</v>
      </c>
      <c r="H65" s="37">
        <f>(($O$4+$P$4)*$M$17+$O$10+$P$10)*D65</f>
        <v>10.135</v>
      </c>
      <c r="I65" s="37">
        <f t="shared" ref="I65:I66" si="12">G65+H65</f>
        <v>37.927499999999995</v>
      </c>
    </row>
    <row r="66" spans="2:9" ht="15.95" customHeight="1" x14ac:dyDescent="0.25">
      <c r="B66" s="31" t="str">
        <f>$L$11</f>
        <v>900 CC 4x4 UTV</v>
      </c>
      <c r="C66" s="31" t="s">
        <v>29</v>
      </c>
      <c r="D66" s="49">
        <v>0</v>
      </c>
      <c r="E66" s="37">
        <f>1*D66</f>
        <v>0</v>
      </c>
      <c r="F66" s="37">
        <f>$M$11*D66</f>
        <v>0</v>
      </c>
      <c r="G66" s="37">
        <f>F66*$M$19+E66*$M$18</f>
        <v>0</v>
      </c>
      <c r="H66" s="37">
        <f>($O$11+$N$11)*D66</f>
        <v>0</v>
      </c>
      <c r="I66" s="37">
        <f t="shared" si="12"/>
        <v>0</v>
      </c>
    </row>
    <row r="67" spans="2:9" ht="15.95" customHeight="1" x14ac:dyDescent="0.25">
      <c r="B67" s="31" t="str">
        <f>$L$12</f>
        <v>1-ton 4x4 pickup</v>
      </c>
      <c r="C67" s="31" t="s">
        <v>29</v>
      </c>
      <c r="D67" s="49">
        <v>0</v>
      </c>
      <c r="E67" s="37">
        <f>1*D67</f>
        <v>0</v>
      </c>
      <c r="F67" s="37">
        <f>$M$12*D67</f>
        <v>0</v>
      </c>
      <c r="G67" s="37">
        <f>F67*$M$19+$E67*$M$18</f>
        <v>0</v>
      </c>
      <c r="H67" s="37">
        <f>($O$12+$N$12)*D67</f>
        <v>0</v>
      </c>
      <c r="I67" s="37">
        <f>G67+H67</f>
        <v>0</v>
      </c>
    </row>
    <row r="68" spans="2:9" ht="15.95" customHeight="1" x14ac:dyDescent="0.25">
      <c r="B68" s="36" t="str">
        <f>$L$13</f>
        <v>2-ton flatbed truck</v>
      </c>
      <c r="C68" s="36" t="s">
        <v>29</v>
      </c>
      <c r="D68" s="168">
        <v>0</v>
      </c>
      <c r="E68" s="39">
        <f>1*D68</f>
        <v>0</v>
      </c>
      <c r="F68" s="39">
        <f>$M$13*D68</f>
        <v>0</v>
      </c>
      <c r="G68" s="39">
        <f>F68*$M$19+$E68*$M$18</f>
        <v>0</v>
      </c>
      <c r="H68" s="39">
        <f>($O$13+$N$13)*D68</f>
        <v>0</v>
      </c>
      <c r="I68" s="39">
        <f t="shared" ref="I68" si="13">G68+H68</f>
        <v>0</v>
      </c>
    </row>
    <row r="69" spans="2:9" ht="15.95" customHeight="1" x14ac:dyDescent="0.25">
      <c r="B69" s="40" t="s">
        <v>215</v>
      </c>
      <c r="C69" s="40"/>
      <c r="E69" s="37">
        <f>SUM(E60:E68)</f>
        <v>8.2370000000000001</v>
      </c>
      <c r="F69" s="37">
        <f>SUM(F60:F68)</f>
        <v>48.484259999999992</v>
      </c>
      <c r="G69" s="37">
        <f>SUM(G60:G68)</f>
        <v>796.82775500000002</v>
      </c>
      <c r="H69" s="37">
        <f>SUM(H60:H68)</f>
        <v>877.32205999999996</v>
      </c>
      <c r="I69" s="37">
        <f>SUM(I60:I68)</f>
        <v>1674.149815</v>
      </c>
    </row>
    <row r="70" spans="2:9" ht="15.95" customHeight="1" x14ac:dyDescent="0.25">
      <c r="B70" s="40"/>
      <c r="C70" s="40"/>
      <c r="E70" s="37"/>
      <c r="F70" s="37"/>
      <c r="G70" s="37"/>
      <c r="H70" s="37"/>
      <c r="I70" s="37"/>
    </row>
    <row r="71" spans="2:9" ht="15.95" customHeight="1" x14ac:dyDescent="0.25">
      <c r="B71" s="36" t="s">
        <v>252</v>
      </c>
    </row>
    <row r="72" spans="2:9" ht="33" customHeight="1" x14ac:dyDescent="0.25">
      <c r="B72" s="43" t="s">
        <v>221</v>
      </c>
      <c r="C72" s="43" t="s">
        <v>5</v>
      </c>
      <c r="D72" s="44" t="s">
        <v>5</v>
      </c>
      <c r="E72" s="44" t="s">
        <v>116</v>
      </c>
      <c r="F72" s="44" t="s">
        <v>117</v>
      </c>
      <c r="G72" s="45" t="s">
        <v>222</v>
      </c>
      <c r="H72" s="45" t="s">
        <v>223</v>
      </c>
      <c r="I72" s="45" t="s">
        <v>226</v>
      </c>
    </row>
    <row r="73" spans="2:9" ht="15.95" customHeight="1" x14ac:dyDescent="0.25">
      <c r="D73" s="9" t="s">
        <v>219</v>
      </c>
      <c r="E73" s="40" t="s">
        <v>118</v>
      </c>
      <c r="F73" s="40" t="s">
        <v>220</v>
      </c>
      <c r="G73" s="40" t="s">
        <v>24</v>
      </c>
      <c r="H73" s="40" t="s">
        <v>24</v>
      </c>
      <c r="I73" s="40" t="s">
        <v>227</v>
      </c>
    </row>
    <row r="74" spans="2:9" ht="15.95" customHeight="1" x14ac:dyDescent="0.25">
      <c r="B74" s="31" t="str">
        <f>$L$5</f>
        <v>Airblast sprayer, 100 gallon; 45 HP MFWD</v>
      </c>
      <c r="C74" s="31" t="s">
        <v>161</v>
      </c>
      <c r="D74" s="49">
        <v>12</v>
      </c>
      <c r="E74" s="37">
        <f>D74*$Q$5</f>
        <v>4.7160000000000002</v>
      </c>
      <c r="F74" s="37">
        <f>$M$4*$Q$5*D74</f>
        <v>9.3376800000000006</v>
      </c>
      <c r="G74" s="37">
        <f>(E74*$M$18)+(F74*$M$19)+($P$4+$P$5)*$Q$5*D74</f>
        <v>144.38034000000002</v>
      </c>
      <c r="H74" s="37">
        <f>($N$4+$O$4+N78+O78)*$Q$5*D74</f>
        <v>53.479439999999997</v>
      </c>
      <c r="I74" s="37">
        <f>G74+H74</f>
        <v>197.85978</v>
      </c>
    </row>
    <row r="75" spans="2:9" ht="15.95" customHeight="1" x14ac:dyDescent="0.25">
      <c r="B75" s="31" t="str">
        <f>$L$6</f>
        <v>Weed sprayer - pull-type; 45 HP MFWD</v>
      </c>
      <c r="C75" s="31" t="s">
        <v>161</v>
      </c>
      <c r="D75" s="49">
        <v>3</v>
      </c>
      <c r="E75" s="37">
        <f>D75*$Q$6</f>
        <v>0.78600000000000003</v>
      </c>
      <c r="F75" s="37">
        <f>$M$4*$Q$6*D75</f>
        <v>1.5562800000000001</v>
      </c>
      <c r="G75" s="37">
        <f>(E75*$M$18)+(F75*$M$19)+($P$4+$P$6)*$Q$6*D75</f>
        <v>23.041589999999999</v>
      </c>
      <c r="H75" s="37">
        <f>($N$4+O$4+N$6+O$6)*$Q$6*D75</f>
        <v>16.561019999999999</v>
      </c>
      <c r="I75" s="37">
        <f t="shared" ref="I75:I77" si="14">G75+H75</f>
        <v>39.602609999999999</v>
      </c>
    </row>
    <row r="76" spans="2:9" ht="15.95" customHeight="1" x14ac:dyDescent="0.25">
      <c r="B76" s="31" t="str">
        <f>$L$8</f>
        <v>Spreader - double spinner; 45 HP MFWD</v>
      </c>
      <c r="C76" s="31" t="s">
        <v>161</v>
      </c>
      <c r="D76" s="49">
        <v>0</v>
      </c>
      <c r="E76" s="37">
        <f>D76*$Q$8</f>
        <v>0</v>
      </c>
      <c r="F76" s="37">
        <f>$M$4*$Q$8*D76</f>
        <v>0</v>
      </c>
      <c r="G76" s="37">
        <f>(E76*$M$18)+(F76*$M$19)+($P$4+$P$8)*$Q$8*D76</f>
        <v>0</v>
      </c>
      <c r="H76" s="37">
        <f>($N$4+$O$4+$N$8+$O$8)*$Q$8*D76</f>
        <v>0</v>
      </c>
      <c r="I76" s="37">
        <f t="shared" si="14"/>
        <v>0</v>
      </c>
    </row>
    <row r="77" spans="2:9" ht="15.95" customHeight="1" x14ac:dyDescent="0.25">
      <c r="B77" s="31" t="str">
        <f>$L$9</f>
        <v>Finish mower, 7 ft.; 45 HP MFWD</v>
      </c>
      <c r="C77" s="31" t="s">
        <v>161</v>
      </c>
      <c r="D77" s="49">
        <v>5</v>
      </c>
      <c r="E77" s="37">
        <f>D77*$Q$9</f>
        <v>1.7349999999999999</v>
      </c>
      <c r="F77" s="37">
        <f>$M$4*$Q$9*D77</f>
        <v>3.4352999999999994</v>
      </c>
      <c r="G77" s="37">
        <f>(E77*$M$18)+(F77*$M$19)+($P$4+$P$9)*$Q$9*D77</f>
        <v>54.55707499999999</v>
      </c>
      <c r="H77" s="37">
        <f>($N$4+$O$4+$N$9+$O$9)*$Q$9*D77</f>
        <v>35.671599999999998</v>
      </c>
      <c r="I77" s="37">
        <f t="shared" si="14"/>
        <v>90.228674999999981</v>
      </c>
    </row>
    <row r="78" spans="2:9" ht="15.95" customHeight="1" x14ac:dyDescent="0.25">
      <c r="B78" s="31" t="str">
        <f>$L$7</f>
        <v>2-man work platform; 45 HP MFWD</v>
      </c>
      <c r="C78" s="31" t="s">
        <v>249</v>
      </c>
      <c r="D78" s="49">
        <v>95</v>
      </c>
      <c r="E78" s="37"/>
      <c r="F78" s="37">
        <f>$M$4*D78*$M$17</f>
        <v>47.024999999999999</v>
      </c>
      <c r="G78" s="37">
        <f>((F78*$M$19)+($P$7+$P$4*$M$17)*D78)</f>
        <v>799.54374999999993</v>
      </c>
      <c r="H78" s="37">
        <f>(($O$4+$N$4)*$M$17+$O$7+$N$7)*D78</f>
        <v>1112.925</v>
      </c>
      <c r="I78" s="37">
        <f>G78+H78</f>
        <v>1912.46875</v>
      </c>
    </row>
    <row r="79" spans="2:9" ht="15.95" customHeight="1" x14ac:dyDescent="0.25">
      <c r="B79" s="31" t="str">
        <f>$L$10</f>
        <v>Harvest bin trailer; 45 HP MFWD</v>
      </c>
      <c r="C79" s="31" t="s">
        <v>29</v>
      </c>
      <c r="D79" s="49">
        <v>1.5</v>
      </c>
      <c r="E79" s="37">
        <f>1*D79</f>
        <v>1.5</v>
      </c>
      <c r="F79" s="37">
        <f>$M$4*D79</f>
        <v>2.9699999999999998</v>
      </c>
      <c r="G79" s="37">
        <f>((E79*$M$18+F79*$M$19+($P$10+$P$4*$M$17))*D79)</f>
        <v>60.390000000000008</v>
      </c>
      <c r="H79" s="37">
        <f>(($O$4+$P$4)*$M$17+$O$10+$P$10)*D79</f>
        <v>15.202500000000001</v>
      </c>
      <c r="I79" s="37">
        <f t="shared" ref="I79:I80" si="15">G79+H79</f>
        <v>75.592500000000001</v>
      </c>
    </row>
    <row r="80" spans="2:9" ht="15.95" customHeight="1" x14ac:dyDescent="0.25">
      <c r="B80" s="31" t="str">
        <f>$L$11</f>
        <v>900 CC 4x4 UTV</v>
      </c>
      <c r="C80" s="31" t="s">
        <v>29</v>
      </c>
      <c r="D80" s="49">
        <v>0</v>
      </c>
      <c r="E80" s="37">
        <f>1*D80</f>
        <v>0</v>
      </c>
      <c r="F80" s="37">
        <f>$M$11*D80</f>
        <v>0</v>
      </c>
      <c r="G80" s="37">
        <f>F80*$M$19+E80*$M$18</f>
        <v>0</v>
      </c>
      <c r="H80" s="37">
        <f>($O$11+$N$11)*D80</f>
        <v>0</v>
      </c>
      <c r="I80" s="37">
        <f t="shared" si="15"/>
        <v>0</v>
      </c>
    </row>
    <row r="81" spans="2:9" ht="15.95" customHeight="1" x14ac:dyDescent="0.25">
      <c r="B81" s="31" t="str">
        <f>$L$12</f>
        <v>1-ton 4x4 pickup</v>
      </c>
      <c r="C81" s="31" t="s">
        <v>29</v>
      </c>
      <c r="D81" s="49">
        <v>0</v>
      </c>
      <c r="E81" s="37">
        <f>1*D81</f>
        <v>0</v>
      </c>
      <c r="F81" s="37">
        <f>$M$12*D81</f>
        <v>0</v>
      </c>
      <c r="G81" s="37">
        <f>F81*$M$19+$E81*$M$18</f>
        <v>0</v>
      </c>
      <c r="H81" s="37">
        <f>($O$12+$N$12)*D81</f>
        <v>0</v>
      </c>
      <c r="I81" s="37">
        <f>G81+H81</f>
        <v>0</v>
      </c>
    </row>
    <row r="82" spans="2:9" ht="15.95" customHeight="1" x14ac:dyDescent="0.25">
      <c r="B82" s="36" t="str">
        <f>$L$13</f>
        <v>2-ton flatbed truck</v>
      </c>
      <c r="C82" s="36" t="s">
        <v>29</v>
      </c>
      <c r="D82" s="168">
        <v>0</v>
      </c>
      <c r="E82" s="39">
        <f>1*D82</f>
        <v>0</v>
      </c>
      <c r="F82" s="39">
        <f>$M$13*D82</f>
        <v>0</v>
      </c>
      <c r="G82" s="39">
        <f>F82*$M$19+$E82*$M$18</f>
        <v>0</v>
      </c>
      <c r="H82" s="39">
        <f>($O$13+$N$13)*D82</f>
        <v>0</v>
      </c>
      <c r="I82" s="39">
        <f t="shared" ref="I82" si="16">G82+H82</f>
        <v>0</v>
      </c>
    </row>
    <row r="83" spans="2:9" ht="15.95" customHeight="1" x14ac:dyDescent="0.25">
      <c r="B83" s="40" t="s">
        <v>215</v>
      </c>
      <c r="C83" s="40"/>
      <c r="E83" s="37">
        <f>SUM(E74:E82)</f>
        <v>8.7370000000000001</v>
      </c>
      <c r="F83" s="37">
        <f>SUM(F74:F82)</f>
        <v>64.324259999999995</v>
      </c>
      <c r="G83" s="37">
        <f>SUM(G74:G82)</f>
        <v>1081.9127550000001</v>
      </c>
      <c r="H83" s="37">
        <f>SUM(H74:H82)</f>
        <v>1233.8395600000001</v>
      </c>
      <c r="I83" s="37">
        <f>SUM(I74:I82)</f>
        <v>2315.7523150000002</v>
      </c>
    </row>
    <row r="84" spans="2:9" ht="15.95" customHeight="1" x14ac:dyDescent="0.25">
      <c r="B84" s="40"/>
      <c r="C84" s="40"/>
      <c r="E84" s="37"/>
      <c r="F84" s="37"/>
      <c r="G84" s="37"/>
      <c r="H84" s="37"/>
      <c r="I84" s="37"/>
    </row>
    <row r="85" spans="2:9" ht="15.95" customHeight="1" x14ac:dyDescent="0.25">
      <c r="B85" s="36" t="s">
        <v>254</v>
      </c>
    </row>
    <row r="86" spans="2:9" ht="33" customHeight="1" x14ac:dyDescent="0.25">
      <c r="B86" s="43" t="s">
        <v>221</v>
      </c>
      <c r="C86" s="43" t="s">
        <v>5</v>
      </c>
      <c r="D86" s="44" t="s">
        <v>5</v>
      </c>
      <c r="E86" s="44" t="s">
        <v>116</v>
      </c>
      <c r="F86" s="44" t="s">
        <v>117</v>
      </c>
      <c r="G86" s="45" t="s">
        <v>222</v>
      </c>
      <c r="H86" s="45" t="s">
        <v>223</v>
      </c>
      <c r="I86" s="45" t="s">
        <v>226</v>
      </c>
    </row>
    <row r="87" spans="2:9" ht="15.95" customHeight="1" x14ac:dyDescent="0.25">
      <c r="D87" s="9" t="s">
        <v>219</v>
      </c>
      <c r="E87" s="40" t="s">
        <v>118</v>
      </c>
      <c r="F87" s="40" t="s">
        <v>220</v>
      </c>
      <c r="G87" s="40" t="s">
        <v>24</v>
      </c>
      <c r="H87" s="40" t="s">
        <v>24</v>
      </c>
      <c r="I87" s="40" t="s">
        <v>227</v>
      </c>
    </row>
    <row r="88" spans="2:9" ht="15.95" customHeight="1" x14ac:dyDescent="0.25">
      <c r="B88" s="31" t="str">
        <f>$L$5</f>
        <v>Airblast sprayer, 100 gallon; 45 HP MFWD</v>
      </c>
      <c r="C88" s="31" t="s">
        <v>161</v>
      </c>
      <c r="D88" s="49">
        <v>12</v>
      </c>
      <c r="E88" s="37">
        <f>D88*$Q$5</f>
        <v>4.7160000000000002</v>
      </c>
      <c r="F88" s="37">
        <f>$M$4*$Q$5*D88</f>
        <v>9.3376800000000006</v>
      </c>
      <c r="G88" s="37">
        <f>(E88*$M$18)+(F88*$M$19)+($P$4+$P$5)*$Q$5*D88</f>
        <v>144.38034000000002</v>
      </c>
      <c r="H88" s="37">
        <f>($N$4+$O$4+N92+O92)*$Q$5*D88</f>
        <v>53.479439999999997</v>
      </c>
      <c r="I88" s="37">
        <f>G88+H88</f>
        <v>197.85978</v>
      </c>
    </row>
    <row r="89" spans="2:9" ht="15.95" customHeight="1" x14ac:dyDescent="0.25">
      <c r="B89" s="31" t="str">
        <f>$L$6</f>
        <v>Weed sprayer - pull-type; 45 HP MFWD</v>
      </c>
      <c r="C89" s="31" t="s">
        <v>161</v>
      </c>
      <c r="D89" s="49">
        <v>3</v>
      </c>
      <c r="E89" s="37">
        <f>D89*$Q$6</f>
        <v>0.78600000000000003</v>
      </c>
      <c r="F89" s="37">
        <f>$M$4*$Q$6*D89</f>
        <v>1.5562800000000001</v>
      </c>
      <c r="G89" s="37">
        <f>(E89*$M$18)+(F89*$M$19)+($P$4+$P$6)*$Q$6*D89</f>
        <v>23.041589999999999</v>
      </c>
      <c r="H89" s="37">
        <f>($N$4+O$4+N$6+O$6)*$Q$6*D89</f>
        <v>16.561019999999999</v>
      </c>
      <c r="I89" s="37">
        <f t="shared" ref="I89:I91" si="17">G89+H89</f>
        <v>39.602609999999999</v>
      </c>
    </row>
    <row r="90" spans="2:9" ht="15.95" customHeight="1" x14ac:dyDescent="0.25">
      <c r="B90" s="31" t="str">
        <f>$L$8</f>
        <v>Spreader - double spinner; 45 HP MFWD</v>
      </c>
      <c r="C90" s="31" t="s">
        <v>161</v>
      </c>
      <c r="D90" s="49">
        <v>0</v>
      </c>
      <c r="E90" s="37">
        <f>D90*$Q$8</f>
        <v>0</v>
      </c>
      <c r="F90" s="37">
        <f>$M$4*$Q$8*D90</f>
        <v>0</v>
      </c>
      <c r="G90" s="37">
        <f>(E90*$M$18)+(F90*$M$19)+($P$4+$P$8)*$Q$8*D90</f>
        <v>0</v>
      </c>
      <c r="H90" s="37">
        <f>($N$4+$O$4+$N$8+$O$8)*$Q$8*D90</f>
        <v>0</v>
      </c>
      <c r="I90" s="37">
        <f t="shared" si="17"/>
        <v>0</v>
      </c>
    </row>
    <row r="91" spans="2:9" ht="15.95" customHeight="1" x14ac:dyDescent="0.25">
      <c r="B91" s="31" t="str">
        <f>$L$9</f>
        <v>Finish mower, 7 ft.; 45 HP MFWD</v>
      </c>
      <c r="C91" s="31" t="s">
        <v>161</v>
      </c>
      <c r="D91" s="49">
        <v>5</v>
      </c>
      <c r="E91" s="37">
        <f>D91*$Q$9</f>
        <v>1.7349999999999999</v>
      </c>
      <c r="F91" s="37">
        <f>$M$4*$Q$9*D91</f>
        <v>3.4352999999999994</v>
      </c>
      <c r="G91" s="37">
        <f>(E91*$M$18)+(F91*$M$19)+($P$4+$P$9)*$Q$9*D91</f>
        <v>54.55707499999999</v>
      </c>
      <c r="H91" s="37">
        <f>($N$4+$O$4+$N$9+$O$9)*$Q$9*D91</f>
        <v>35.671599999999998</v>
      </c>
      <c r="I91" s="37">
        <f t="shared" si="17"/>
        <v>90.228674999999981</v>
      </c>
    </row>
    <row r="92" spans="2:9" ht="15.95" customHeight="1" x14ac:dyDescent="0.25">
      <c r="B92" s="31" t="str">
        <f>$L$7</f>
        <v>2-man work platform; 45 HP MFWD</v>
      </c>
      <c r="C92" s="31" t="s">
        <v>249</v>
      </c>
      <c r="D92" s="49">
        <v>112</v>
      </c>
      <c r="E92" s="37"/>
      <c r="F92" s="37">
        <f>$M$4*D92*M17</f>
        <v>55.44</v>
      </c>
      <c r="G92" s="37">
        <f>((F92*$M$19)+($P$7+$P$4*$M$17)*D92)</f>
        <v>942.61999999999989</v>
      </c>
      <c r="H92" s="37">
        <f>(($O$4+$N$4)*$M$17+$O$7+$N$7)*D92</f>
        <v>1312.08</v>
      </c>
      <c r="I92" s="37">
        <f>G92+H92</f>
        <v>2254.6999999999998</v>
      </c>
    </row>
    <row r="93" spans="2:9" ht="15.95" customHeight="1" x14ac:dyDescent="0.25">
      <c r="B93" s="31" t="str">
        <f>$L$10</f>
        <v>Harvest bin trailer; 45 HP MFWD</v>
      </c>
      <c r="C93" s="31" t="s">
        <v>29</v>
      </c>
      <c r="D93" s="49">
        <v>1.5</v>
      </c>
      <c r="E93" s="37">
        <f>1*D93</f>
        <v>1.5</v>
      </c>
      <c r="F93" s="37">
        <f>$M$4*D93</f>
        <v>2.9699999999999998</v>
      </c>
      <c r="G93" s="37">
        <f>((E93*$M$18+F93*$M$19+($P$10+$P$4*$M$17))*D93)</f>
        <v>60.390000000000008</v>
      </c>
      <c r="H93" s="37">
        <f>(($O$4+$P$4)*$M$17+$O$10+$P$10)*D93</f>
        <v>15.202500000000001</v>
      </c>
      <c r="I93" s="37">
        <f t="shared" ref="I93:I94" si="18">G93+H93</f>
        <v>75.592500000000001</v>
      </c>
    </row>
    <row r="94" spans="2:9" ht="15.95" customHeight="1" x14ac:dyDescent="0.25">
      <c r="B94" s="31" t="str">
        <f>$L$11</f>
        <v>900 CC 4x4 UTV</v>
      </c>
      <c r="C94" s="31" t="s">
        <v>29</v>
      </c>
      <c r="D94" s="49">
        <v>0</v>
      </c>
      <c r="E94" s="37">
        <f>1*D94</f>
        <v>0</v>
      </c>
      <c r="F94" s="37">
        <f>$M$11*D94</f>
        <v>0</v>
      </c>
      <c r="G94" s="37">
        <f>F94*$M$19+E94*$M$18</f>
        <v>0</v>
      </c>
      <c r="H94" s="37">
        <f>($O$11+$N$11)*D94</f>
        <v>0</v>
      </c>
      <c r="I94" s="37">
        <f t="shared" si="18"/>
        <v>0</v>
      </c>
    </row>
    <row r="95" spans="2:9" ht="15.95" customHeight="1" x14ac:dyDescent="0.25">
      <c r="B95" s="31" t="str">
        <f>$L$12</f>
        <v>1-ton 4x4 pickup</v>
      </c>
      <c r="C95" s="31" t="s">
        <v>29</v>
      </c>
      <c r="D95" s="49">
        <v>0</v>
      </c>
      <c r="E95" s="37">
        <f>1*D95</f>
        <v>0</v>
      </c>
      <c r="F95" s="37">
        <f>$M$12*D95</f>
        <v>0</v>
      </c>
      <c r="G95" s="37">
        <f>F95*$M$19+$E95*$M$18</f>
        <v>0</v>
      </c>
      <c r="H95" s="37">
        <f>($O$12+$N$12)*D95</f>
        <v>0</v>
      </c>
      <c r="I95" s="37">
        <f>G95+H95</f>
        <v>0</v>
      </c>
    </row>
    <row r="96" spans="2:9" ht="15.95" customHeight="1" x14ac:dyDescent="0.25">
      <c r="B96" s="36" t="str">
        <f>$L$13</f>
        <v>2-ton flatbed truck</v>
      </c>
      <c r="C96" s="36" t="s">
        <v>29</v>
      </c>
      <c r="D96" s="168">
        <v>0</v>
      </c>
      <c r="E96" s="39">
        <f>1*D96</f>
        <v>0</v>
      </c>
      <c r="F96" s="39">
        <f>$M$13*D96</f>
        <v>0</v>
      </c>
      <c r="G96" s="39">
        <f>F96*$M$19+$E96*$M$18</f>
        <v>0</v>
      </c>
      <c r="H96" s="39">
        <f>($O$13+$N$13)*D96</f>
        <v>0</v>
      </c>
      <c r="I96" s="39">
        <f t="shared" ref="I96" si="19">G96+H96</f>
        <v>0</v>
      </c>
    </row>
    <row r="97" spans="2:9" ht="15.95" customHeight="1" x14ac:dyDescent="0.25">
      <c r="B97" s="40" t="s">
        <v>215</v>
      </c>
      <c r="C97" s="40"/>
      <c r="E97" s="37">
        <f>SUM(E88:E96)</f>
        <v>8.7370000000000001</v>
      </c>
      <c r="F97" s="37">
        <f>SUM(F88:F96)</f>
        <v>72.739260000000002</v>
      </c>
      <c r="G97" s="37">
        <f>SUM(G88:G96)</f>
        <v>1224.9890050000001</v>
      </c>
      <c r="H97" s="37">
        <f>SUM(H88:H96)</f>
        <v>1432.9945600000001</v>
      </c>
      <c r="I97" s="37">
        <f>SUM(I88:I96)</f>
        <v>2657.983565</v>
      </c>
    </row>
    <row r="98" spans="2:9" ht="15.95" customHeight="1" x14ac:dyDescent="0.25">
      <c r="B98" s="40"/>
      <c r="C98" s="40"/>
      <c r="E98" s="37"/>
      <c r="F98" s="37"/>
      <c r="G98" s="37"/>
      <c r="H98" s="37"/>
      <c r="I98" s="37"/>
    </row>
    <row r="99" spans="2:9" ht="15.95" customHeight="1" x14ac:dyDescent="0.25">
      <c r="B99" s="36" t="s">
        <v>255</v>
      </c>
    </row>
    <row r="100" spans="2:9" ht="33" customHeight="1" x14ac:dyDescent="0.25">
      <c r="B100" s="43" t="s">
        <v>221</v>
      </c>
      <c r="C100" s="43" t="s">
        <v>5</v>
      </c>
      <c r="D100" s="44" t="s">
        <v>5</v>
      </c>
      <c r="E100" s="44" t="s">
        <v>116</v>
      </c>
      <c r="F100" s="44" t="s">
        <v>117</v>
      </c>
      <c r="G100" s="45" t="s">
        <v>222</v>
      </c>
      <c r="H100" s="45" t="s">
        <v>223</v>
      </c>
      <c r="I100" s="45" t="s">
        <v>226</v>
      </c>
    </row>
    <row r="101" spans="2:9" ht="15.95" customHeight="1" x14ac:dyDescent="0.25">
      <c r="D101" s="9" t="s">
        <v>219</v>
      </c>
      <c r="E101" s="40" t="s">
        <v>118</v>
      </c>
      <c r="F101" s="40" t="s">
        <v>220</v>
      </c>
      <c r="G101" s="40" t="s">
        <v>24</v>
      </c>
      <c r="H101" s="40" t="s">
        <v>24</v>
      </c>
      <c r="I101" s="40" t="s">
        <v>227</v>
      </c>
    </row>
    <row r="102" spans="2:9" ht="15.95" customHeight="1" x14ac:dyDescent="0.25">
      <c r="B102" s="31" t="str">
        <f>$L$5</f>
        <v>Airblast sprayer, 100 gallon; 45 HP MFWD</v>
      </c>
      <c r="C102" s="31" t="s">
        <v>161</v>
      </c>
      <c r="D102" s="49">
        <v>12</v>
      </c>
      <c r="E102" s="37">
        <f>D102*$Q$5</f>
        <v>4.7160000000000002</v>
      </c>
      <c r="F102" s="37">
        <f>$M$4*$Q$5*D102</f>
        <v>9.3376800000000006</v>
      </c>
      <c r="G102" s="37">
        <f>(E102*$M$18)+(F102*$M$19)+($P$4+$P$5)*$Q$5*D102</f>
        <v>144.38034000000002</v>
      </c>
      <c r="H102" s="37">
        <f>($N$4+$O$4+N106+O106)*$Q$5*D102</f>
        <v>53.479439999999997</v>
      </c>
      <c r="I102" s="37">
        <f>G102+H102</f>
        <v>197.85978</v>
      </c>
    </row>
    <row r="103" spans="2:9" ht="15.95" customHeight="1" x14ac:dyDescent="0.25">
      <c r="B103" s="31" t="str">
        <f>$L$6</f>
        <v>Weed sprayer - pull-type; 45 HP MFWD</v>
      </c>
      <c r="C103" s="31" t="s">
        <v>161</v>
      </c>
      <c r="D103" s="49">
        <v>3</v>
      </c>
      <c r="E103" s="37">
        <f>D103*$Q$6</f>
        <v>0.78600000000000003</v>
      </c>
      <c r="F103" s="37">
        <f>$M$4*$Q$6*D103</f>
        <v>1.5562800000000001</v>
      </c>
      <c r="G103" s="37">
        <f>(E103*$M$18)+(F103*$M$19)+($P$4+$P$6)*$Q$6*D103</f>
        <v>23.041589999999999</v>
      </c>
      <c r="H103" s="37">
        <f>($N$4+O$4+N$6+O$6)*$Q$6*D103</f>
        <v>16.561019999999999</v>
      </c>
      <c r="I103" s="37">
        <f t="shared" ref="I103:I105" si="20">G103+H103</f>
        <v>39.602609999999999</v>
      </c>
    </row>
    <row r="104" spans="2:9" ht="15.95" customHeight="1" x14ac:dyDescent="0.25">
      <c r="B104" s="31" t="str">
        <f>$L$8</f>
        <v>Spreader - double spinner; 45 HP MFWD</v>
      </c>
      <c r="C104" s="31" t="s">
        <v>161</v>
      </c>
      <c r="D104" s="49">
        <v>0</v>
      </c>
      <c r="E104" s="37">
        <f>D104*$Q$8</f>
        <v>0</v>
      </c>
      <c r="F104" s="37">
        <f>$M$4*$Q$8*D104</f>
        <v>0</v>
      </c>
      <c r="G104" s="37">
        <f>(E104*$M$18)+(F104*$M$19)+($P$4+$P$8)*$Q$8*D104</f>
        <v>0</v>
      </c>
      <c r="H104" s="37">
        <f>($N$4+$O$4+$N$8+$O$8)*$Q$8*D104</f>
        <v>0</v>
      </c>
      <c r="I104" s="37">
        <f t="shared" si="20"/>
        <v>0</v>
      </c>
    </row>
    <row r="105" spans="2:9" ht="15.95" customHeight="1" x14ac:dyDescent="0.25">
      <c r="B105" s="31" t="str">
        <f>$L$9</f>
        <v>Finish mower, 7 ft.; 45 HP MFWD</v>
      </c>
      <c r="C105" s="31" t="s">
        <v>161</v>
      </c>
      <c r="D105" s="49">
        <v>5</v>
      </c>
      <c r="E105" s="37">
        <f>D105*$Q$9</f>
        <v>1.7349999999999999</v>
      </c>
      <c r="F105" s="37">
        <f>$M$4*$Q$9*D105</f>
        <v>3.4352999999999994</v>
      </c>
      <c r="G105" s="37">
        <f>(E105*$M$18)+(F105*$M$19)+($P$4+$P$9)*$Q$9*D105</f>
        <v>54.55707499999999</v>
      </c>
      <c r="H105" s="37">
        <f>($N$4+$O$4+$N$9+$O$9)*$Q$9*D105</f>
        <v>35.671599999999998</v>
      </c>
      <c r="I105" s="37">
        <f t="shared" si="20"/>
        <v>90.228674999999981</v>
      </c>
    </row>
    <row r="106" spans="2:9" ht="15.95" customHeight="1" x14ac:dyDescent="0.25">
      <c r="B106" s="31" t="str">
        <f>$L$7</f>
        <v>2-man work platform; 45 HP MFWD</v>
      </c>
      <c r="C106" s="31" t="s">
        <v>249</v>
      </c>
      <c r="D106" s="49">
        <v>125</v>
      </c>
      <c r="E106" s="37"/>
      <c r="F106" s="37">
        <f>$M$4*D106*M17</f>
        <v>61.875</v>
      </c>
      <c r="G106" s="37">
        <f>((F106*$M$19)+($P$7+$P$4*$M$17)*D106)</f>
        <v>1052.03125</v>
      </c>
      <c r="H106" s="37">
        <f>(($O$4+$N$4)*$M$17+$O$7+$N$7)*D106</f>
        <v>1464.375</v>
      </c>
      <c r="I106" s="37">
        <f>G106+H106</f>
        <v>2516.40625</v>
      </c>
    </row>
    <row r="107" spans="2:9" ht="15.95" customHeight="1" x14ac:dyDescent="0.25">
      <c r="B107" s="31" t="str">
        <f>$L$10</f>
        <v>Harvest bin trailer; 45 HP MFWD</v>
      </c>
      <c r="C107" s="31" t="s">
        <v>29</v>
      </c>
      <c r="D107" s="49">
        <v>2</v>
      </c>
      <c r="E107" s="37">
        <f>1*D107</f>
        <v>2</v>
      </c>
      <c r="F107" s="37">
        <f>$M$4*D107</f>
        <v>3.96</v>
      </c>
      <c r="G107" s="37">
        <f>((E107*$M$18+F107*$M$19+($P$10+$P$4*$M$17))*D107)</f>
        <v>105.455</v>
      </c>
      <c r="H107" s="37">
        <f>(($O$4+$P$4)*$M$17+$O$10+$P$10)*D107</f>
        <v>20.27</v>
      </c>
      <c r="I107" s="37">
        <f t="shared" ref="I107:I108" si="21">G107+H107</f>
        <v>125.72499999999999</v>
      </c>
    </row>
    <row r="108" spans="2:9" ht="15.95" customHeight="1" x14ac:dyDescent="0.25">
      <c r="B108" s="31" t="str">
        <f>$L$11</f>
        <v>900 CC 4x4 UTV</v>
      </c>
      <c r="C108" s="31" t="s">
        <v>29</v>
      </c>
      <c r="D108" s="49">
        <v>0</v>
      </c>
      <c r="E108" s="37">
        <f>1*D108</f>
        <v>0</v>
      </c>
      <c r="F108" s="37">
        <f>$M$11*D108</f>
        <v>0</v>
      </c>
      <c r="G108" s="37">
        <f>F108*$M$19+E108*$M$18</f>
        <v>0</v>
      </c>
      <c r="H108" s="37">
        <f>($O$11+$N$11)*D108</f>
        <v>0</v>
      </c>
      <c r="I108" s="37">
        <f t="shared" si="21"/>
        <v>0</v>
      </c>
    </row>
    <row r="109" spans="2:9" ht="15.95" customHeight="1" x14ac:dyDescent="0.25">
      <c r="B109" s="31" t="str">
        <f>$L$12</f>
        <v>1-ton 4x4 pickup</v>
      </c>
      <c r="C109" s="31" t="s">
        <v>29</v>
      </c>
      <c r="D109" s="49">
        <v>0</v>
      </c>
      <c r="E109" s="37">
        <f>1*D109</f>
        <v>0</v>
      </c>
      <c r="F109" s="37">
        <f>$M$12*D109</f>
        <v>0</v>
      </c>
      <c r="G109" s="37">
        <f>F109*$M$19+$E109*$M$18</f>
        <v>0</v>
      </c>
      <c r="H109" s="37">
        <f>($O$12+$N$12)*D109</f>
        <v>0</v>
      </c>
      <c r="I109" s="37">
        <f>G109+H109</f>
        <v>0</v>
      </c>
    </row>
    <row r="110" spans="2:9" ht="15.95" customHeight="1" x14ac:dyDescent="0.25">
      <c r="B110" s="36" t="str">
        <f>$L$13</f>
        <v>2-ton flatbed truck</v>
      </c>
      <c r="C110" s="36" t="s">
        <v>29</v>
      </c>
      <c r="D110" s="168">
        <v>0</v>
      </c>
      <c r="E110" s="39">
        <f>1*D110</f>
        <v>0</v>
      </c>
      <c r="F110" s="39">
        <f>$M$13*D110</f>
        <v>0</v>
      </c>
      <c r="G110" s="39">
        <f>F110*$M$19+$E110*$M$18</f>
        <v>0</v>
      </c>
      <c r="H110" s="39">
        <f>($O$13+$N$13)*D110</f>
        <v>0</v>
      </c>
      <c r="I110" s="39">
        <f t="shared" ref="I110" si="22">G110+H110</f>
        <v>0</v>
      </c>
    </row>
    <row r="111" spans="2:9" ht="15.95" customHeight="1" x14ac:dyDescent="0.25">
      <c r="B111" s="40" t="s">
        <v>215</v>
      </c>
      <c r="C111" s="40"/>
      <c r="E111" s="37">
        <f>SUM(E102:E110)</f>
        <v>9.2370000000000001</v>
      </c>
      <c r="F111" s="37">
        <f>SUM(F102:F110)</f>
        <v>80.164259999999999</v>
      </c>
      <c r="G111" s="37">
        <f>SUM(G102:G110)</f>
        <v>1379.4652550000001</v>
      </c>
      <c r="H111" s="37">
        <f>SUM(H102:H110)</f>
        <v>1590.35706</v>
      </c>
      <c r="I111" s="37">
        <f>SUM(I102:I110)</f>
        <v>2969.8223149999999</v>
      </c>
    </row>
    <row r="112" spans="2:9" ht="15.95" customHeight="1" x14ac:dyDescent="0.25">
      <c r="B112" s="40"/>
      <c r="C112" s="40"/>
      <c r="E112" s="37"/>
      <c r="F112" s="37"/>
      <c r="G112" s="37"/>
      <c r="H112" s="37"/>
      <c r="I112" s="37"/>
    </row>
    <row r="113" spans="2:2" ht="15.95" customHeight="1" x14ac:dyDescent="0.25">
      <c r="B113" s="6" t="s">
        <v>120</v>
      </c>
    </row>
    <row r="114" spans="2:2" ht="15.95" customHeight="1" x14ac:dyDescent="0.25">
      <c r="B114" s="6" t="s">
        <v>121</v>
      </c>
    </row>
    <row r="115" spans="2:2" ht="15.95" customHeight="1" x14ac:dyDescent="0.25">
      <c r="B115" s="6" t="s">
        <v>248</v>
      </c>
    </row>
    <row r="116" spans="2:2" ht="16.5" x14ac:dyDescent="0.25">
      <c r="B116" s="6" t="s">
        <v>247</v>
      </c>
    </row>
    <row r="117" spans="2:2" x14ac:dyDescent="0.25"/>
  </sheetData>
  <sheetProtection sheet="1" objects="1" scenarios="1"/>
  <phoneticPr fontId="14" type="noConversion"/>
  <pageMargins left="0.7" right="0.7" top="0.75" bottom="0.75" header="0.3" footer="0.3"/>
  <pageSetup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69B8A-8D75-43A4-AFC0-5838BE9B6F31}">
  <dimension ref="B1:T58"/>
  <sheetViews>
    <sheetView zoomScale="120" zoomScaleNormal="120" workbookViewId="0">
      <selection activeCell="J64" sqref="J64"/>
    </sheetView>
  </sheetViews>
  <sheetFormatPr defaultRowHeight="15" x14ac:dyDescent="0.25"/>
  <cols>
    <col min="1" max="1" width="3.28515625" style="6" customWidth="1"/>
    <col min="2" max="2" width="19.85546875" style="6" customWidth="1"/>
    <col min="3" max="3" width="23.7109375" style="6" customWidth="1"/>
    <col min="4" max="4" width="23.42578125" style="6" customWidth="1"/>
    <col min="5" max="5" width="16.7109375" style="6" customWidth="1"/>
    <col min="6" max="6" width="10.5703125" style="6" customWidth="1"/>
    <col min="7" max="7" width="10.7109375" style="6" customWidth="1"/>
    <col min="8" max="8" width="11.28515625" style="6" customWidth="1"/>
    <col min="9" max="9" width="12.85546875" style="6" customWidth="1"/>
    <col min="10" max="10" width="17.28515625" style="11" customWidth="1"/>
    <col min="11" max="11" width="15.7109375" style="11" customWidth="1"/>
    <col min="12" max="12" width="3.28515625" style="11" customWidth="1"/>
    <col min="13" max="13" width="22.140625" style="6" customWidth="1"/>
    <col min="14" max="14" width="9.5703125" style="6" bestFit="1" customWidth="1"/>
    <col min="15" max="16384" width="9.140625" style="6"/>
  </cols>
  <sheetData>
    <row r="1" spans="2:20" ht="24" x14ac:dyDescent="0.4">
      <c r="B1" s="15" t="s">
        <v>52</v>
      </c>
      <c r="C1" s="15"/>
      <c r="D1" s="15"/>
      <c r="J1" s="6"/>
      <c r="K1" s="6"/>
      <c r="L1" s="6"/>
    </row>
    <row r="2" spans="2:20" x14ac:dyDescent="0.25">
      <c r="B2" s="75" t="s">
        <v>73</v>
      </c>
      <c r="C2" s="75" t="s">
        <v>75</v>
      </c>
      <c r="D2" s="75" t="s">
        <v>106</v>
      </c>
      <c r="E2" s="75" t="s">
        <v>74</v>
      </c>
      <c r="F2" s="75" t="s">
        <v>5</v>
      </c>
      <c r="G2" s="76" t="s">
        <v>10</v>
      </c>
      <c r="H2" s="76" t="s">
        <v>9</v>
      </c>
      <c r="I2" s="76" t="s">
        <v>11</v>
      </c>
      <c r="J2" s="77" t="s">
        <v>182</v>
      </c>
      <c r="K2" s="77" t="s">
        <v>180</v>
      </c>
      <c r="L2" s="9"/>
    </row>
    <row r="3" spans="2:20" x14ac:dyDescent="0.25">
      <c r="E3" s="74" t="s">
        <v>78</v>
      </c>
      <c r="G3" s="74" t="s">
        <v>5</v>
      </c>
      <c r="H3" s="74" t="s">
        <v>24</v>
      </c>
      <c r="I3" s="74" t="s">
        <v>24</v>
      </c>
      <c r="J3" s="16"/>
      <c r="K3" s="6"/>
      <c r="L3" s="6"/>
    </row>
    <row r="4" spans="2:20" x14ac:dyDescent="0.25">
      <c r="B4" s="6" t="s">
        <v>76</v>
      </c>
      <c r="C4" s="6" t="s">
        <v>176</v>
      </c>
      <c r="D4" s="6" t="s">
        <v>102</v>
      </c>
      <c r="E4" s="6" t="s">
        <v>79</v>
      </c>
      <c r="F4" s="6" t="s">
        <v>77</v>
      </c>
      <c r="G4" s="64">
        <v>5</v>
      </c>
      <c r="H4" s="66">
        <v>5.63</v>
      </c>
      <c r="I4" s="9">
        <f t="shared" ref="I4:I29" si="0">G4*H4</f>
        <v>28.15</v>
      </c>
      <c r="J4" s="6">
        <v>1</v>
      </c>
      <c r="K4" s="9" t="s">
        <v>181</v>
      </c>
      <c r="L4" s="6"/>
      <c r="M4" s="6" t="s">
        <v>102</v>
      </c>
      <c r="N4" s="20">
        <f>I4+I5+I7+I10+I12+I14+I16+I20+I22+I23+I24+I25</f>
        <v>333.69600000000003</v>
      </c>
    </row>
    <row r="5" spans="2:20" x14ac:dyDescent="0.25">
      <c r="B5" s="6" t="s">
        <v>80</v>
      </c>
      <c r="C5" s="6" t="s">
        <v>46</v>
      </c>
      <c r="D5" s="6" t="s">
        <v>102</v>
      </c>
      <c r="E5" s="6" t="s">
        <v>81</v>
      </c>
      <c r="F5" s="6" t="s">
        <v>85</v>
      </c>
      <c r="G5" s="64">
        <v>7</v>
      </c>
      <c r="H5" s="66">
        <v>3.4279999999999999</v>
      </c>
      <c r="I5" s="18">
        <f t="shared" si="0"/>
        <v>23.995999999999999</v>
      </c>
      <c r="J5" s="6">
        <v>2</v>
      </c>
      <c r="K5" s="9" t="s">
        <v>181</v>
      </c>
      <c r="L5" s="6"/>
      <c r="M5" s="6" t="s">
        <v>105</v>
      </c>
      <c r="N5" s="20">
        <f>I6+I9</f>
        <v>66.960000000000008</v>
      </c>
    </row>
    <row r="6" spans="2:20" x14ac:dyDescent="0.25">
      <c r="B6" s="6" t="s">
        <v>53</v>
      </c>
      <c r="C6" s="6" t="s">
        <v>157</v>
      </c>
      <c r="D6" s="6" t="s">
        <v>105</v>
      </c>
      <c r="E6" s="6" t="s">
        <v>83</v>
      </c>
      <c r="F6" s="6" t="s">
        <v>85</v>
      </c>
      <c r="G6" s="64">
        <v>36</v>
      </c>
      <c r="H6" s="66">
        <v>0.93</v>
      </c>
      <c r="I6" s="18">
        <f t="shared" si="0"/>
        <v>33.480000000000004</v>
      </c>
      <c r="J6" s="6">
        <v>3</v>
      </c>
      <c r="K6" s="9" t="s">
        <v>181</v>
      </c>
      <c r="L6" s="6"/>
      <c r="M6" s="6" t="s">
        <v>103</v>
      </c>
      <c r="N6" s="20">
        <f>I8+I11</f>
        <v>150</v>
      </c>
    </row>
    <row r="7" spans="2:20" x14ac:dyDescent="0.25">
      <c r="B7" s="6" t="s">
        <v>53</v>
      </c>
      <c r="C7" s="6" t="s">
        <v>55</v>
      </c>
      <c r="D7" s="6" t="s">
        <v>102</v>
      </c>
      <c r="E7" s="6" t="s">
        <v>84</v>
      </c>
      <c r="F7" s="6" t="s">
        <v>85</v>
      </c>
      <c r="G7" s="64">
        <v>2</v>
      </c>
      <c r="H7" s="66">
        <v>8.6</v>
      </c>
      <c r="I7" s="18">
        <f t="shared" si="0"/>
        <v>17.2</v>
      </c>
      <c r="J7" s="6">
        <v>3</v>
      </c>
      <c r="K7" s="9" t="s">
        <v>181</v>
      </c>
      <c r="L7" s="6"/>
      <c r="M7" s="6" t="s">
        <v>104</v>
      </c>
      <c r="N7" s="20">
        <f>I13+I15+I17+I18+I19+I21</f>
        <v>232.5</v>
      </c>
    </row>
    <row r="8" spans="2:20" x14ac:dyDescent="0.25">
      <c r="B8" s="6" t="s">
        <v>53</v>
      </c>
      <c r="C8" s="6" t="s">
        <v>54</v>
      </c>
      <c r="D8" s="6" t="s">
        <v>103</v>
      </c>
      <c r="E8" s="6" t="s">
        <v>82</v>
      </c>
      <c r="F8" s="6" t="s">
        <v>85</v>
      </c>
      <c r="G8" s="64">
        <v>20</v>
      </c>
      <c r="H8" s="66">
        <v>3.75</v>
      </c>
      <c r="I8" s="18">
        <f t="shared" si="0"/>
        <v>75</v>
      </c>
      <c r="J8" s="6">
        <v>3</v>
      </c>
      <c r="K8" s="9" t="s">
        <v>181</v>
      </c>
      <c r="L8" s="10"/>
      <c r="M8" s="6" t="s">
        <v>173</v>
      </c>
      <c r="N8" s="24">
        <f>I26+I27+I28+I29</f>
        <v>202.5</v>
      </c>
      <c r="R8" s="11"/>
    </row>
    <row r="9" spans="2:20" x14ac:dyDescent="0.25">
      <c r="B9" s="6" t="s">
        <v>56</v>
      </c>
      <c r="C9" s="6" t="s">
        <v>157</v>
      </c>
      <c r="D9" s="6" t="s">
        <v>105</v>
      </c>
      <c r="E9" s="6" t="s">
        <v>83</v>
      </c>
      <c r="F9" s="6" t="s">
        <v>85</v>
      </c>
      <c r="G9" s="64">
        <v>36</v>
      </c>
      <c r="H9" s="66">
        <v>0.93</v>
      </c>
      <c r="I9" s="18">
        <f t="shared" si="0"/>
        <v>33.480000000000004</v>
      </c>
      <c r="J9" s="6">
        <v>4</v>
      </c>
      <c r="K9" s="9" t="s">
        <v>181</v>
      </c>
      <c r="L9" s="6"/>
      <c r="N9" s="20">
        <f>SUM(N4:N8)</f>
        <v>985.65600000000006</v>
      </c>
      <c r="R9" s="11"/>
    </row>
    <row r="10" spans="2:20" x14ac:dyDescent="0.25">
      <c r="B10" s="6" t="s">
        <v>56</v>
      </c>
      <c r="C10" s="6" t="s">
        <v>55</v>
      </c>
      <c r="D10" s="6" t="s">
        <v>102</v>
      </c>
      <c r="E10" s="6" t="s">
        <v>84</v>
      </c>
      <c r="F10" s="6" t="s">
        <v>85</v>
      </c>
      <c r="G10" s="64">
        <v>2</v>
      </c>
      <c r="H10" s="66">
        <v>8.6</v>
      </c>
      <c r="I10" s="18">
        <f t="shared" si="0"/>
        <v>17.2</v>
      </c>
      <c r="J10" s="6">
        <v>4</v>
      </c>
      <c r="K10" s="9" t="s">
        <v>181</v>
      </c>
      <c r="L10" s="6"/>
      <c r="R10" s="11"/>
    </row>
    <row r="11" spans="2:20" x14ac:dyDescent="0.25">
      <c r="B11" s="6" t="s">
        <v>56</v>
      </c>
      <c r="C11" s="6" t="s">
        <v>54</v>
      </c>
      <c r="D11" s="6" t="s">
        <v>103</v>
      </c>
      <c r="E11" s="6" t="s">
        <v>82</v>
      </c>
      <c r="F11" s="6" t="s">
        <v>85</v>
      </c>
      <c r="G11" s="64">
        <v>20</v>
      </c>
      <c r="H11" s="66">
        <v>3.75</v>
      </c>
      <c r="I11" s="18">
        <f t="shared" si="0"/>
        <v>75</v>
      </c>
      <c r="J11" s="6">
        <v>4</v>
      </c>
      <c r="K11" s="9" t="s">
        <v>181</v>
      </c>
      <c r="L11" s="6"/>
      <c r="R11" s="11"/>
      <c r="T11" s="17"/>
    </row>
    <row r="12" spans="2:20" x14ac:dyDescent="0.25">
      <c r="B12" s="6" t="s">
        <v>86</v>
      </c>
      <c r="C12" s="6" t="s">
        <v>156</v>
      </c>
      <c r="D12" s="6" t="s">
        <v>102</v>
      </c>
      <c r="E12" s="6" t="s">
        <v>87</v>
      </c>
      <c r="F12" s="6" t="s">
        <v>88</v>
      </c>
      <c r="G12" s="64">
        <v>4.8</v>
      </c>
      <c r="H12" s="66">
        <v>8</v>
      </c>
      <c r="I12" s="18">
        <f t="shared" si="0"/>
        <v>38.4</v>
      </c>
      <c r="J12" s="6">
        <v>5</v>
      </c>
      <c r="K12" s="9" t="s">
        <v>181</v>
      </c>
      <c r="L12" s="6"/>
      <c r="R12" s="11"/>
      <c r="T12" s="17"/>
    </row>
    <row r="13" spans="2:20" x14ac:dyDescent="0.25">
      <c r="B13" s="6" t="s">
        <v>86</v>
      </c>
      <c r="C13" s="6" t="s">
        <v>47</v>
      </c>
      <c r="D13" s="6" t="s">
        <v>104</v>
      </c>
      <c r="E13" s="6" t="s">
        <v>81</v>
      </c>
      <c r="F13" s="6" t="s">
        <v>85</v>
      </c>
      <c r="G13" s="64">
        <v>8</v>
      </c>
      <c r="H13" s="66">
        <v>2.5</v>
      </c>
      <c r="I13" s="18">
        <f t="shared" si="0"/>
        <v>20</v>
      </c>
      <c r="J13" s="6">
        <v>5</v>
      </c>
      <c r="K13" s="9" t="s">
        <v>181</v>
      </c>
      <c r="L13" s="10"/>
      <c r="R13" s="11"/>
      <c r="T13" s="17"/>
    </row>
    <row r="14" spans="2:20" x14ac:dyDescent="0.25">
      <c r="B14" s="6" t="s">
        <v>57</v>
      </c>
      <c r="C14" s="6" t="s">
        <v>156</v>
      </c>
      <c r="D14" s="6" t="s">
        <v>102</v>
      </c>
      <c r="E14" s="6" t="s">
        <v>87</v>
      </c>
      <c r="F14" s="6" t="s">
        <v>88</v>
      </c>
      <c r="G14" s="64">
        <v>4.8</v>
      </c>
      <c r="H14" s="66">
        <v>8</v>
      </c>
      <c r="I14" s="18">
        <f t="shared" si="0"/>
        <v>38.4</v>
      </c>
      <c r="J14" s="6">
        <v>6</v>
      </c>
      <c r="K14" s="9" t="s">
        <v>181</v>
      </c>
      <c r="L14" s="6"/>
      <c r="R14" s="11"/>
    </row>
    <row r="15" spans="2:20" x14ac:dyDescent="0.25">
      <c r="B15" s="6" t="s">
        <v>57</v>
      </c>
      <c r="C15" s="6" t="s">
        <v>48</v>
      </c>
      <c r="D15" s="6" t="s">
        <v>104</v>
      </c>
      <c r="E15" s="6" t="s">
        <v>89</v>
      </c>
      <c r="F15" s="6" t="s">
        <v>4</v>
      </c>
      <c r="G15" s="64">
        <v>4</v>
      </c>
      <c r="H15" s="66">
        <v>15.6</v>
      </c>
      <c r="I15" s="18">
        <f t="shared" si="0"/>
        <v>62.4</v>
      </c>
      <c r="J15" s="6">
        <v>6</v>
      </c>
      <c r="K15" s="9" t="s">
        <v>181</v>
      </c>
      <c r="L15" s="6"/>
      <c r="R15" s="11"/>
    </row>
    <row r="16" spans="2:20" x14ac:dyDescent="0.25">
      <c r="B16" s="6" t="s">
        <v>58</v>
      </c>
      <c r="C16" s="6" t="s">
        <v>156</v>
      </c>
      <c r="D16" s="6" t="s">
        <v>102</v>
      </c>
      <c r="E16" s="6" t="s">
        <v>87</v>
      </c>
      <c r="F16" s="6" t="s">
        <v>88</v>
      </c>
      <c r="G16" s="64">
        <v>4.8</v>
      </c>
      <c r="H16" s="66">
        <v>8</v>
      </c>
      <c r="I16" s="18">
        <f t="shared" si="0"/>
        <v>38.4</v>
      </c>
      <c r="J16" s="6">
        <v>7</v>
      </c>
      <c r="K16" s="9" t="s">
        <v>181</v>
      </c>
      <c r="L16" s="6"/>
      <c r="R16" s="11"/>
    </row>
    <row r="17" spans="2:18" x14ac:dyDescent="0.25">
      <c r="B17" s="6" t="s">
        <v>58</v>
      </c>
      <c r="C17" s="6" t="s">
        <v>47</v>
      </c>
      <c r="D17" s="6" t="s">
        <v>104</v>
      </c>
      <c r="E17" s="6" t="s">
        <v>81</v>
      </c>
      <c r="F17" s="6" t="s">
        <v>85</v>
      </c>
      <c r="G17" s="64">
        <v>8</v>
      </c>
      <c r="H17" s="66">
        <v>2.5</v>
      </c>
      <c r="I17" s="18">
        <f t="shared" si="0"/>
        <v>20</v>
      </c>
      <c r="J17" s="6">
        <v>7</v>
      </c>
      <c r="K17" s="9" t="s">
        <v>181</v>
      </c>
      <c r="L17" s="6"/>
      <c r="R17" s="11"/>
    </row>
    <row r="18" spans="2:18" x14ac:dyDescent="0.25">
      <c r="B18" s="6" t="s">
        <v>59</v>
      </c>
      <c r="C18" s="6" t="s">
        <v>48</v>
      </c>
      <c r="D18" s="6" t="s">
        <v>104</v>
      </c>
      <c r="E18" s="6" t="s">
        <v>89</v>
      </c>
      <c r="F18" s="6" t="s">
        <v>4</v>
      </c>
      <c r="G18" s="64">
        <v>4</v>
      </c>
      <c r="H18" s="66">
        <v>15.6</v>
      </c>
      <c r="I18" s="18">
        <f t="shared" si="0"/>
        <v>62.4</v>
      </c>
      <c r="J18" s="6">
        <v>8</v>
      </c>
      <c r="K18" s="9" t="s">
        <v>181</v>
      </c>
      <c r="L18" s="6"/>
    </row>
    <row r="19" spans="2:18" x14ac:dyDescent="0.25">
      <c r="B19" s="6" t="s">
        <v>59</v>
      </c>
      <c r="C19" s="6" t="s">
        <v>49</v>
      </c>
      <c r="D19" s="6" t="s">
        <v>104</v>
      </c>
      <c r="E19" s="6" t="s">
        <v>90</v>
      </c>
      <c r="F19" s="6" t="s">
        <v>85</v>
      </c>
      <c r="G19" s="64">
        <v>6</v>
      </c>
      <c r="H19" s="66">
        <v>7.95</v>
      </c>
      <c r="I19" s="18">
        <f t="shared" si="0"/>
        <v>47.7</v>
      </c>
      <c r="J19" s="6">
        <v>8</v>
      </c>
      <c r="K19" s="9" t="s">
        <v>181</v>
      </c>
      <c r="L19" s="6"/>
    </row>
    <row r="20" spans="2:18" x14ac:dyDescent="0.25">
      <c r="B20" s="6" t="s">
        <v>60</v>
      </c>
      <c r="C20" s="6" t="s">
        <v>178</v>
      </c>
      <c r="D20" s="6" t="s">
        <v>102</v>
      </c>
      <c r="E20" s="6" t="s">
        <v>177</v>
      </c>
      <c r="F20" s="6" t="s">
        <v>4</v>
      </c>
      <c r="G20" s="64">
        <v>5</v>
      </c>
      <c r="H20" s="66">
        <v>4.25</v>
      </c>
      <c r="I20" s="18">
        <f t="shared" si="0"/>
        <v>21.25</v>
      </c>
      <c r="J20" s="6">
        <v>9</v>
      </c>
      <c r="K20" s="9" t="s">
        <v>181</v>
      </c>
      <c r="L20" s="6"/>
    </row>
    <row r="21" spans="2:18" x14ac:dyDescent="0.25">
      <c r="B21" s="6" t="s">
        <v>60</v>
      </c>
      <c r="C21" s="6" t="s">
        <v>47</v>
      </c>
      <c r="D21" s="6" t="s">
        <v>104</v>
      </c>
      <c r="E21" s="6" t="s">
        <v>81</v>
      </c>
      <c r="F21" s="6" t="s">
        <v>85</v>
      </c>
      <c r="G21" s="64">
        <v>8</v>
      </c>
      <c r="H21" s="66">
        <v>2.5</v>
      </c>
      <c r="I21" s="18">
        <f t="shared" si="0"/>
        <v>20</v>
      </c>
      <c r="J21" s="6">
        <v>9</v>
      </c>
      <c r="K21" s="9" t="s">
        <v>181</v>
      </c>
      <c r="L21" s="6"/>
    </row>
    <row r="22" spans="2:18" x14ac:dyDescent="0.25">
      <c r="B22" s="6" t="s">
        <v>91</v>
      </c>
      <c r="C22" s="6" t="s">
        <v>61</v>
      </c>
      <c r="D22" s="6" t="s">
        <v>102</v>
      </c>
      <c r="E22" s="6" t="s">
        <v>179</v>
      </c>
      <c r="F22" s="6" t="s">
        <v>4</v>
      </c>
      <c r="G22" s="64">
        <v>1</v>
      </c>
      <c r="H22" s="66">
        <v>10.95</v>
      </c>
      <c r="I22" s="18">
        <f t="shared" si="0"/>
        <v>10.95</v>
      </c>
      <c r="J22" s="6">
        <v>10</v>
      </c>
      <c r="K22" s="9" t="s">
        <v>181</v>
      </c>
      <c r="L22" s="6"/>
    </row>
    <row r="23" spans="2:18" x14ac:dyDescent="0.25">
      <c r="B23" s="6" t="s">
        <v>91</v>
      </c>
      <c r="C23" s="6" t="s">
        <v>178</v>
      </c>
      <c r="D23" s="6" t="s">
        <v>102</v>
      </c>
      <c r="E23" s="6" t="s">
        <v>177</v>
      </c>
      <c r="F23" s="6" t="s">
        <v>4</v>
      </c>
      <c r="G23" s="64">
        <v>5</v>
      </c>
      <c r="H23" s="66">
        <v>4.25</v>
      </c>
      <c r="I23" s="18">
        <f t="shared" si="0"/>
        <v>21.25</v>
      </c>
      <c r="J23" s="6">
        <v>10</v>
      </c>
      <c r="K23" s="9" t="s">
        <v>181</v>
      </c>
      <c r="L23" s="6"/>
    </row>
    <row r="24" spans="2:18" x14ac:dyDescent="0.25">
      <c r="B24" s="6" t="s">
        <v>62</v>
      </c>
      <c r="C24" s="6" t="s">
        <v>50</v>
      </c>
      <c r="D24" s="6" t="s">
        <v>102</v>
      </c>
      <c r="E24" s="6" t="s">
        <v>92</v>
      </c>
      <c r="F24" s="6" t="s">
        <v>85</v>
      </c>
      <c r="G24" s="64">
        <v>5</v>
      </c>
      <c r="H24" s="66">
        <v>7.5</v>
      </c>
      <c r="I24" s="18">
        <f t="shared" si="0"/>
        <v>37.5</v>
      </c>
      <c r="J24" s="6">
        <v>11</v>
      </c>
      <c r="K24" s="9" t="s">
        <v>181</v>
      </c>
      <c r="L24" s="6"/>
    </row>
    <row r="25" spans="2:18" x14ac:dyDescent="0.25">
      <c r="B25" s="6" t="s">
        <v>63</v>
      </c>
      <c r="C25" s="6" t="s">
        <v>51</v>
      </c>
      <c r="D25" s="6" t="s">
        <v>102</v>
      </c>
      <c r="E25" s="6" t="s">
        <v>93</v>
      </c>
      <c r="F25" s="6" t="s">
        <v>85</v>
      </c>
      <c r="G25" s="64">
        <v>5</v>
      </c>
      <c r="H25" s="66">
        <v>8.1999999999999993</v>
      </c>
      <c r="I25" s="18">
        <f t="shared" si="0"/>
        <v>41</v>
      </c>
      <c r="J25" s="26">
        <v>12</v>
      </c>
      <c r="K25" s="9" t="s">
        <v>181</v>
      </c>
      <c r="L25" s="6"/>
    </row>
    <row r="26" spans="2:18" x14ac:dyDescent="0.25">
      <c r="B26" s="6" t="s">
        <v>183</v>
      </c>
      <c r="C26" s="6" t="s">
        <v>186</v>
      </c>
      <c r="D26" s="6" t="s">
        <v>173</v>
      </c>
      <c r="E26" s="6" t="s">
        <v>188</v>
      </c>
      <c r="F26" s="6" t="s">
        <v>4</v>
      </c>
      <c r="G26" s="64">
        <v>3</v>
      </c>
      <c r="H26" s="66">
        <v>55</v>
      </c>
      <c r="I26" s="18">
        <f t="shared" si="0"/>
        <v>165</v>
      </c>
      <c r="J26" s="26">
        <v>1</v>
      </c>
      <c r="K26" s="9" t="s">
        <v>189</v>
      </c>
      <c r="L26" s="6"/>
    </row>
    <row r="27" spans="2:18" x14ac:dyDescent="0.25">
      <c r="B27" s="6" t="s">
        <v>183</v>
      </c>
      <c r="C27" s="6" t="s">
        <v>187</v>
      </c>
      <c r="D27" s="6" t="s">
        <v>173</v>
      </c>
      <c r="E27" s="6" t="s">
        <v>190</v>
      </c>
      <c r="F27" s="6" t="s">
        <v>77</v>
      </c>
      <c r="G27" s="64">
        <v>2</v>
      </c>
      <c r="H27" s="66">
        <v>6.25</v>
      </c>
      <c r="I27" s="18">
        <f t="shared" si="0"/>
        <v>12.5</v>
      </c>
      <c r="J27" s="26">
        <v>1</v>
      </c>
      <c r="K27" s="9" t="s">
        <v>189</v>
      </c>
      <c r="L27" s="6"/>
    </row>
    <row r="28" spans="2:18" x14ac:dyDescent="0.25">
      <c r="B28" s="6" t="s">
        <v>184</v>
      </c>
      <c r="C28" s="6" t="s">
        <v>187</v>
      </c>
      <c r="D28" s="6" t="s">
        <v>173</v>
      </c>
      <c r="E28" s="6" t="s">
        <v>190</v>
      </c>
      <c r="F28" s="6" t="s">
        <v>77</v>
      </c>
      <c r="G28" s="64">
        <v>2</v>
      </c>
      <c r="H28" s="66">
        <v>6.25</v>
      </c>
      <c r="I28" s="18">
        <f t="shared" si="0"/>
        <v>12.5</v>
      </c>
      <c r="J28" s="26">
        <v>2</v>
      </c>
      <c r="K28" s="9" t="s">
        <v>189</v>
      </c>
      <c r="L28" s="6"/>
    </row>
    <row r="29" spans="2:18" x14ac:dyDescent="0.25">
      <c r="B29" s="6" t="s">
        <v>185</v>
      </c>
      <c r="C29" s="6" t="s">
        <v>187</v>
      </c>
      <c r="D29" s="6" t="s">
        <v>173</v>
      </c>
      <c r="E29" s="6" t="s">
        <v>190</v>
      </c>
      <c r="F29" s="6" t="s">
        <v>77</v>
      </c>
      <c r="G29" s="67">
        <v>2</v>
      </c>
      <c r="H29" s="68">
        <v>6.25</v>
      </c>
      <c r="I29" s="19">
        <f t="shared" si="0"/>
        <v>12.5</v>
      </c>
      <c r="J29" s="25">
        <v>3</v>
      </c>
      <c r="K29" s="9" t="s">
        <v>189</v>
      </c>
      <c r="L29" s="6"/>
    </row>
    <row r="30" spans="2:18" x14ac:dyDescent="0.25">
      <c r="H30" s="21" t="s">
        <v>11</v>
      </c>
      <c r="I30" s="22">
        <f>SUM(I4:I29)</f>
        <v>985.65600000000006</v>
      </c>
      <c r="J30" s="23"/>
      <c r="K30" s="6"/>
      <c r="L30" s="6"/>
    </row>
    <row r="31" spans="2:18" x14ac:dyDescent="0.25">
      <c r="H31" s="14"/>
      <c r="J31" s="6"/>
      <c r="K31" s="6"/>
      <c r="L31" s="6"/>
    </row>
    <row r="32" spans="2:18" ht="24" x14ac:dyDescent="0.4">
      <c r="B32" s="15" t="s">
        <v>64</v>
      </c>
      <c r="H32" s="14"/>
      <c r="J32" s="6"/>
      <c r="K32" s="6"/>
      <c r="L32" s="6"/>
    </row>
    <row r="33" spans="2:14" x14ac:dyDescent="0.25">
      <c r="B33" s="75" t="s">
        <v>73</v>
      </c>
      <c r="C33" s="75" t="s">
        <v>75</v>
      </c>
      <c r="D33" s="75" t="s">
        <v>106</v>
      </c>
      <c r="E33" s="75" t="s">
        <v>74</v>
      </c>
      <c r="F33" s="75" t="s">
        <v>5</v>
      </c>
      <c r="G33" s="76" t="s">
        <v>10</v>
      </c>
      <c r="H33" s="76" t="s">
        <v>9</v>
      </c>
      <c r="I33" s="76" t="s">
        <v>11</v>
      </c>
      <c r="J33" s="77" t="s">
        <v>182</v>
      </c>
      <c r="K33" s="77" t="s">
        <v>180</v>
      </c>
      <c r="L33" s="6"/>
    </row>
    <row r="34" spans="2:14" x14ac:dyDescent="0.25">
      <c r="C34" s="12"/>
      <c r="D34" s="12"/>
      <c r="E34" s="16" t="s">
        <v>78</v>
      </c>
      <c r="G34" s="16" t="s">
        <v>5</v>
      </c>
      <c r="H34" s="16" t="s">
        <v>24</v>
      </c>
      <c r="I34" s="16" t="s">
        <v>24</v>
      </c>
      <c r="J34" s="13"/>
      <c r="K34" s="6"/>
      <c r="L34" s="6"/>
    </row>
    <row r="35" spans="2:14" x14ac:dyDescent="0.25">
      <c r="B35" s="6" t="s">
        <v>76</v>
      </c>
      <c r="C35" s="6" t="s">
        <v>176</v>
      </c>
      <c r="D35" s="6" t="s">
        <v>102</v>
      </c>
      <c r="E35" s="6" t="s">
        <v>79</v>
      </c>
      <c r="F35" s="6" t="s">
        <v>77</v>
      </c>
      <c r="G35" s="64">
        <v>5</v>
      </c>
      <c r="H35" s="66">
        <v>5.63</v>
      </c>
      <c r="I35" s="9">
        <f t="shared" ref="I35:I47" si="1">G35*H35</f>
        <v>28.15</v>
      </c>
      <c r="J35" s="6">
        <v>1</v>
      </c>
      <c r="K35" s="9" t="s">
        <v>181</v>
      </c>
      <c r="L35" s="6"/>
      <c r="M35" s="6" t="s">
        <v>102</v>
      </c>
      <c r="N35" s="20">
        <f>I35+I36+I38+I39+I41+I42</f>
        <v>156.54999999999998</v>
      </c>
    </row>
    <row r="36" spans="2:14" x14ac:dyDescent="0.25">
      <c r="B36" s="6" t="s">
        <v>94</v>
      </c>
      <c r="C36" s="6" t="s">
        <v>55</v>
      </c>
      <c r="D36" s="6" t="s">
        <v>102</v>
      </c>
      <c r="E36" s="6" t="s">
        <v>84</v>
      </c>
      <c r="F36" s="6" t="s">
        <v>85</v>
      </c>
      <c r="G36" s="64">
        <v>2</v>
      </c>
      <c r="H36" s="66">
        <v>8.6</v>
      </c>
      <c r="I36" s="18">
        <f t="shared" si="1"/>
        <v>17.2</v>
      </c>
      <c r="J36" s="6">
        <v>2</v>
      </c>
      <c r="K36" s="9" t="s">
        <v>181</v>
      </c>
      <c r="L36" s="6"/>
      <c r="M36" s="6" t="s">
        <v>103</v>
      </c>
      <c r="N36" s="20">
        <f>I37+I40+I43</f>
        <v>225</v>
      </c>
    </row>
    <row r="37" spans="2:14" x14ac:dyDescent="0.25">
      <c r="B37" s="6" t="s">
        <v>94</v>
      </c>
      <c r="C37" s="6" t="s">
        <v>54</v>
      </c>
      <c r="D37" s="6" t="s">
        <v>103</v>
      </c>
      <c r="E37" s="6" t="s">
        <v>82</v>
      </c>
      <c r="F37" s="6" t="s">
        <v>85</v>
      </c>
      <c r="G37" s="64">
        <v>20</v>
      </c>
      <c r="H37" s="64">
        <v>3.75</v>
      </c>
      <c r="I37" s="18">
        <f t="shared" si="1"/>
        <v>75</v>
      </c>
      <c r="J37" s="6">
        <v>2</v>
      </c>
      <c r="K37" s="9" t="s">
        <v>181</v>
      </c>
      <c r="L37" s="6"/>
      <c r="M37" s="6" t="s">
        <v>173</v>
      </c>
      <c r="N37" s="24">
        <f>I44+I45+I46+I47</f>
        <v>202.5</v>
      </c>
    </row>
    <row r="38" spans="2:14" x14ac:dyDescent="0.25">
      <c r="B38" s="6" t="s">
        <v>95</v>
      </c>
      <c r="C38" s="6" t="s">
        <v>156</v>
      </c>
      <c r="D38" s="6" t="s">
        <v>102</v>
      </c>
      <c r="E38" s="6" t="s">
        <v>87</v>
      </c>
      <c r="F38" s="6" t="s">
        <v>88</v>
      </c>
      <c r="G38" s="64">
        <v>4.8</v>
      </c>
      <c r="H38" s="66">
        <v>8</v>
      </c>
      <c r="I38" s="18">
        <f t="shared" si="1"/>
        <v>38.4</v>
      </c>
      <c r="J38" s="6">
        <v>3</v>
      </c>
      <c r="K38" s="9" t="s">
        <v>181</v>
      </c>
      <c r="L38" s="6"/>
      <c r="N38" s="20">
        <f>SUM(N35:N37)</f>
        <v>584.04999999999995</v>
      </c>
    </row>
    <row r="39" spans="2:14" x14ac:dyDescent="0.25">
      <c r="B39" s="6" t="s">
        <v>96</v>
      </c>
      <c r="C39" s="6" t="s">
        <v>55</v>
      </c>
      <c r="D39" s="6" t="s">
        <v>102</v>
      </c>
      <c r="E39" s="6" t="s">
        <v>84</v>
      </c>
      <c r="F39" s="6" t="s">
        <v>85</v>
      </c>
      <c r="G39" s="64">
        <v>2</v>
      </c>
      <c r="H39" s="64">
        <v>8.6</v>
      </c>
      <c r="I39" s="18">
        <f t="shared" si="1"/>
        <v>17.2</v>
      </c>
      <c r="J39" s="6">
        <v>4</v>
      </c>
      <c r="K39" s="9" t="s">
        <v>181</v>
      </c>
      <c r="L39" s="6"/>
    </row>
    <row r="40" spans="2:14" x14ac:dyDescent="0.25">
      <c r="B40" s="6" t="s">
        <v>96</v>
      </c>
      <c r="C40" s="6" t="s">
        <v>54</v>
      </c>
      <c r="D40" s="6" t="s">
        <v>103</v>
      </c>
      <c r="E40" s="6" t="s">
        <v>82</v>
      </c>
      <c r="F40" s="6" t="s">
        <v>85</v>
      </c>
      <c r="G40" s="64">
        <v>20</v>
      </c>
      <c r="H40" s="64">
        <v>3.75</v>
      </c>
      <c r="I40" s="18">
        <f t="shared" si="1"/>
        <v>75</v>
      </c>
      <c r="J40" s="6">
        <v>4</v>
      </c>
      <c r="K40" s="9" t="s">
        <v>181</v>
      </c>
      <c r="L40" s="6"/>
    </row>
    <row r="41" spans="2:14" x14ac:dyDescent="0.25">
      <c r="B41" s="6" t="s">
        <v>97</v>
      </c>
      <c r="C41" s="6" t="s">
        <v>156</v>
      </c>
      <c r="D41" s="6" t="s">
        <v>102</v>
      </c>
      <c r="E41" s="6" t="s">
        <v>87</v>
      </c>
      <c r="F41" s="6" t="s">
        <v>88</v>
      </c>
      <c r="G41" s="64">
        <v>4.8</v>
      </c>
      <c r="H41" s="66">
        <v>8</v>
      </c>
      <c r="I41" s="18">
        <f t="shared" si="1"/>
        <v>38.4</v>
      </c>
      <c r="J41" s="6">
        <v>5</v>
      </c>
      <c r="K41" s="9" t="s">
        <v>181</v>
      </c>
      <c r="L41" s="6"/>
    </row>
    <row r="42" spans="2:14" x14ac:dyDescent="0.25">
      <c r="B42" s="6" t="s">
        <v>98</v>
      </c>
      <c r="C42" s="6" t="s">
        <v>55</v>
      </c>
      <c r="D42" s="6" t="s">
        <v>102</v>
      </c>
      <c r="E42" s="6" t="s">
        <v>84</v>
      </c>
      <c r="F42" s="6" t="s">
        <v>85</v>
      </c>
      <c r="G42" s="64">
        <v>2</v>
      </c>
      <c r="H42" s="64">
        <v>8.6</v>
      </c>
      <c r="I42" s="18">
        <f t="shared" si="1"/>
        <v>17.2</v>
      </c>
      <c r="J42" s="6">
        <v>6</v>
      </c>
      <c r="K42" s="9" t="s">
        <v>181</v>
      </c>
      <c r="L42" s="6"/>
    </row>
    <row r="43" spans="2:14" x14ac:dyDescent="0.25">
      <c r="B43" s="6" t="s">
        <v>98</v>
      </c>
      <c r="C43" s="6" t="s">
        <v>54</v>
      </c>
      <c r="D43" s="6" t="s">
        <v>103</v>
      </c>
      <c r="E43" s="6" t="s">
        <v>82</v>
      </c>
      <c r="F43" s="6" t="s">
        <v>85</v>
      </c>
      <c r="G43" s="64">
        <v>20</v>
      </c>
      <c r="H43" s="64">
        <v>3.75</v>
      </c>
      <c r="I43" s="18">
        <f t="shared" si="1"/>
        <v>75</v>
      </c>
      <c r="J43" s="6">
        <v>6</v>
      </c>
      <c r="K43" s="9" t="s">
        <v>181</v>
      </c>
      <c r="L43" s="6"/>
    </row>
    <row r="44" spans="2:14" x14ac:dyDescent="0.25">
      <c r="B44" s="6" t="s">
        <v>183</v>
      </c>
      <c r="C44" s="6" t="s">
        <v>186</v>
      </c>
      <c r="D44" s="6" t="s">
        <v>173</v>
      </c>
      <c r="E44" s="6" t="s">
        <v>188</v>
      </c>
      <c r="F44" s="6" t="s">
        <v>4</v>
      </c>
      <c r="G44" s="64">
        <v>3</v>
      </c>
      <c r="H44" s="66">
        <v>55</v>
      </c>
      <c r="I44" s="18">
        <f t="shared" si="1"/>
        <v>165</v>
      </c>
      <c r="J44" s="26">
        <v>1</v>
      </c>
      <c r="K44" s="9" t="s">
        <v>189</v>
      </c>
      <c r="L44" s="6"/>
    </row>
    <row r="45" spans="2:14" x14ac:dyDescent="0.25">
      <c r="B45" s="6" t="s">
        <v>183</v>
      </c>
      <c r="C45" s="6" t="s">
        <v>187</v>
      </c>
      <c r="D45" s="6" t="s">
        <v>173</v>
      </c>
      <c r="E45" s="6" t="s">
        <v>190</v>
      </c>
      <c r="F45" s="6" t="s">
        <v>77</v>
      </c>
      <c r="G45" s="64">
        <v>2</v>
      </c>
      <c r="H45" s="66">
        <v>6.25</v>
      </c>
      <c r="I45" s="18">
        <f t="shared" si="1"/>
        <v>12.5</v>
      </c>
      <c r="J45" s="26">
        <v>1</v>
      </c>
      <c r="K45" s="9" t="s">
        <v>189</v>
      </c>
      <c r="L45" s="6"/>
    </row>
    <row r="46" spans="2:14" x14ac:dyDescent="0.25">
      <c r="B46" s="6" t="s">
        <v>184</v>
      </c>
      <c r="C46" s="6" t="s">
        <v>187</v>
      </c>
      <c r="D46" s="6" t="s">
        <v>173</v>
      </c>
      <c r="E46" s="6" t="s">
        <v>190</v>
      </c>
      <c r="F46" s="6" t="s">
        <v>77</v>
      </c>
      <c r="G46" s="64">
        <v>2</v>
      </c>
      <c r="H46" s="66">
        <v>6.25</v>
      </c>
      <c r="I46" s="18">
        <f t="shared" si="1"/>
        <v>12.5</v>
      </c>
      <c r="J46" s="26">
        <v>2</v>
      </c>
      <c r="K46" s="9" t="s">
        <v>189</v>
      </c>
      <c r="L46" s="6"/>
    </row>
    <row r="47" spans="2:14" x14ac:dyDescent="0.25">
      <c r="B47" s="6" t="s">
        <v>185</v>
      </c>
      <c r="C47" s="6" t="s">
        <v>187</v>
      </c>
      <c r="D47" s="6" t="s">
        <v>173</v>
      </c>
      <c r="E47" s="6" t="s">
        <v>190</v>
      </c>
      <c r="F47" s="6" t="s">
        <v>77</v>
      </c>
      <c r="G47" s="67">
        <v>2</v>
      </c>
      <c r="H47" s="68">
        <v>6.25</v>
      </c>
      <c r="I47" s="19">
        <f t="shared" si="1"/>
        <v>12.5</v>
      </c>
      <c r="J47" s="25">
        <v>3</v>
      </c>
      <c r="K47" s="9" t="s">
        <v>189</v>
      </c>
      <c r="L47" s="6"/>
    </row>
    <row r="48" spans="2:14" x14ac:dyDescent="0.25">
      <c r="H48" s="21" t="s">
        <v>11</v>
      </c>
      <c r="I48" s="22">
        <f>SUM(I34:I47)</f>
        <v>584.04999999999995</v>
      </c>
      <c r="J48" s="23"/>
      <c r="K48" s="6"/>
      <c r="L48" s="6"/>
    </row>
    <row r="49" spans="2:14" x14ac:dyDescent="0.25">
      <c r="G49" s="9"/>
      <c r="H49" s="14"/>
      <c r="J49" s="6"/>
      <c r="K49" s="6"/>
      <c r="L49" s="6"/>
    </row>
    <row r="50" spans="2:14" x14ac:dyDescent="0.25">
      <c r="H50" s="11"/>
      <c r="K50" s="6"/>
      <c r="L50" s="6"/>
    </row>
    <row r="51" spans="2:14" ht="24" x14ac:dyDescent="0.4">
      <c r="B51" s="15" t="s">
        <v>191</v>
      </c>
      <c r="H51" s="14"/>
      <c r="J51" s="6"/>
      <c r="K51" s="6"/>
      <c r="L51" s="6"/>
    </row>
    <row r="52" spans="2:14" x14ac:dyDescent="0.25">
      <c r="B52" s="75" t="s">
        <v>73</v>
      </c>
      <c r="C52" s="75" t="s">
        <v>75</v>
      </c>
      <c r="D52" s="75" t="s">
        <v>106</v>
      </c>
      <c r="E52" s="75" t="s">
        <v>74</v>
      </c>
      <c r="F52" s="75" t="s">
        <v>5</v>
      </c>
      <c r="G52" s="76" t="s">
        <v>10</v>
      </c>
      <c r="H52" s="76" t="s">
        <v>9</v>
      </c>
      <c r="I52" s="76" t="s">
        <v>11</v>
      </c>
      <c r="J52" s="77" t="s">
        <v>182</v>
      </c>
      <c r="K52" s="77" t="s">
        <v>180</v>
      </c>
      <c r="L52" s="6"/>
    </row>
    <row r="53" spans="2:14" x14ac:dyDescent="0.25">
      <c r="C53" s="12"/>
      <c r="D53" s="12"/>
      <c r="E53" s="16" t="s">
        <v>78</v>
      </c>
      <c r="G53" s="16" t="s">
        <v>5</v>
      </c>
      <c r="H53" s="16" t="s">
        <v>24</v>
      </c>
      <c r="I53" s="16" t="s">
        <v>24</v>
      </c>
      <c r="J53" s="13"/>
      <c r="K53" s="6"/>
      <c r="L53" s="6"/>
    </row>
    <row r="54" spans="2:14" x14ac:dyDescent="0.25">
      <c r="B54" s="6" t="s">
        <v>184</v>
      </c>
      <c r="C54" s="6" t="s">
        <v>196</v>
      </c>
      <c r="D54" s="6" t="s">
        <v>173</v>
      </c>
      <c r="E54" s="6" t="s">
        <v>195</v>
      </c>
      <c r="F54" s="6" t="s">
        <v>85</v>
      </c>
      <c r="G54" s="64">
        <v>11</v>
      </c>
      <c r="H54" s="66">
        <v>0.3</v>
      </c>
      <c r="I54" s="18">
        <f t="shared" ref="I54:I55" si="2">G54*H54</f>
        <v>3.3</v>
      </c>
      <c r="J54" s="6">
        <v>1</v>
      </c>
      <c r="K54" s="9" t="s">
        <v>189</v>
      </c>
      <c r="L54" s="6"/>
      <c r="M54" s="6" t="s">
        <v>173</v>
      </c>
      <c r="N54" s="20">
        <f>SUM(I54:I55)</f>
        <v>6.6</v>
      </c>
    </row>
    <row r="55" spans="2:14" x14ac:dyDescent="0.25">
      <c r="B55" s="6" t="s">
        <v>185</v>
      </c>
      <c r="C55" s="6" t="s">
        <v>196</v>
      </c>
      <c r="D55" s="6" t="s">
        <v>173</v>
      </c>
      <c r="E55" s="6" t="s">
        <v>195</v>
      </c>
      <c r="F55" s="6" t="s">
        <v>85</v>
      </c>
      <c r="G55" s="67">
        <v>11</v>
      </c>
      <c r="H55" s="68">
        <v>0.3</v>
      </c>
      <c r="I55" s="19">
        <f t="shared" si="2"/>
        <v>3.3</v>
      </c>
      <c r="J55" s="7">
        <v>2</v>
      </c>
      <c r="K55" s="9" t="s">
        <v>189</v>
      </c>
      <c r="L55" s="6"/>
      <c r="M55" s="8"/>
    </row>
    <row r="56" spans="2:14" x14ac:dyDescent="0.25">
      <c r="H56" s="21" t="s">
        <v>11</v>
      </c>
      <c r="I56" s="22">
        <f>SUM(I54:I55)</f>
        <v>6.6</v>
      </c>
      <c r="K56" s="6"/>
      <c r="L56" s="6"/>
    </row>
    <row r="57" spans="2:14" x14ac:dyDescent="0.25">
      <c r="K57" s="6"/>
      <c r="L57" s="6"/>
    </row>
    <row r="58" spans="2:14" x14ac:dyDescent="0.25">
      <c r="K58" s="6"/>
      <c r="L58" s="6"/>
    </row>
  </sheetData>
  <sortState xmlns:xlrd2="http://schemas.microsoft.com/office/spreadsheetml/2017/richdata2" ref="B35:J43">
    <sortCondition ref="J35:J43"/>
    <sortCondition ref="C35:C43"/>
  </sortState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3CE36-AB36-4E55-8B16-EB2A6E230567}">
  <dimension ref="A1:K22"/>
  <sheetViews>
    <sheetView zoomScaleNormal="100" workbookViewId="0">
      <selection activeCell="K17" sqref="K17"/>
    </sheetView>
  </sheetViews>
  <sheetFormatPr defaultColWidth="0" defaultRowHeight="15" zeroHeight="1" x14ac:dyDescent="0.25"/>
  <cols>
    <col min="1" max="1" width="8.28515625" style="6" customWidth="1"/>
    <col min="2" max="2" width="5.7109375" style="6" customWidth="1"/>
    <col min="3" max="3" width="16.5703125" style="6" customWidth="1"/>
    <col min="4" max="10" width="9.7109375" style="6" customWidth="1"/>
    <col min="11" max="11" width="8.28515625" style="6" customWidth="1"/>
    <col min="12" max="16384" width="9.140625" style="6" hidden="1"/>
  </cols>
  <sheetData>
    <row r="1" spans="2:10" ht="15.75" thickBot="1" x14ac:dyDescent="0.3">
      <c r="B1" s="6" t="s">
        <v>244</v>
      </c>
    </row>
    <row r="2" spans="2:10" ht="18.75" customHeight="1" x14ac:dyDescent="0.3">
      <c r="B2" s="28"/>
      <c r="C2" s="29"/>
      <c r="D2" s="182" t="s">
        <v>203</v>
      </c>
      <c r="E2" s="183"/>
      <c r="F2" s="183"/>
      <c r="G2" s="183"/>
      <c r="H2" s="183"/>
      <c r="I2" s="183"/>
      <c r="J2" s="184"/>
    </row>
    <row r="3" spans="2:10" ht="20.25" customHeight="1" x14ac:dyDescent="0.25">
      <c r="B3" s="30"/>
      <c r="C3" s="27"/>
      <c r="D3" s="57">
        <f>G3-300</f>
        <v>700</v>
      </c>
      <c r="E3" s="57">
        <f>G3-200</f>
        <v>800</v>
      </c>
      <c r="F3" s="57">
        <f>G3-100</f>
        <v>900</v>
      </c>
      <c r="G3" s="57">
        <v>1000</v>
      </c>
      <c r="H3" s="57">
        <f>G3+100</f>
        <v>1100</v>
      </c>
      <c r="I3" s="57">
        <f>G3+200</f>
        <v>1200</v>
      </c>
      <c r="J3" s="58">
        <f>G3+300</f>
        <v>1300</v>
      </c>
    </row>
    <row r="4" spans="2:10" ht="20.25" customHeight="1" x14ac:dyDescent="0.25">
      <c r="B4" s="189" t="s">
        <v>122</v>
      </c>
      <c r="C4" s="59">
        <f>C7+7.5</f>
        <v>30</v>
      </c>
      <c r="D4" s="134">
        <f>((C4*$D$3)+Budget!$T$6)-Budget!$T$67</f>
        <v>6206.7524967047611</v>
      </c>
      <c r="E4" s="134">
        <f>((C4*$E$3)+Budget!$T$6)-Budget!$T$67</f>
        <v>9206.7524967047611</v>
      </c>
      <c r="F4" s="134">
        <f>((C4*$F$3)+Budget!$T$6)-Budget!$T$67</f>
        <v>12206.752496704761</v>
      </c>
      <c r="G4" s="134">
        <f>((C4*$G$3)+Budget!$T$6)-Budget!$T$67</f>
        <v>15206.752496704761</v>
      </c>
      <c r="H4" s="134">
        <f>((C4*$H$3)+Budget!$T$6)-Budget!$T$67</f>
        <v>18206.752496704761</v>
      </c>
      <c r="I4" s="134">
        <f>((C4*$I$3)+Budget!$T$6)-Budget!$T$67</f>
        <v>21206.752496704761</v>
      </c>
      <c r="J4" s="164">
        <f>((C4*$J$3)+Budget!$T$6)-Budget!$T$67</f>
        <v>24206.752496704761</v>
      </c>
    </row>
    <row r="5" spans="2:10" ht="20.25" customHeight="1" x14ac:dyDescent="0.25">
      <c r="B5" s="189"/>
      <c r="C5" s="59">
        <f>C7+5</f>
        <v>27.5</v>
      </c>
      <c r="D5" s="134">
        <f>((C5*$D$3)+Budget!$T$6)-Budget!$T$67</f>
        <v>4456.7524967047611</v>
      </c>
      <c r="E5" s="134">
        <f>((C5*$E$3)+Budget!$T$6)-Budget!$T$67</f>
        <v>7206.7524967047611</v>
      </c>
      <c r="F5" s="134">
        <f>((C5*$F$3)+Budget!$T$6)-Budget!$T$67</f>
        <v>9956.7524967047611</v>
      </c>
      <c r="G5" s="134">
        <f>((C5*$G$3)+Budget!$T$6)-Budget!$T$67</f>
        <v>12706.752496704761</v>
      </c>
      <c r="H5" s="134">
        <f>((C5*$H$3)+Budget!$T$6)-Budget!$T$67</f>
        <v>15456.752496704761</v>
      </c>
      <c r="I5" s="134">
        <f>((C5*$I$3)+Budget!$T$6)-Budget!$T$67</f>
        <v>18206.752496704761</v>
      </c>
      <c r="J5" s="164">
        <f>((C5*$J$3)+Budget!$T$6)-Budget!$T$67</f>
        <v>20956.752496704761</v>
      </c>
    </row>
    <row r="6" spans="2:10" ht="20.25" customHeight="1" x14ac:dyDescent="0.25">
      <c r="B6" s="189"/>
      <c r="C6" s="59">
        <f>C7+2.5</f>
        <v>25</v>
      </c>
      <c r="D6" s="134">
        <f>((C6*$D$3)+Budget!$T$6)-Budget!$T$67</f>
        <v>2706.7524967047611</v>
      </c>
      <c r="E6" s="134">
        <f>((C6*$E$3)+Budget!$T$6)-Budget!$T$67</f>
        <v>5206.7524967047611</v>
      </c>
      <c r="F6" s="134">
        <f>((C6*$F$3)+Budget!$T$6)-Budget!$T$67</f>
        <v>7706.7524967047611</v>
      </c>
      <c r="G6" s="134">
        <f>((C6*$G$3)+Budget!$T$6)-Budget!$T$67</f>
        <v>10206.752496704761</v>
      </c>
      <c r="H6" s="134">
        <f>((C6*$H$3)+Budget!$T$6)-Budget!$T$67</f>
        <v>12706.752496704761</v>
      </c>
      <c r="I6" s="134">
        <f>((C6*$I$3)+Budget!$T$6)-Budget!$T$67</f>
        <v>15206.752496704761</v>
      </c>
      <c r="J6" s="164">
        <f>((C6*$J$3)+Budget!$T$6)-Budget!$T$67</f>
        <v>17706.752496704761</v>
      </c>
    </row>
    <row r="7" spans="2:10" ht="20.25" customHeight="1" x14ac:dyDescent="0.25">
      <c r="B7" s="189"/>
      <c r="C7" s="59">
        <v>22.5</v>
      </c>
      <c r="D7" s="134">
        <f>((C7*$D$3)+Budget!$T$6)-Budget!$T$67</f>
        <v>956.75249670476114</v>
      </c>
      <c r="E7" s="134">
        <f>((C7*$E$3)+Budget!$T$6)-Budget!$T$67</f>
        <v>3206.7524967047611</v>
      </c>
      <c r="F7" s="134">
        <f>((C7*$F$3)+Budget!$T$6)-Budget!$T$67</f>
        <v>5456.7524967047611</v>
      </c>
      <c r="G7" s="134">
        <f>((C7*$G$3)+Budget!$T$6)-Budget!$T$67</f>
        <v>7706.7524967047611</v>
      </c>
      <c r="H7" s="134">
        <f>((C7*$H$3)+Budget!$T$6)-Budget!$T$67</f>
        <v>9956.7524967047611</v>
      </c>
      <c r="I7" s="134">
        <f>((C7*$I$3)+Budget!$T$6)-Budget!$T$67</f>
        <v>12206.752496704761</v>
      </c>
      <c r="J7" s="164">
        <f>((C7*$J$3)+Budget!$T$6)-Budget!$T$67</f>
        <v>14456.752496704761</v>
      </c>
    </row>
    <row r="8" spans="2:10" ht="20.25" customHeight="1" x14ac:dyDescent="0.25">
      <c r="B8" s="189"/>
      <c r="C8" s="59">
        <f>C7-2.5</f>
        <v>20</v>
      </c>
      <c r="D8" s="134">
        <f>((C8*$D$3)+Budget!$T$6)-Budget!$T$67</f>
        <v>-793.24750329523886</v>
      </c>
      <c r="E8" s="134">
        <f>((C8*$E$3)+Budget!$T$6)-Budget!$T$67</f>
        <v>1206.7524967047611</v>
      </c>
      <c r="F8" s="134">
        <f>((C8*$F$3)+Budget!$T$6)-Budget!$T$67</f>
        <v>3206.7524967047611</v>
      </c>
      <c r="G8" s="134">
        <f>((C8*$G$3)+Budget!$T$6)-Budget!$T$67</f>
        <v>5206.7524967047611</v>
      </c>
      <c r="H8" s="134">
        <f>((C8*$H$3)+Budget!$T$6)-Budget!$T$67</f>
        <v>7206.7524967047611</v>
      </c>
      <c r="I8" s="134">
        <f>((C8*$I$3)+Budget!$T$6)-Budget!$T$67</f>
        <v>9206.7524967047611</v>
      </c>
      <c r="J8" s="164">
        <f>((C8*$J$3)+Budget!$T$6)-Budget!$T$67</f>
        <v>11206.752496704761</v>
      </c>
    </row>
    <row r="9" spans="2:10" ht="20.25" customHeight="1" x14ac:dyDescent="0.25">
      <c r="B9" s="189"/>
      <c r="C9" s="59">
        <f>C7-5</f>
        <v>17.5</v>
      </c>
      <c r="D9" s="134">
        <f>((C9*$D$3)+Budget!$T$6)-Budget!$T$67</f>
        <v>-2543.2475032952389</v>
      </c>
      <c r="E9" s="134">
        <f>((C9*$E$3)+Budget!$T$6)-Budget!$T$67</f>
        <v>-793.24750329523886</v>
      </c>
      <c r="F9" s="134">
        <f>((C9*$F$3)+Budget!$T$6)-Budget!$T$67</f>
        <v>956.75249670476114</v>
      </c>
      <c r="G9" s="134">
        <f>((C9*$G$3)+Budget!$T$6)-Budget!$T$67</f>
        <v>2706.7524967047611</v>
      </c>
      <c r="H9" s="134">
        <f>((C9*$H$3)+Budget!$T$6)-Budget!$T$67</f>
        <v>4456.7524967047611</v>
      </c>
      <c r="I9" s="134">
        <f>((C9*$I$3)+Budget!$T$6)-Budget!$T$67</f>
        <v>6206.7524967047611</v>
      </c>
      <c r="J9" s="164">
        <f>((C9*$J$3)+Budget!$T$6)-Budget!$T$67</f>
        <v>7956.7524967047611</v>
      </c>
    </row>
    <row r="10" spans="2:10" ht="20.25" customHeight="1" thickBot="1" x14ac:dyDescent="0.3">
      <c r="B10" s="190"/>
      <c r="C10" s="60">
        <f>C7-7.5</f>
        <v>15</v>
      </c>
      <c r="D10" s="165">
        <f>((C10*$D$3)+Budget!$T$6)-Budget!$T$67</f>
        <v>-4293.2475032952389</v>
      </c>
      <c r="E10" s="165">
        <f>((C10*$E$3)+Budget!$T$6)-Budget!$T$67</f>
        <v>-2793.2475032952389</v>
      </c>
      <c r="F10" s="165">
        <f>((C10*$F$3)+Budget!$T$6)-Budget!$T$67</f>
        <v>-1293.2475032952389</v>
      </c>
      <c r="G10" s="165">
        <f>((C10*$G$3)+Budget!$T$6)-Budget!$T$67</f>
        <v>206.75249670476114</v>
      </c>
      <c r="H10" s="165">
        <f>((C10*$H$3)+Budget!$T$6)-Budget!$T$67</f>
        <v>1706.7524967047611</v>
      </c>
      <c r="I10" s="165">
        <f>((C10*$I$3)+Budget!$T$6)-Budget!$T$67</f>
        <v>3206.7524967047611</v>
      </c>
      <c r="J10" s="166">
        <f>((C10*$J$3)+Budget!$T$6)-Budget!$T$67</f>
        <v>4706.7524967047611</v>
      </c>
    </row>
    <row r="11" spans="2:10" x14ac:dyDescent="0.25"/>
    <row r="12" spans="2:10" ht="15.75" thickBot="1" x14ac:dyDescent="0.3">
      <c r="B12" s="6" t="s">
        <v>245</v>
      </c>
    </row>
    <row r="13" spans="2:10" ht="18.75" x14ac:dyDescent="0.3">
      <c r="B13" s="28"/>
      <c r="C13" s="28"/>
      <c r="D13" s="182" t="s">
        <v>237</v>
      </c>
      <c r="E13" s="183"/>
      <c r="F13" s="183"/>
      <c r="G13" s="183"/>
      <c r="H13" s="183"/>
      <c r="I13" s="183"/>
      <c r="J13" s="184"/>
    </row>
    <row r="14" spans="2:10" ht="16.5" customHeight="1" x14ac:dyDescent="0.25">
      <c r="B14" s="30"/>
      <c r="C14" s="71"/>
      <c r="D14" s="69" t="s">
        <v>243</v>
      </c>
      <c r="E14" s="69" t="s">
        <v>242</v>
      </c>
      <c r="F14" s="69" t="s">
        <v>241</v>
      </c>
      <c r="G14" s="69" t="s">
        <v>236</v>
      </c>
      <c r="H14" s="69" t="s">
        <v>238</v>
      </c>
      <c r="I14" s="69" t="s">
        <v>239</v>
      </c>
      <c r="J14" s="70" t="s">
        <v>240</v>
      </c>
    </row>
    <row r="15" spans="2:10" ht="20.25" customHeight="1" x14ac:dyDescent="0.25">
      <c r="B15" s="191" t="s">
        <v>12</v>
      </c>
      <c r="C15" s="72" t="s">
        <v>240</v>
      </c>
      <c r="D15" s="134">
        <f>(Budget!$T$7+(Budget!$T$7*0.15))-(Budget!$T$57-(Budget!$T$57*0.15))-Budget!$T$65</f>
        <v>12587.815302484763</v>
      </c>
      <c r="E15" s="134">
        <f>(Budget!$T$7+(Budget!$T$7*0.1))-(Budget!$T$57-(Budget!$T$57*0.15))-Budget!$T$65</f>
        <v>11462.815302484763</v>
      </c>
      <c r="F15" s="134">
        <f>(Budget!$T$7+(Budget!$T$7*0.05))-(Budget!$T$57-(Budget!$T$57*0.15))-Budget!$T$65</f>
        <v>10337.815302484763</v>
      </c>
      <c r="G15" s="134">
        <f>Budget!$T$7-(Budget!$T$57-(Budget!$T$57*0.15))-Budget!$T$65</f>
        <v>9212.8153024847634</v>
      </c>
      <c r="H15" s="134">
        <f>(Budget!$T$7-(Budget!$T$7*0.05))-(Budget!$T$57-(Budget!$T$57*0.15))-Budget!$T$65</f>
        <v>8087.8153024847625</v>
      </c>
      <c r="I15" s="134">
        <f>(Budget!$T$7-(Budget!$T$7*0.1))-(Budget!$T$57-(Budget!$T$57*0.15))-Budget!$T$65</f>
        <v>6962.8153024847625</v>
      </c>
      <c r="J15" s="164">
        <f>(Budget!$T$7-(Budget!$T$7*0.15))-(Budget!$T$57-(Budget!$T$57*0.15))-Budget!$T$65</f>
        <v>5837.8153024847625</v>
      </c>
    </row>
    <row r="16" spans="2:10" ht="20.25" customHeight="1" x14ac:dyDescent="0.25">
      <c r="B16" s="191"/>
      <c r="C16" s="72" t="s">
        <v>239</v>
      </c>
      <c r="D16" s="134">
        <f>(Budget!$T$7+(Budget!$T$7*0.15))-(Budget!$T$57-(Budget!$T$57*0.1))-Budget!$T$65</f>
        <v>12085.794367224764</v>
      </c>
      <c r="E16" s="134">
        <f>(Budget!$T$7+(Budget!$T$7*0.1))-(Budget!$T$57-(Budget!$T$57*0.1))-Budget!$T$65</f>
        <v>10960.794367224764</v>
      </c>
      <c r="F16" s="134">
        <f>(Budget!$T$7+(Budget!$T$7*0.05))-(Budget!$T$57-(Budget!$T$57*0.1))-Budget!$T$65</f>
        <v>9835.7943672247638</v>
      </c>
      <c r="G16" s="134">
        <f>Budget!$T$7-(Budget!$T$57-(Budget!$T$57*0.1))-Budget!$T$65</f>
        <v>8710.7943672247638</v>
      </c>
      <c r="H16" s="134">
        <f>(Budget!$T$7-(Budget!$T$7*0.05))-(Budget!$T$57-(Budget!$T$57*0.1))-Budget!$T$65</f>
        <v>7585.7943672247629</v>
      </c>
      <c r="I16" s="134">
        <f>(Budget!$T$7-(Budget!$T$7*0.1))-(Budget!$T$57-(Budget!$T$57*0.1))-Budget!$T$65</f>
        <v>6460.7943672247629</v>
      </c>
      <c r="J16" s="164">
        <f>(Budget!$T$7-(Budget!$T$7*0.15))-(Budget!$T$57-(Budget!$T$57*0.1))-Budget!$T$65</f>
        <v>5335.7943672247629</v>
      </c>
    </row>
    <row r="17" spans="2:10" ht="20.25" customHeight="1" x14ac:dyDescent="0.25">
      <c r="B17" s="191"/>
      <c r="C17" s="72" t="s">
        <v>238</v>
      </c>
      <c r="D17" s="134">
        <f>(Budget!$T$7+(Budget!$T$7*0.15))-(Budget!$T$57-(Budget!$T$57*0.05))-Budget!$T$65</f>
        <v>11583.773431964761</v>
      </c>
      <c r="E17" s="134">
        <f>(Budget!$T$7+(Budget!$T$7*0.1))-(Budget!$T$57-(Budget!$T$57*0.05))-Budget!$T$65</f>
        <v>10458.773431964761</v>
      </c>
      <c r="F17" s="134">
        <f>(Budget!$T$7+(Budget!$T$7*0.05))-(Budget!$T$57-(Budget!$T$57*0.05))-Budget!$T$65</f>
        <v>9333.7734319647607</v>
      </c>
      <c r="G17" s="134">
        <f>Budget!$T$7-(Budget!$T$57-(Budget!$T$57*0.05))-Budget!$T$65</f>
        <v>8208.7734319647607</v>
      </c>
      <c r="H17" s="134">
        <f>(Budget!$T$7-(Budget!$T$7*0.05))-(Budget!$T$57-(Budget!$T$57*0.05))-Budget!$T$65</f>
        <v>7083.7734319647616</v>
      </c>
      <c r="I17" s="134">
        <f>(Budget!$T$7-(Budget!$T$7*0.1))-(Budget!$T$57-(Budget!$T$57*0.05))-Budget!$T$65</f>
        <v>5958.7734319647616</v>
      </c>
      <c r="J17" s="164">
        <f>(Budget!$T$7-(Budget!$T$7*0.15))-(Budget!$T$57-(Budget!$T$57*0.05))-Budget!$T$65</f>
        <v>4833.7734319647616</v>
      </c>
    </row>
    <row r="18" spans="2:10" ht="20.25" customHeight="1" x14ac:dyDescent="0.25">
      <c r="B18" s="191"/>
      <c r="C18" s="72" t="s">
        <v>236</v>
      </c>
      <c r="D18" s="134">
        <f>(Budget!$T$7+(Budget!$T$7*0.15))-Budget!$T$57-Budget!$T$65</f>
        <v>11081.752496704761</v>
      </c>
      <c r="E18" s="134">
        <f>(Budget!$T$7+(Budget!$T$7*0.1))-Budget!$T$57-Budget!$T$65</f>
        <v>9956.7524967047611</v>
      </c>
      <c r="F18" s="134">
        <f>(Budget!$T$7+(Budget!$T$7*0.05))-Budget!$T$57-Budget!$T$65</f>
        <v>8831.7524967047611</v>
      </c>
      <c r="G18" s="134">
        <f>Budget!$T$7-Budget!$T$57-Budget!$T$65</f>
        <v>7706.7524967047621</v>
      </c>
      <c r="H18" s="134">
        <f>(Budget!$T$7-(Budget!$T$7*0.05))-Budget!$T$57-Budget!$T$65</f>
        <v>6581.7524967047621</v>
      </c>
      <c r="I18" s="134">
        <f>(Budget!$T$7-(Budget!$T$7*0.1))-Budget!$T$57-Budget!$T$65</f>
        <v>5456.7524967047621</v>
      </c>
      <c r="J18" s="164">
        <f>(Budget!$T$7-(Budget!$T$7*0.15))-Budget!$T$57-Budget!$T$65</f>
        <v>4331.7524967047621</v>
      </c>
    </row>
    <row r="19" spans="2:10" ht="20.25" customHeight="1" x14ac:dyDescent="0.25">
      <c r="B19" s="191"/>
      <c r="C19" s="72" t="s">
        <v>241</v>
      </c>
      <c r="D19" s="134">
        <f>(Budget!$T$7+(Budget!$T$7*0.15))-(Budget!$T$57+(Budget!$T$57*0.05))-Budget!$T$65</f>
        <v>10579.731561444762</v>
      </c>
      <c r="E19" s="134">
        <f>(Budget!$T$7+(Budget!$T$7*0.1))-(Budget!$T$57+(Budget!$T$57*0.05))-Budget!$T$65</f>
        <v>9454.7315614447616</v>
      </c>
      <c r="F19" s="134">
        <f>(Budget!$T$7+(Budget!$T$7*0.05))-(Budget!$T$57+(Budget!$T$57*0.05))-Budget!$T$65</f>
        <v>8329.7315614447616</v>
      </c>
      <c r="G19" s="134">
        <f>Budget!$T$7-(Budget!$T$57+(Budget!$T$57*0.05))-Budget!$T$65</f>
        <v>7204.7315614447625</v>
      </c>
      <c r="H19" s="134">
        <f>(Budget!$T$7-(Budget!$T$7*0.05))-(Budget!$T$57+(Budget!$T$57*0.05))-Budget!$T$65</f>
        <v>6079.7315614447625</v>
      </c>
      <c r="I19" s="134">
        <f>(Budget!$T$7-(Budget!$T$7*0.1))-(Budget!$T$57+(Budget!$T$57*0.05))-Budget!$T$65</f>
        <v>4954.7315614447625</v>
      </c>
      <c r="J19" s="164">
        <f>(Budget!$T$7-(Budget!$T$7*0.15))-(Budget!$T$57+(Budget!$T$57*0.05))-Budget!$T$65</f>
        <v>3829.7315614447625</v>
      </c>
    </row>
    <row r="20" spans="2:10" ht="20.25" customHeight="1" x14ac:dyDescent="0.25">
      <c r="B20" s="191"/>
      <c r="C20" s="72" t="s">
        <v>242</v>
      </c>
      <c r="D20" s="134">
        <f>(Budget!$T$7+(Budget!$T$7*0.15))-(Budget!$T$57+(Budget!$T$57*0.1))-Budget!$T$65</f>
        <v>10077.710626184762</v>
      </c>
      <c r="E20" s="134">
        <f>(Budget!$T$7+(Budget!$T$7*0.1))-(Budget!$T$57+(Budget!$T$57*0.1))-Budget!$T$65</f>
        <v>8952.7106261847621</v>
      </c>
      <c r="F20" s="134">
        <f>(Budget!$T$7+(Budget!$T$7*0.05))-(Budget!$T$57+(Budget!$T$57*0.1))-Budget!$T$65</f>
        <v>7827.7106261847612</v>
      </c>
      <c r="G20" s="134">
        <f>Budget!$T$7-(Budget!$T$57+(Budget!$T$57*0.1))-Budget!$T$65</f>
        <v>6702.7106261847612</v>
      </c>
      <c r="H20" s="134">
        <f>(Budget!$T$7-(Budget!$T$7*0.05))-(Budget!$T$57+(Budget!$T$57*0.1))-Budget!$T$65</f>
        <v>5577.7106261847612</v>
      </c>
      <c r="I20" s="134">
        <f>(Budget!$T$7-(Budget!$T$7*0.1))-(Budget!$T$57+(Budget!$T$57*0.1))-Budget!$T$65</f>
        <v>4452.7106261847612</v>
      </c>
      <c r="J20" s="164">
        <f>(Budget!$T$7-(Budget!$T$7*0.15))-(Budget!$T$57+(Budget!$T$57*0.1))-Budget!$T$65</f>
        <v>3327.7106261847612</v>
      </c>
    </row>
    <row r="21" spans="2:10" ht="20.25" customHeight="1" thickBot="1" x14ac:dyDescent="0.3">
      <c r="B21" s="192"/>
      <c r="C21" s="73" t="s">
        <v>243</v>
      </c>
      <c r="D21" s="165">
        <f>(Budget!$T$7+(Budget!$T$7*0.15))-(Budget!$T$57+(Budget!$T$57*0.15))-Budget!$T$65</f>
        <v>9575.6896909247625</v>
      </c>
      <c r="E21" s="165">
        <f>(Budget!$T$7+(Budget!$T$7*0.1))-(Budget!$T$57+(Budget!$T$57*0.15))-Budget!$T$65</f>
        <v>8450.6896909247625</v>
      </c>
      <c r="F21" s="165">
        <f>(Budget!$T$7+(Budget!$T$7*0.05))-(Budget!$T$57+(Budget!$T$57*0.15))-Budget!$T$65</f>
        <v>7325.6896909247616</v>
      </c>
      <c r="G21" s="165">
        <f>Budget!$T$7-(Budget!$T$57+(Budget!$T$57*0.15))-Budget!$T$65</f>
        <v>6200.6896909247616</v>
      </c>
      <c r="H21" s="165">
        <f>(Budget!$T$7-(Budget!$T$7*0.05))-(Budget!$T$57+(Budget!$T$57*0.15))-Budget!$T$65</f>
        <v>5075.6896909247616</v>
      </c>
      <c r="I21" s="165">
        <f>(Budget!$T$7-(Budget!$T$7*0.1))-(Budget!$T$57+(Budget!$T$57*0.15))-Budget!$T$65</f>
        <v>3950.6896909247616</v>
      </c>
      <c r="J21" s="166">
        <f>(Budget!$T$7-(Budget!$T$7*0.15))-(Budget!$T$57+(Budget!$T$57*0.15))-Budget!$T$65</f>
        <v>2825.6896909247616</v>
      </c>
    </row>
    <row r="22" spans="2:10" x14ac:dyDescent="0.25"/>
  </sheetData>
  <sheetProtection sheet="1" objects="1" scenarios="1"/>
  <mergeCells count="4">
    <mergeCell ref="B4:B10"/>
    <mergeCell ref="D2:J2"/>
    <mergeCell ref="D13:J13"/>
    <mergeCell ref="B15:B21"/>
  </mergeCells>
  <pageMargins left="0.7" right="0.7" top="0.75" bottom="0.75" header="0.3" footer="0.3"/>
  <pageSetup orientation="landscape" r:id="rId1"/>
  <ignoredErrors>
    <ignoredError sqref="G1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72BA2EC307A4F840456AFB3F4BF30" ma:contentTypeVersion="15" ma:contentTypeDescription="Create a new document." ma:contentTypeScope="" ma:versionID="e7135de11d12d073d7a6ede4b04666d3">
  <xsd:schema xmlns:xsd="http://www.w3.org/2001/XMLSchema" xmlns:xs="http://www.w3.org/2001/XMLSchema" xmlns:p="http://schemas.microsoft.com/office/2006/metadata/properties" xmlns:ns2="afeaba0f-363c-487a-9eab-504fb0ae0068" xmlns:ns3="3cf54786-5cbe-4eed-9d82-be7bae57988e" targetNamespace="http://schemas.microsoft.com/office/2006/metadata/properties" ma:root="true" ma:fieldsID="153500833204045ca796943900e2c449" ns2:_="" ns3:_="">
    <xsd:import namespace="afeaba0f-363c-487a-9eab-504fb0ae0068"/>
    <xsd:import namespace="3cf54786-5cbe-4eed-9d82-be7bae5798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aba0f-363c-487a-9eab-504fb0ae00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54786-5cbe-4eed-9d82-be7bae5798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560828-92f4-433d-b2dd-f0bd0e5db71c}" ma:internalName="TaxCatchAll" ma:showField="CatchAllData" ma:web="3cf54786-5cbe-4eed-9d82-be7bae5798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eaba0f-363c-487a-9eab-504fb0ae0068">
      <Terms xmlns="http://schemas.microsoft.com/office/infopath/2007/PartnerControls"/>
    </lcf76f155ced4ddcb4097134ff3c332f>
    <TaxCatchAll xmlns="3cf54786-5cbe-4eed-9d82-be7bae57988e" xsi:nil="true"/>
  </documentManagement>
</p:properties>
</file>

<file path=customXml/itemProps1.xml><?xml version="1.0" encoding="utf-8"?>
<ds:datastoreItem xmlns:ds="http://schemas.openxmlformats.org/officeDocument/2006/customXml" ds:itemID="{C0C3DAA6-F35D-418A-BF5D-81D2F3DE9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eaba0f-363c-487a-9eab-504fb0ae0068"/>
    <ds:schemaRef ds:uri="3cf54786-5cbe-4eed-9d82-be7bae5798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57C851-86B8-404D-A8A0-A3CD98272C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27933A-5C06-404D-89C3-209A2897772E}">
  <ds:schemaRefs>
    <ds:schemaRef ds:uri="http://www.w3.org/XML/1998/namespace"/>
    <ds:schemaRef ds:uri="afeaba0f-363c-487a-9eab-504fb0ae0068"/>
    <ds:schemaRef ds:uri="http://purl.org/dc/dcmitype/"/>
    <ds:schemaRef ds:uri="http://schemas.microsoft.com/office/infopath/2007/PartnerControls"/>
    <ds:schemaRef ds:uri="3cf54786-5cbe-4eed-9d82-be7bae57988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Introduction</vt:lpstr>
      <vt:lpstr>Budget</vt:lpstr>
      <vt:lpstr>Investments</vt:lpstr>
      <vt:lpstr>Machinery</vt:lpstr>
      <vt:lpstr>Chemicals</vt:lpstr>
      <vt:lpstr>Sensitivity</vt:lpstr>
      <vt:lpstr>Investments!Print_Area</vt:lpstr>
      <vt:lpstr>Machinery!Print_Area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Milhollin, Ryan</dc:creator>
  <cp:lastModifiedBy>Stokes, Victoria</cp:lastModifiedBy>
  <cp:lastPrinted>2025-06-06T19:15:59Z</cp:lastPrinted>
  <dcterms:created xsi:type="dcterms:W3CDTF">2020-07-30T17:48:44Z</dcterms:created>
  <dcterms:modified xsi:type="dcterms:W3CDTF">2025-06-16T14:41:47Z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0x010100CE272BA2EC307A4F840456AFB3F4BF30</vt:lpwstr>
  </property>
  <property fmtid="{D5CDD505-2E9C-101B-9397-08002B2CF9AE}" pid="3" name="MediaServiceImageTags">
    <vt:lpwstr/>
  </property>
</Properties>
</file>