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mailmissouri-my.sharepoint.com/personal/salmonsm_umsystem_edu/Documents/Documents/Andrew K/"/>
    </mc:Choice>
  </mc:AlternateContent>
  <xr:revisionPtr revIDLastSave="285" documentId="8_{41BEC62F-4C0C-46DA-A23D-FF21B17B5FCE}" xr6:coauthVersionLast="47" xr6:coauthVersionMax="47" xr10:uidLastSave="{46665A6C-8E54-4EA2-A5DC-64DC6EB853D3}"/>
  <bookViews>
    <workbookView xWindow="9855" yWindow="3000" windowWidth="23625" windowHeight="13575" xr2:uid="{00000000-000D-0000-FFFF-FFFF00000000}"/>
  </bookViews>
  <sheets>
    <sheet name="Introduction" sheetId="6" r:id="rId1"/>
    <sheet name="General assumptions" sheetId="7" r:id="rId2"/>
    <sheet name="Fence and water system details" sheetId="8" r:id="rId3"/>
    <sheet name="Continuous to VF" sheetId="2" r:id="rId4"/>
    <sheet name="MiG- EF to VF" sheetId="10" r:id="rId5"/>
    <sheet name="Forage access evaluator" sheetId="11"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11" l="1"/>
  <c r="C25" i="10" l="1"/>
  <c r="G18" i="10"/>
  <c r="L2" i="10"/>
  <c r="T6" i="10"/>
  <c r="U6" i="10" s="1"/>
  <c r="V6" i="10" s="1"/>
  <c r="T4" i="10"/>
  <c r="V4" i="10" s="1"/>
  <c r="T6" i="2"/>
  <c r="U6" i="2" s="1"/>
  <c r="V6" i="2" s="1"/>
  <c r="S4" i="2"/>
  <c r="T4" i="2"/>
  <c r="V4" i="2" s="1"/>
  <c r="Q4" i="2" l="1"/>
  <c r="R4" i="2"/>
  <c r="U4" i="2"/>
  <c r="S6" i="10"/>
  <c r="R6" i="10" s="1"/>
  <c r="Q6" i="10" s="1"/>
  <c r="S6" i="2"/>
  <c r="R6" i="2" s="1"/>
  <c r="Q6" i="2" s="1"/>
  <c r="Q4" i="10"/>
  <c r="R4" i="10"/>
  <c r="K3" i="10" s="1"/>
  <c r="S4" i="10"/>
  <c r="L3" i="10"/>
  <c r="M3" i="10"/>
  <c r="O3" i="10"/>
  <c r="U4" i="10"/>
  <c r="N3" i="10" s="1"/>
  <c r="L2" i="2"/>
  <c r="C23" i="2"/>
  <c r="G15" i="2"/>
  <c r="G16" i="2"/>
  <c r="C16" i="8"/>
  <c r="C5" i="8"/>
  <c r="D18" i="11"/>
  <c r="H10" i="11"/>
  <c r="D9" i="11"/>
  <c r="C27" i="10"/>
  <c r="C28" i="10"/>
  <c r="G31" i="10"/>
  <c r="C26" i="10"/>
  <c r="C16" i="10"/>
  <c r="C20" i="10" s="1"/>
  <c r="G16" i="11" l="1"/>
  <c r="D20" i="11"/>
  <c r="J3" i="10"/>
  <c r="N3" i="2"/>
  <c r="O3" i="2"/>
  <c r="L3" i="2"/>
  <c r="K3" i="2"/>
  <c r="J3" i="2"/>
  <c r="M3" i="2"/>
  <c r="H11" i="11"/>
  <c r="C31" i="10"/>
  <c r="H12" i="11" l="1"/>
  <c r="G17" i="11"/>
  <c r="G18" i="11" l="1"/>
  <c r="F15" i="11"/>
  <c r="C24" i="2" l="1"/>
  <c r="R24" i="2" l="1"/>
  <c r="C14" i="2"/>
  <c r="G20" i="8" l="1"/>
  <c r="G19" i="8"/>
  <c r="G18" i="8"/>
  <c r="G17" i="8"/>
  <c r="G16" i="8"/>
  <c r="G15" i="8"/>
  <c r="G5" i="8"/>
  <c r="G9" i="8"/>
  <c r="G8" i="8"/>
  <c r="G7" i="8"/>
  <c r="G6" i="8"/>
  <c r="G22" i="8" l="1"/>
  <c r="G11" i="8"/>
  <c r="H5" i="8" s="1"/>
  <c r="I5" i="8" s="1"/>
  <c r="H18" i="8" l="1"/>
  <c r="I18" i="8" s="1"/>
  <c r="G17" i="10"/>
  <c r="H7" i="8"/>
  <c r="I7" i="8" s="1"/>
  <c r="H17" i="8"/>
  <c r="I17" i="8" s="1"/>
  <c r="H20" i="8"/>
  <c r="I20" i="8" s="1"/>
  <c r="H16" i="8"/>
  <c r="I16" i="8" s="1"/>
  <c r="H15" i="8"/>
  <c r="I15" i="8" s="1"/>
  <c r="H19" i="8"/>
  <c r="I19" i="8" s="1"/>
  <c r="H6" i="8"/>
  <c r="I6" i="8" s="1"/>
  <c r="H9" i="8"/>
  <c r="I9" i="8" s="1"/>
  <c r="H8" i="8"/>
  <c r="I8" i="8" s="1"/>
  <c r="I11" i="8" l="1"/>
  <c r="H11" i="8"/>
  <c r="I22" i="8"/>
  <c r="H22" i="8"/>
  <c r="G14" i="2" l="1"/>
  <c r="G16" i="10"/>
  <c r="G22" i="10" s="1"/>
  <c r="I7" i="10" s="1"/>
  <c r="I8" i="10" s="1"/>
  <c r="I9" i="10" s="1"/>
  <c r="I10" i="10" s="1"/>
  <c r="G27" i="2"/>
  <c r="C18" i="2"/>
  <c r="G33" i="10" l="1"/>
  <c r="G36" i="10" s="1"/>
  <c r="G20" i="2"/>
  <c r="I6" i="10" l="1"/>
  <c r="I5" i="10" s="1"/>
  <c r="G35" i="10"/>
  <c r="G34" i="10"/>
  <c r="C27" i="2"/>
  <c r="I7" i="2" l="1"/>
  <c r="I8" i="2" s="1"/>
  <c r="G29" i="2"/>
  <c r="G32" i="2" s="1"/>
  <c r="I4" i="10"/>
  <c r="I6" i="2"/>
  <c r="S22" i="2"/>
  <c r="G30" i="2" l="1"/>
  <c r="G31" i="2"/>
  <c r="J7" i="2"/>
  <c r="K7" i="2"/>
  <c r="L7" i="2"/>
  <c r="O7" i="2"/>
  <c r="N7" i="2"/>
  <c r="M7" i="2"/>
  <c r="I5" i="2"/>
  <c r="S20" i="2" s="1"/>
  <c r="O6" i="2"/>
  <c r="K6" i="2"/>
  <c r="L6" i="2"/>
  <c r="N6" i="2"/>
  <c r="M6" i="2"/>
  <c r="J6" i="2"/>
  <c r="I9" i="2"/>
  <c r="M8" i="2"/>
  <c r="O8" i="2"/>
  <c r="L8" i="2"/>
  <c r="K8" i="2"/>
  <c r="J8" i="2"/>
  <c r="N8" i="2"/>
  <c r="S23" i="2"/>
  <c r="S21" i="2"/>
  <c r="I10" i="2" l="1"/>
  <c r="K9" i="2"/>
  <c r="L9" i="2"/>
  <c r="N9" i="2"/>
  <c r="J9" i="2"/>
  <c r="O9" i="2"/>
  <c r="M9" i="2"/>
  <c r="S24" i="2"/>
  <c r="I4" i="2"/>
  <c r="M5" i="2"/>
  <c r="N5" i="2"/>
  <c r="O5" i="2"/>
  <c r="L5" i="2"/>
  <c r="J5" i="2"/>
  <c r="K5" i="2"/>
  <c r="R25" i="10"/>
  <c r="R19" i="10"/>
  <c r="R22" i="10"/>
  <c r="R21" i="10"/>
  <c r="R23" i="10"/>
  <c r="R20" i="10"/>
  <c r="R24" i="10"/>
  <c r="L4" i="2" l="1"/>
  <c r="K4" i="2"/>
  <c r="M4" i="2"/>
  <c r="N4" i="2"/>
  <c r="O4" i="2"/>
  <c r="J4" i="2"/>
  <c r="S19" i="2"/>
  <c r="M10" i="2"/>
  <c r="O10" i="2"/>
  <c r="K10" i="2"/>
  <c r="N10" i="2"/>
  <c r="L10" i="2"/>
  <c r="J10" i="2"/>
  <c r="S25" i="2"/>
  <c r="N9" i="10"/>
  <c r="L9" i="10"/>
  <c r="K9" i="10"/>
  <c r="J9" i="10"/>
  <c r="O9" i="10"/>
  <c r="M9" i="10"/>
  <c r="O5" i="10"/>
  <c r="N5" i="10"/>
  <c r="M5" i="10"/>
  <c r="L5" i="10"/>
  <c r="K5" i="10"/>
  <c r="J5" i="10"/>
  <c r="O8" i="10"/>
  <c r="N8" i="10"/>
  <c r="M8" i="10"/>
  <c r="L8" i="10"/>
  <c r="K8" i="10"/>
  <c r="J8" i="10"/>
  <c r="O6" i="10"/>
  <c r="N6" i="10"/>
  <c r="M6" i="10"/>
  <c r="L6" i="10"/>
  <c r="K6" i="10"/>
  <c r="J6" i="10"/>
  <c r="M7" i="10"/>
  <c r="O7" i="10"/>
  <c r="N7" i="10"/>
  <c r="L7" i="10"/>
  <c r="K7" i="10"/>
  <c r="J7" i="10"/>
  <c r="K4" i="10"/>
  <c r="J4" i="10"/>
  <c r="O4" i="10"/>
  <c r="N4" i="10"/>
  <c r="M4" i="10"/>
  <c r="L4" i="10"/>
  <c r="O10" i="10"/>
  <c r="N10" i="10"/>
  <c r="M10" i="10"/>
  <c r="L10" i="10"/>
  <c r="K10" i="10"/>
  <c r="J10" i="10"/>
</calcChain>
</file>

<file path=xl/sharedStrings.xml><?xml version="1.0" encoding="utf-8"?>
<sst xmlns="http://schemas.openxmlformats.org/spreadsheetml/2006/main" count="265" uniqueCount="165">
  <si>
    <t xml:space="preserve">Developed by: </t>
  </si>
  <si>
    <t>Drew Kientzy and Ryan Milhollin</t>
  </si>
  <si>
    <t>This worksheet is for educational purposes only and the user assumes all risks associated with its use.</t>
  </si>
  <si>
    <t>General Assumptions</t>
  </si>
  <si>
    <t>Item</t>
  </si>
  <si>
    <t>Unit</t>
  </si>
  <si>
    <t>Quantity</t>
  </si>
  <si>
    <t>head</t>
  </si>
  <si>
    <t>Total acres in grazing system</t>
  </si>
  <si>
    <t>acres</t>
  </si>
  <si>
    <t>pounds</t>
  </si>
  <si>
    <t>$ per pound</t>
  </si>
  <si>
    <t>$ per ton</t>
  </si>
  <si>
    <t>Economic factors</t>
  </si>
  <si>
    <t>Interest rate</t>
  </si>
  <si>
    <t>% APR</t>
  </si>
  <si>
    <t>Labor cost</t>
  </si>
  <si>
    <t>$ per hour</t>
  </si>
  <si>
    <t>$/Unit</t>
  </si>
  <si>
    <t>Total cost</t>
  </si>
  <si>
    <t>Cost/year</t>
  </si>
  <si>
    <t>Upfront collar investment</t>
  </si>
  <si>
    <t>collars</t>
  </si>
  <si>
    <t>Tower/beacon</t>
  </si>
  <si>
    <t>towers</t>
  </si>
  <si>
    <t>Spare collars</t>
  </si>
  <si>
    <t>hours</t>
  </si>
  <si>
    <t>feet</t>
  </si>
  <si>
    <t>Other</t>
  </si>
  <si>
    <t>One-time cost-share payments</t>
  </si>
  <si>
    <t>Total Virtual Fence System Cost</t>
  </si>
  <si>
    <t>DO NOT RECORD EXISTING WATER SYSTEMS</t>
  </si>
  <si>
    <t>Pipeline 1.5" PVC</t>
  </si>
  <si>
    <t>Trenching/fill</t>
  </si>
  <si>
    <t>Risers</t>
  </si>
  <si>
    <t>risers</t>
  </si>
  <si>
    <t>Tanks &amp; valves</t>
  </si>
  <si>
    <t>tanks</t>
  </si>
  <si>
    <t>Well &amp; pump</t>
  </si>
  <si>
    <t>well</t>
  </si>
  <si>
    <t>Total Water System Improvement Cost</t>
  </si>
  <si>
    <t>Select sensitivity analysis variable below</t>
  </si>
  <si>
    <t>Scenario assumptions</t>
  </si>
  <si>
    <t>Value</t>
  </si>
  <si>
    <t>$ per collar</t>
  </si>
  <si>
    <t>days</t>
  </si>
  <si>
    <t>$ per acre</t>
  </si>
  <si>
    <t xml:space="preserve">Partial budget analysis </t>
  </si>
  <si>
    <t>Additional returns</t>
  </si>
  <si>
    <t>Total</t>
  </si>
  <si>
    <t>Additional costs</t>
  </si>
  <si>
    <t>Enter</t>
  </si>
  <si>
    <t>Total:</t>
  </si>
  <si>
    <t>Reduced costs</t>
  </si>
  <si>
    <t>Reduced returns</t>
  </si>
  <si>
    <t>Labor reduction</t>
  </si>
  <si>
    <t>Whole farm</t>
  </si>
  <si>
    <t>(Additional returns + reduced costs - additional costs - reduced returns)</t>
  </si>
  <si>
    <t>New investment in EF system</t>
  </si>
  <si>
    <t>Total $</t>
  </si>
  <si>
    <t>EF system lifespan</t>
  </si>
  <si>
    <t>years</t>
  </si>
  <si>
    <t xml:space="preserve">EF system fixed costs </t>
  </si>
  <si>
    <t>EF system operating cost</t>
  </si>
  <si>
    <t xml:space="preserve">Reduced fertilizer expense </t>
  </si>
  <si>
    <t>Stocker operation</t>
  </si>
  <si>
    <t>Group size</t>
  </si>
  <si>
    <t>Annual groups grazed</t>
  </si>
  <si>
    <t>groups</t>
  </si>
  <si>
    <t>Per head</t>
  </si>
  <si>
    <t>Increase in weight gained per acre, per group</t>
  </si>
  <si>
    <t>increase</t>
  </si>
  <si>
    <t>Senstitivity analysis, return to VF per head</t>
  </si>
  <si>
    <t>Change in costs due to virtual fence, $ per head</t>
  </si>
  <si>
    <t>VF labor hours per group</t>
  </si>
  <si>
    <t>Lost MiG cost share</t>
  </si>
  <si>
    <t>EF system management labor per group</t>
  </si>
  <si>
    <t>Fencing system item</t>
  </si>
  <si>
    <t>Water system item</t>
  </si>
  <si>
    <t>Annual cost/acre</t>
  </si>
  <si>
    <t>Fence and water systems</t>
  </si>
  <si>
    <t>Investment in improved water system</t>
  </si>
  <si>
    <t>Sensitivity analysis, return to VF per head</t>
  </si>
  <si>
    <t>Increase in weight gained, per acre, per group</t>
  </si>
  <si>
    <t>Per acre</t>
  </si>
  <si>
    <t>Reduced EF labor</t>
  </si>
  <si>
    <t>Additional VF operating expense</t>
  </si>
  <si>
    <t>Assumption</t>
  </si>
  <si>
    <t>Partial Budget Analysis of Virtual Fencing Systems</t>
  </si>
  <si>
    <t>Forage access evaluator</t>
  </si>
  <si>
    <t>System information</t>
  </si>
  <si>
    <t>Feeding information</t>
  </si>
  <si>
    <t xml:space="preserve">Acres to be grazed </t>
  </si>
  <si>
    <t>Cost of stored forage, $ per ton</t>
  </si>
  <si>
    <t>Grazing duration, days</t>
  </si>
  <si>
    <t>Feed consumption, % of body weight</t>
  </si>
  <si>
    <t>Planned cow-days per acre</t>
  </si>
  <si>
    <t>Wasted feed, % of total fed</t>
  </si>
  <si>
    <t>Daily feeding time, minutes</t>
  </si>
  <si>
    <t>Forage cost information</t>
  </si>
  <si>
    <t>Tractor operating cost, $ per hour</t>
  </si>
  <si>
    <t>Land charges or cash rent</t>
  </si>
  <si>
    <t>Feeding labor, $ per hour</t>
  </si>
  <si>
    <t>Fertilizer</t>
  </si>
  <si>
    <t>Total cost of feeding</t>
  </si>
  <si>
    <t>Weed control</t>
  </si>
  <si>
    <t>Cost of feeding per head</t>
  </si>
  <si>
    <t>Seed</t>
  </si>
  <si>
    <t>Cost of feeding per cow-day</t>
  </si>
  <si>
    <t>Machinery cost</t>
  </si>
  <si>
    <t>Operator and management labor</t>
  </si>
  <si>
    <t>Grazing period total</t>
  </si>
  <si>
    <t>Total cost of grazing</t>
  </si>
  <si>
    <t>Total cost of grazed forage per acre</t>
  </si>
  <si>
    <t>Per head, per day</t>
  </si>
  <si>
    <t>Cost of grazed forage per cow-day</t>
  </si>
  <si>
    <t xml:space="preserve">This analysis assumes that the facilties and equipment for feeding hay or other stored feeds are already present, and will be maintained for feeding livestock regardless of virtual fence usage. Cost figures are estimates and real world conditions may impact performance. </t>
  </si>
  <si>
    <t>Head stocked</t>
  </si>
  <si>
    <t>Operator training labor</t>
  </si>
  <si>
    <t>VF management labor per group</t>
  </si>
  <si>
    <t>VF installation time per group</t>
  </si>
  <si>
    <t>Additional sales revenue</t>
  </si>
  <si>
    <t>Improved water system</t>
  </si>
  <si>
    <t>Daily stored forage use</t>
  </si>
  <si>
    <t>Stored forage cost</t>
  </si>
  <si>
    <t>Change in grazing days</t>
  </si>
  <si>
    <t>Sale price, $ per cwt</t>
  </si>
  <si>
    <t>Calf sale price</t>
  </si>
  <si>
    <t>Change in weight gained per acre, per group</t>
  </si>
  <si>
    <t xml:space="preserve">Annual VF subscription fees </t>
  </si>
  <si>
    <t>Virtual fence system</t>
  </si>
  <si>
    <t>Annual cost of water access</t>
  </si>
  <si>
    <t>This workbook uses partial budgeting to estimate the financial impact of adopting a new virtual fencing management system. The analysis includes changes in grazing management, infrastructure, and operating costs, but it does not measure the profitability of the entire operation.</t>
  </si>
  <si>
    <t>Change or enter information in the gray-shaded cells throughout the workbook. Worksheets include:</t>
  </si>
  <si>
    <r>
      <t>·</t>
    </r>
    <r>
      <rPr>
        <sz val="7"/>
        <color theme="1"/>
        <rFont val="Times New Roman"/>
        <family val="1"/>
      </rPr>
      <t xml:space="preserve">         </t>
    </r>
    <r>
      <rPr>
        <b/>
        <sz val="12"/>
        <color theme="1"/>
        <rFont val="Aptos"/>
        <family val="2"/>
      </rPr>
      <t>General assumptions</t>
    </r>
    <r>
      <rPr>
        <sz val="12"/>
        <color theme="1"/>
        <rFont val="Aptos"/>
        <family val="2"/>
      </rPr>
      <t xml:space="preserve"> – Enter information about your operation and current livestock market conditions.</t>
    </r>
  </si>
  <si>
    <r>
      <t>·</t>
    </r>
    <r>
      <rPr>
        <sz val="7"/>
        <color theme="1"/>
        <rFont val="Times New Roman"/>
        <family val="1"/>
      </rPr>
      <t xml:space="preserve">         </t>
    </r>
    <r>
      <rPr>
        <b/>
        <sz val="12"/>
        <color theme="1"/>
        <rFont val="Aptos"/>
        <family val="2"/>
      </rPr>
      <t>Fence and water system details</t>
    </r>
    <r>
      <rPr>
        <sz val="12"/>
        <color theme="1"/>
        <rFont val="Aptos"/>
        <family val="2"/>
      </rPr>
      <t xml:space="preserve"> – Describe and enter the investments necessary for virtual fence and a water system.</t>
    </r>
  </si>
  <si>
    <r>
      <t>·</t>
    </r>
    <r>
      <rPr>
        <sz val="7"/>
        <color theme="1"/>
        <rFont val="Times New Roman"/>
        <family val="1"/>
      </rPr>
      <t xml:space="preserve">         </t>
    </r>
    <r>
      <rPr>
        <b/>
        <sz val="12"/>
        <color theme="1"/>
        <rFont val="Aptos"/>
        <family val="2"/>
      </rPr>
      <t>Continuous to VF or MiG-EF to VF</t>
    </r>
    <r>
      <rPr>
        <sz val="12"/>
        <color theme="1"/>
        <rFont val="Aptos"/>
        <family val="2"/>
      </rPr>
      <t xml:space="preserve"> – Adjust assumptions and enter information for the grazing system change you want to evaluate. Each worksheet provides a template to summarize changes in costs and returns. A sensitivity analysis in the upper-right corner shows how changes in system cost or weight gain affect the results.</t>
    </r>
  </si>
  <si>
    <r>
      <t>·</t>
    </r>
    <r>
      <rPr>
        <sz val="7"/>
        <color theme="1"/>
        <rFont val="Times New Roman"/>
        <family val="1"/>
      </rPr>
      <t xml:space="preserve">         </t>
    </r>
    <r>
      <rPr>
        <b/>
        <sz val="12"/>
        <color theme="1"/>
        <rFont val="Aptos"/>
        <family val="2"/>
      </rPr>
      <t>Forage access evaluator</t>
    </r>
    <r>
      <rPr>
        <sz val="12"/>
        <color theme="1"/>
        <rFont val="Aptos"/>
        <family val="2"/>
      </rPr>
      <t xml:space="preserve"> – Use for a simple analysis of VF’s value when accessing underfenced forages.</t>
    </r>
  </si>
  <si>
    <t>The workbook includes example values to demonstrate how the tool works. Replace these values with information from your operation before using the results for management decisions.</t>
  </si>
  <si>
    <t>tons</t>
  </si>
  <si>
    <t>Investment in VF system</t>
  </si>
  <si>
    <t>Lifespan (years)</t>
  </si>
  <si>
    <t>unit</t>
  </si>
  <si>
    <t>Stored forages fed</t>
  </si>
  <si>
    <t>Converting a continuous grazing management plan to MiG using Virtual Fence</t>
  </si>
  <si>
    <t>Comparing a MiG operation using electric fence to virtual fence</t>
  </si>
  <si>
    <t>Additional fence and water repairs due to VF</t>
  </si>
  <si>
    <t>Fence and water repair savings due to VF</t>
  </si>
  <si>
    <t>Reduction in feeding stored forage</t>
  </si>
  <si>
    <t>ADVANTAGE OF USING VIRTUAL FENCE PER GROUP</t>
  </si>
  <si>
    <t>Fertilizer used</t>
  </si>
  <si>
    <t>Annual VF cost share payments</t>
  </si>
  <si>
    <t>VF labor expense</t>
  </si>
  <si>
    <t>Additional operating expense</t>
  </si>
  <si>
    <t>Additional VF labor</t>
  </si>
  <si>
    <t>Return on investment</t>
  </si>
  <si>
    <t>Permanent</t>
  </si>
  <si>
    <t>Temporary</t>
  </si>
  <si>
    <t>Virtual</t>
  </si>
  <si>
    <t>Primary fence type</t>
  </si>
  <si>
    <t>Average animal weight, pounds</t>
  </si>
  <si>
    <r>
      <rPr>
        <b/>
        <sz val="12"/>
        <rFont val="Aptos"/>
        <family val="2"/>
      </rPr>
      <t xml:space="preserve">Scenario notes: </t>
    </r>
    <r>
      <rPr>
        <sz val="12"/>
        <rFont val="Aptos"/>
        <family val="2"/>
      </rPr>
      <t>This scenario analyzes the economic impact of using virtual fence to replace electric fence. This worksheet can be used by an existing EF user by leaving the "New investment in virtual fence" blank, indicating the operation has already invested in the system. For a operation considering adopting MiG practices, investigate the cost of electric fence for your operation and enter that value in aforementioned location. Positive "ADVANTAGE OF USING VIRTUAL FENCE PER GROUP" values indicate a financial incentive to using virtual fence.</t>
    </r>
  </si>
  <si>
    <t>Updated: 8/2026</t>
  </si>
  <si>
    <r>
      <rPr>
        <b/>
        <sz val="12"/>
        <rFont val="Aptos"/>
        <family val="2"/>
      </rPr>
      <t>Scenario notes:</t>
    </r>
    <r>
      <rPr>
        <sz val="12"/>
        <rFont val="Aptos"/>
        <family val="2"/>
      </rPr>
      <t xml:space="preserve"> This case analyzes the economic impact of converting a continuous or minimally managed grazing system to management intensive using virtual fence technology. Positive (+) </t>
    </r>
    <r>
      <rPr>
        <i/>
        <sz val="12"/>
        <rFont val="Aptos"/>
        <family val="2"/>
      </rPr>
      <t>Advantage of Using Virtual Fence per Group</t>
    </r>
    <r>
      <rPr>
        <sz val="12"/>
        <rFont val="Aptos"/>
        <family val="2"/>
      </rPr>
      <t xml:space="preserve"> values indicate virtual fence presents an economic advantage to current practices. </t>
    </r>
  </si>
  <si>
    <t>Annual fence cost for area to be grazed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</si>
</sst>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quot;$&quot;#,##0"/>
    <numFmt numFmtId="166" formatCode="_(* #,##0.0_);_(* \(#,##0.0\);_(* &quot;-&quot;??_);_(@_)"/>
    <numFmt numFmtId="167" formatCode="_(* #,##0_);_(* \(#,##0\);_(* &quot;-&quot;??_);_(@_)"/>
    <numFmt numFmtId="168" formatCode="0.00;[Red]\-0.00"/>
    <numFmt numFmtId="169" formatCode="0.0"/>
  </numFmts>
  <fonts count="32">
    <font>
      <sz val="11"/>
      <color theme="1"/>
      <name val="Calibri"/>
      <family val="2"/>
      <scheme val="minor"/>
    </font>
    <font>
      <sz val="11"/>
      <color theme="1"/>
      <name val="Calibri"/>
      <family val="2"/>
      <scheme val="minor"/>
    </font>
    <font>
      <sz val="11"/>
      <color theme="1"/>
      <name val="Aptos"/>
      <family val="2"/>
    </font>
    <font>
      <sz val="14"/>
      <color theme="1"/>
      <name val="Aptos"/>
      <family val="2"/>
    </font>
    <font>
      <b/>
      <sz val="12"/>
      <color theme="1"/>
      <name val="Aptos"/>
      <family val="2"/>
    </font>
    <font>
      <b/>
      <sz val="14"/>
      <color theme="1"/>
      <name val="Aptos"/>
      <family val="2"/>
    </font>
    <font>
      <b/>
      <sz val="11"/>
      <color theme="1"/>
      <name val="Aptos"/>
      <family val="2"/>
    </font>
    <font>
      <b/>
      <i/>
      <sz val="12"/>
      <color theme="1"/>
      <name val="Aptos"/>
      <family val="2"/>
    </font>
    <font>
      <sz val="10"/>
      <color theme="1"/>
      <name val="Aptos"/>
      <family val="2"/>
    </font>
    <font>
      <b/>
      <sz val="18"/>
      <color rgb="FFFFC000"/>
      <name val="Aptos Black"/>
      <family val="2"/>
    </font>
    <font>
      <b/>
      <sz val="11"/>
      <color rgb="FF3F3F3F"/>
      <name val="Calibri"/>
      <family val="2"/>
      <scheme val="minor"/>
    </font>
    <font>
      <sz val="12"/>
      <color theme="1"/>
      <name val="Aptos"/>
      <family val="2"/>
    </font>
    <font>
      <b/>
      <sz val="14"/>
      <color rgb="FFFFC000"/>
      <name val="Aptos Black"/>
      <family val="2"/>
    </font>
    <font>
      <sz val="11"/>
      <color indexed="8"/>
      <name val="Aptos"/>
      <family val="2"/>
    </font>
    <font>
      <sz val="10"/>
      <name val="TimesNewRomanPS"/>
    </font>
    <font>
      <sz val="11"/>
      <name val="Aptos"/>
      <family val="2"/>
    </font>
    <font>
      <sz val="12"/>
      <name val="Aptos"/>
      <family val="2"/>
    </font>
    <font>
      <b/>
      <sz val="12"/>
      <color rgb="FF3F3F3F"/>
      <name val="Aptos"/>
      <family val="2"/>
    </font>
    <font>
      <b/>
      <sz val="16"/>
      <color rgb="FFF1B82D"/>
      <name val="Aptos Black"/>
      <family val="2"/>
    </font>
    <font>
      <sz val="14"/>
      <color rgb="FFFFC000"/>
      <name val="Aptos Black"/>
      <family val="2"/>
    </font>
    <font>
      <sz val="14"/>
      <color rgb="FFFFC000"/>
      <name val="Aptos"/>
      <family val="2"/>
    </font>
    <font>
      <i/>
      <sz val="12"/>
      <name val="Aptos"/>
      <family val="2"/>
    </font>
    <font>
      <b/>
      <sz val="18"/>
      <color rgb="FFFFC000"/>
      <name val="Aptos"/>
      <family val="2"/>
    </font>
    <font>
      <b/>
      <sz val="12"/>
      <name val="Aptos"/>
      <family val="2"/>
    </font>
    <font>
      <b/>
      <sz val="14"/>
      <name val="Aptos"/>
      <family val="2"/>
    </font>
    <font>
      <sz val="14"/>
      <name val="Aptos"/>
      <family val="2"/>
    </font>
    <font>
      <b/>
      <sz val="12"/>
      <name val="Aptos "/>
    </font>
    <font>
      <b/>
      <sz val="14"/>
      <color rgb="FFFFC000"/>
      <name val="Aptos "/>
    </font>
    <font>
      <sz val="14"/>
      <color theme="1"/>
      <name val="Aptos "/>
    </font>
    <font>
      <sz val="12"/>
      <color theme="1"/>
      <name val="Symbol"/>
      <family val="1"/>
      <charset val="2"/>
    </font>
    <font>
      <sz val="7"/>
      <color theme="1"/>
      <name val="Times New Roman"/>
      <family val="1"/>
    </font>
    <font>
      <sz val="11"/>
      <color theme="0"/>
      <name val="Aptos"/>
      <family val="2"/>
    </font>
  </fonts>
  <fills count="6">
    <fill>
      <patternFill patternType="none"/>
    </fill>
    <fill>
      <patternFill patternType="gray125"/>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theme="0"/>
        <bgColor indexed="64"/>
      </patternFill>
    </fill>
  </fills>
  <borders count="30">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rgb="FF3F3F3F"/>
      </left>
      <right style="thin">
        <color rgb="FF3F3F3F"/>
      </right>
      <top style="thin">
        <color rgb="FF3F3F3F"/>
      </top>
      <bottom style="thin">
        <color rgb="FF3F3F3F"/>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rgb="FF3F3F3F"/>
      </left>
      <right/>
      <top style="thin">
        <color rgb="FF3F3F3F"/>
      </top>
      <bottom style="thin">
        <color rgb="FF3F3F3F"/>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0" fillId="4" borderId="13" applyNumberFormat="0" applyAlignment="0" applyProtection="0"/>
    <xf numFmtId="0" fontId="14" fillId="0" borderId="0"/>
    <xf numFmtId="0" fontId="1" fillId="0" borderId="0"/>
  </cellStyleXfs>
  <cellXfs count="176">
    <xf numFmtId="0" fontId="0" fillId="0" borderId="0" xfId="0"/>
    <xf numFmtId="0" fontId="3" fillId="0" borderId="0" xfId="0" applyFont="1"/>
    <xf numFmtId="0" fontId="2" fillId="0" borderId="0" xfId="0" applyFont="1"/>
    <xf numFmtId="5" fontId="4" fillId="0" borderId="0" xfId="0" applyNumberFormat="1" applyFont="1" applyAlignment="1">
      <alignment horizontal="right"/>
    </xf>
    <xf numFmtId="5" fontId="4" fillId="0" borderId="5" xfId="0" applyNumberFormat="1" applyFont="1" applyBorder="1" applyAlignment="1">
      <alignment horizontal="right"/>
    </xf>
    <xf numFmtId="165" fontId="2" fillId="0" borderId="0" xfId="0" applyNumberFormat="1" applyFont="1"/>
    <xf numFmtId="0" fontId="5" fillId="0" borderId="0" xfId="0" applyFont="1" applyAlignment="1">
      <alignment horizontal="left"/>
    </xf>
    <xf numFmtId="0" fontId="8" fillId="0" borderId="0" xfId="0" applyFont="1"/>
    <xf numFmtId="0" fontId="7" fillId="0" borderId="0" xfId="0" applyFont="1" applyAlignment="1">
      <alignment horizontal="center"/>
    </xf>
    <xf numFmtId="0" fontId="4" fillId="0" borderId="0" xfId="0" applyFont="1"/>
    <xf numFmtId="0" fontId="4" fillId="0" borderId="10" xfId="0" applyFont="1" applyBorder="1"/>
    <xf numFmtId="5" fontId="4" fillId="0" borderId="11" xfId="0" applyNumberFormat="1" applyFont="1" applyBorder="1"/>
    <xf numFmtId="7" fontId="4" fillId="0" borderId="5" xfId="0" applyNumberFormat="1" applyFont="1" applyBorder="1"/>
    <xf numFmtId="0" fontId="11" fillId="0" borderId="0" xfId="0" applyFont="1"/>
    <xf numFmtId="0" fontId="12" fillId="2" borderId="2" xfId="0" applyFont="1" applyFill="1" applyBorder="1"/>
    <xf numFmtId="0" fontId="13" fillId="2" borderId="2" xfId="0" applyFont="1" applyFill="1" applyBorder="1"/>
    <xf numFmtId="168" fontId="13" fillId="2" borderId="2" xfId="0" quotePrefix="1" applyNumberFormat="1" applyFont="1" applyFill="1" applyBorder="1"/>
    <xf numFmtId="0" fontId="13" fillId="2" borderId="3" xfId="0" applyFont="1" applyFill="1" applyBorder="1"/>
    <xf numFmtId="0" fontId="15" fillId="0" borderId="0" xfId="0" applyFont="1"/>
    <xf numFmtId="0" fontId="15" fillId="0" borderId="0" xfId="0" applyFont="1" applyAlignment="1">
      <alignment vertical="center"/>
    </xf>
    <xf numFmtId="0" fontId="11" fillId="5" borderId="0" xfId="0" applyFont="1" applyFill="1" applyAlignment="1">
      <alignment horizontal="left" vertical="top" wrapText="1"/>
    </xf>
    <xf numFmtId="0" fontId="11" fillId="5" borderId="0" xfId="0" applyFont="1" applyFill="1"/>
    <xf numFmtId="0" fontId="4" fillId="5" borderId="0" xfId="0" applyFont="1" applyFill="1"/>
    <xf numFmtId="0" fontId="4" fillId="5" borderId="0" xfId="0" applyFont="1" applyFill="1" applyAlignment="1">
      <alignment horizontal="left" indent="4"/>
    </xf>
    <xf numFmtId="0" fontId="17" fillId="5" borderId="0" xfId="4" applyFont="1" applyFill="1" applyBorder="1" applyAlignment="1">
      <alignment horizontal="center"/>
    </xf>
    <xf numFmtId="0" fontId="2" fillId="0" borderId="1" xfId="0" applyFont="1" applyBorder="1"/>
    <xf numFmtId="0" fontId="11" fillId="3" borderId="0" xfId="0" applyFont="1" applyFill="1"/>
    <xf numFmtId="0" fontId="11" fillId="0" borderId="1" xfId="0" applyFont="1" applyBorder="1"/>
    <xf numFmtId="9" fontId="11" fillId="3" borderId="0" xfId="3" applyFont="1" applyFill="1" applyBorder="1"/>
    <xf numFmtId="164" fontId="11" fillId="3" borderId="0" xfId="0" applyNumberFormat="1" applyFont="1" applyFill="1"/>
    <xf numFmtId="0" fontId="4" fillId="0" borderId="1" xfId="0" applyFont="1" applyBorder="1"/>
    <xf numFmtId="0" fontId="5" fillId="0" borderId="9" xfId="0" applyFont="1" applyBorder="1" applyAlignment="1">
      <alignment horizontal="left"/>
    </xf>
    <xf numFmtId="0" fontId="5" fillId="0" borderId="10" xfId="0" applyFont="1" applyBorder="1" applyAlignment="1">
      <alignment horizontal="left"/>
    </xf>
    <xf numFmtId="0" fontId="5" fillId="0" borderId="11" xfId="0" applyFont="1" applyBorder="1" applyAlignment="1">
      <alignment horizontal="left"/>
    </xf>
    <xf numFmtId="0" fontId="19" fillId="0" borderId="0" xfId="0" applyFont="1" applyAlignment="1">
      <alignment horizontal="center"/>
    </xf>
    <xf numFmtId="0" fontId="8" fillId="0" borderId="0" xfId="0" applyFont="1" applyAlignment="1">
      <alignment horizontal="left"/>
    </xf>
    <xf numFmtId="0" fontId="8" fillId="0" borderId="1" xfId="0" applyFont="1" applyBorder="1" applyAlignment="1">
      <alignment horizontal="left"/>
    </xf>
    <xf numFmtId="6" fontId="16" fillId="5" borderId="16" xfId="2" applyNumberFormat="1" applyFont="1" applyFill="1" applyBorder="1" applyProtection="1"/>
    <xf numFmtId="0" fontId="22" fillId="0" borderId="0" xfId="0" applyFont="1" applyAlignment="1">
      <alignment horizontal="center" vertical="center"/>
    </xf>
    <xf numFmtId="0" fontId="23" fillId="5" borderId="0" xfId="5" applyFont="1" applyFill="1"/>
    <xf numFmtId="0" fontId="9" fillId="0" borderId="0" xfId="0" applyFont="1" applyAlignment="1">
      <alignment horizontal="center" vertical="center"/>
    </xf>
    <xf numFmtId="0" fontId="24" fillId="0" borderId="0" xfId="0" applyFont="1" applyAlignment="1">
      <alignment horizontal="left" vertical="center"/>
    </xf>
    <xf numFmtId="0" fontId="25" fillId="0" borderId="0" xfId="0" applyFont="1" applyAlignment="1">
      <alignment horizontal="left" vertical="center"/>
    </xf>
    <xf numFmtId="0" fontId="11" fillId="0" borderId="0" xfId="0" applyFont="1" applyAlignment="1">
      <alignment horizontal="left"/>
    </xf>
    <xf numFmtId="0" fontId="4" fillId="0" borderId="2" xfId="0" applyFont="1" applyBorder="1" applyAlignment="1">
      <alignment horizontal="left"/>
    </xf>
    <xf numFmtId="0" fontId="4" fillId="0" borderId="2" xfId="0" applyFont="1" applyBorder="1" applyAlignment="1">
      <alignment horizontal="right"/>
    </xf>
    <xf numFmtId="165" fontId="11" fillId="3" borderId="0" xfId="0" applyNumberFormat="1" applyFont="1" applyFill="1"/>
    <xf numFmtId="164" fontId="11" fillId="3" borderId="1" xfId="0" applyNumberFormat="1" applyFont="1" applyFill="1" applyBorder="1"/>
    <xf numFmtId="166" fontId="15" fillId="0" borderId="0" xfId="0" applyNumberFormat="1" applyFont="1"/>
    <xf numFmtId="43" fontId="15" fillId="0" borderId="0" xfId="0" applyNumberFormat="1" applyFont="1"/>
    <xf numFmtId="166" fontId="15" fillId="0" borderId="0" xfId="1" applyNumberFormat="1" applyFont="1"/>
    <xf numFmtId="167" fontId="15" fillId="0" borderId="0" xfId="1" applyNumberFormat="1" applyFont="1"/>
    <xf numFmtId="43" fontId="16" fillId="5" borderId="15" xfId="1" applyFont="1" applyFill="1" applyBorder="1" applyAlignment="1" applyProtection="1">
      <alignment horizontal="right"/>
    </xf>
    <xf numFmtId="43" fontId="16" fillId="0" borderId="15" xfId="1" applyFont="1" applyBorder="1" applyAlignment="1" applyProtection="1">
      <alignment horizontal="right"/>
    </xf>
    <xf numFmtId="43" fontId="16" fillId="5" borderId="17" xfId="1" applyFont="1" applyFill="1" applyBorder="1" applyAlignment="1" applyProtection="1">
      <alignment horizontal="right"/>
    </xf>
    <xf numFmtId="0" fontId="11" fillId="5" borderId="0" xfId="0" applyFont="1" applyFill="1" applyAlignment="1">
      <alignment horizontal="right"/>
    </xf>
    <xf numFmtId="0" fontId="11" fillId="5" borderId="0" xfId="0" applyFont="1" applyFill="1" applyAlignment="1">
      <alignment vertical="top" wrapText="1"/>
    </xf>
    <xf numFmtId="0" fontId="4" fillId="5" borderId="0" xfId="0" applyFont="1" applyFill="1" applyAlignment="1">
      <alignment vertical="top" wrapText="1"/>
    </xf>
    <xf numFmtId="0" fontId="17" fillId="4" borderId="19" xfId="4" applyFont="1" applyBorder="1" applyAlignment="1">
      <alignment wrapText="1"/>
    </xf>
    <xf numFmtId="0" fontId="4" fillId="0" borderId="2" xfId="0" applyFont="1" applyBorder="1"/>
    <xf numFmtId="0" fontId="19" fillId="2" borderId="0" xfId="0" applyFont="1" applyFill="1" applyAlignment="1">
      <alignment horizontal="left"/>
    </xf>
    <xf numFmtId="0" fontId="9" fillId="2" borderId="14" xfId="0" applyFont="1" applyFill="1" applyBorder="1" applyAlignment="1">
      <alignment vertical="center"/>
    </xf>
    <xf numFmtId="0" fontId="9" fillId="2" borderId="2" xfId="0" applyFont="1" applyFill="1" applyBorder="1" applyAlignment="1">
      <alignment vertical="center"/>
    </xf>
    <xf numFmtId="0" fontId="9" fillId="2" borderId="3" xfId="0" applyFont="1" applyFill="1" applyBorder="1" applyAlignment="1">
      <alignment vertical="center"/>
    </xf>
    <xf numFmtId="0" fontId="15" fillId="3" borderId="0" xfId="0" applyFont="1" applyFill="1" applyAlignment="1">
      <alignment vertical="center" wrapText="1"/>
    </xf>
    <xf numFmtId="0" fontId="25" fillId="0" borderId="0" xfId="0" applyFont="1" applyAlignment="1">
      <alignment horizontal="left" vertical="center" wrapText="1"/>
    </xf>
    <xf numFmtId="0" fontId="21" fillId="5" borderId="14" xfId="5" applyFont="1" applyFill="1" applyBorder="1"/>
    <xf numFmtId="0" fontId="18" fillId="2" borderId="18" xfId="6" applyFont="1" applyFill="1" applyBorder="1"/>
    <xf numFmtId="0" fontId="0" fillId="0" borderId="0" xfId="0" applyAlignment="1">
      <alignment wrapText="1"/>
    </xf>
    <xf numFmtId="0" fontId="9" fillId="2" borderId="0" xfId="0" applyFont="1" applyFill="1" applyAlignment="1">
      <alignment vertical="center"/>
    </xf>
    <xf numFmtId="0" fontId="2" fillId="2" borderId="0" xfId="0" applyFont="1" applyFill="1"/>
    <xf numFmtId="0" fontId="26" fillId="0" borderId="0" xfId="0" applyFont="1" applyAlignment="1">
      <alignment vertical="center"/>
    </xf>
    <xf numFmtId="0" fontId="27" fillId="0" borderId="0" xfId="0" applyFont="1" applyAlignment="1">
      <alignment vertical="center"/>
    </xf>
    <xf numFmtId="0" fontId="28" fillId="0" borderId="0" xfId="0" applyFont="1"/>
    <xf numFmtId="0" fontId="26" fillId="0" borderId="0" xfId="0" applyFont="1"/>
    <xf numFmtId="0" fontId="16" fillId="0" borderId="0" xfId="0" applyFont="1" applyAlignment="1">
      <alignment vertical="center"/>
    </xf>
    <xf numFmtId="0" fontId="16" fillId="0" borderId="1" xfId="0" applyFont="1" applyBorder="1" applyAlignment="1">
      <alignment vertical="center"/>
    </xf>
    <xf numFmtId="0" fontId="11" fillId="3" borderId="1" xfId="0" applyFont="1" applyFill="1" applyBorder="1"/>
    <xf numFmtId="0" fontId="23" fillId="0" borderId="0" xfId="0" applyFont="1" applyAlignment="1">
      <alignment horizontal="right" vertical="center"/>
    </xf>
    <xf numFmtId="0" fontId="4" fillId="0" borderId="0" xfId="0" applyFont="1" applyAlignment="1">
      <alignment horizontal="right"/>
    </xf>
    <xf numFmtId="164" fontId="4" fillId="0" borderId="0" xfId="0" applyNumberFormat="1" applyFont="1"/>
    <xf numFmtId="0" fontId="4" fillId="0" borderId="1" xfId="0" applyFont="1" applyBorder="1" applyAlignment="1">
      <alignment horizontal="right"/>
    </xf>
    <xf numFmtId="164" fontId="4" fillId="0" borderId="1" xfId="0" applyNumberFormat="1" applyFont="1" applyBorder="1"/>
    <xf numFmtId="0" fontId="4" fillId="0" borderId="24" xfId="0" applyFont="1" applyBorder="1" applyAlignment="1">
      <alignment horizontal="right"/>
    </xf>
    <xf numFmtId="0" fontId="4" fillId="0" borderId="25" xfId="0" applyFont="1" applyBorder="1" applyAlignment="1">
      <alignment horizontal="right"/>
    </xf>
    <xf numFmtId="0" fontId="2" fillId="0" borderId="0" xfId="0" applyFont="1" applyAlignment="1">
      <alignment horizontal="left" wrapText="1"/>
    </xf>
    <xf numFmtId="0" fontId="4" fillId="0" borderId="2" xfId="0" applyFont="1" applyBorder="1" applyAlignment="1">
      <alignment horizontal="center"/>
    </xf>
    <xf numFmtId="0" fontId="11" fillId="3" borderId="0" xfId="0" applyFont="1" applyFill="1" applyAlignment="1">
      <alignment wrapText="1"/>
    </xf>
    <xf numFmtId="3" fontId="11" fillId="3" borderId="0" xfId="1" applyNumberFormat="1" applyFont="1" applyFill="1"/>
    <xf numFmtId="0" fontId="11" fillId="0" borderId="0" xfId="0" applyFont="1" applyAlignment="1">
      <alignment horizontal="right"/>
    </xf>
    <xf numFmtId="8" fontId="11" fillId="3" borderId="0" xfId="0" applyNumberFormat="1" applyFont="1" applyFill="1" applyAlignment="1">
      <alignment horizontal="right"/>
    </xf>
    <xf numFmtId="167" fontId="11" fillId="3" borderId="0" xfId="1" applyNumberFormat="1" applyFont="1" applyFill="1" applyAlignment="1">
      <alignment horizontal="right"/>
    </xf>
    <xf numFmtId="165" fontId="11" fillId="0" borderId="0" xfId="0" applyNumberFormat="1" applyFont="1"/>
    <xf numFmtId="164" fontId="11" fillId="0" borderId="0" xfId="0" applyNumberFormat="1" applyFont="1"/>
    <xf numFmtId="3" fontId="11" fillId="3" borderId="0" xfId="0" applyNumberFormat="1" applyFont="1" applyFill="1"/>
    <xf numFmtId="3" fontId="11" fillId="3" borderId="1" xfId="0" applyNumberFormat="1" applyFont="1" applyFill="1" applyBorder="1"/>
    <xf numFmtId="0" fontId="11" fillId="3" borderId="1" xfId="0" applyFont="1" applyFill="1" applyBorder="1" applyAlignment="1">
      <alignment horizontal="right"/>
    </xf>
    <xf numFmtId="8" fontId="11" fillId="3" borderId="1" xfId="0" applyNumberFormat="1" applyFont="1" applyFill="1" applyBorder="1" applyAlignment="1">
      <alignment horizontal="right"/>
    </xf>
    <xf numFmtId="167" fontId="11" fillId="3" borderId="1" xfId="1" applyNumberFormat="1" applyFont="1" applyFill="1" applyBorder="1" applyAlignment="1">
      <alignment horizontal="right"/>
    </xf>
    <xf numFmtId="165" fontId="11" fillId="0" borderId="1" xfId="0" applyNumberFormat="1" applyFont="1" applyBorder="1"/>
    <xf numFmtId="164" fontId="11" fillId="0" borderId="1" xfId="0" applyNumberFormat="1" applyFont="1" applyBorder="1"/>
    <xf numFmtId="0" fontId="11" fillId="0" borderId="2" xfId="0" applyFont="1" applyBorder="1"/>
    <xf numFmtId="3" fontId="11" fillId="0" borderId="2" xfId="0" applyNumberFormat="1" applyFont="1" applyBorder="1"/>
    <xf numFmtId="0" fontId="11" fillId="0" borderId="2" xfId="0" applyFont="1" applyBorder="1" applyAlignment="1">
      <alignment horizontal="right"/>
    </xf>
    <xf numFmtId="8" fontId="11" fillId="0" borderId="2" xfId="0" applyNumberFormat="1" applyFont="1" applyBorder="1" applyAlignment="1">
      <alignment horizontal="right"/>
    </xf>
    <xf numFmtId="167" fontId="11" fillId="0" borderId="2" xfId="1" applyNumberFormat="1" applyFont="1" applyFill="1" applyBorder="1" applyAlignment="1">
      <alignment horizontal="right"/>
    </xf>
    <xf numFmtId="165" fontId="11" fillId="3" borderId="1" xfId="0" applyNumberFormat="1" applyFont="1" applyFill="1" applyBorder="1"/>
    <xf numFmtId="164" fontId="11" fillId="3" borderId="0" xfId="0" applyNumberFormat="1" applyFont="1" applyFill="1" applyAlignment="1">
      <alignment horizontal="right"/>
    </xf>
    <xf numFmtId="164" fontId="11" fillId="3" borderId="1" xfId="0" applyNumberFormat="1" applyFont="1" applyFill="1" applyBorder="1" applyAlignment="1">
      <alignment horizontal="right"/>
    </xf>
    <xf numFmtId="165" fontId="11" fillId="0" borderId="2" xfId="0" applyNumberFormat="1" applyFont="1" applyBorder="1"/>
    <xf numFmtId="164" fontId="11" fillId="0" borderId="2" xfId="0" applyNumberFormat="1" applyFont="1" applyBorder="1"/>
    <xf numFmtId="3" fontId="11" fillId="0" borderId="0" xfId="1" applyNumberFormat="1" applyFont="1" applyFill="1"/>
    <xf numFmtId="3" fontId="11" fillId="0" borderId="0" xfId="0" applyNumberFormat="1" applyFont="1"/>
    <xf numFmtId="165" fontId="8" fillId="0" borderId="1" xfId="0" applyNumberFormat="1" applyFont="1" applyBorder="1"/>
    <xf numFmtId="0" fontId="4" fillId="0" borderId="20" xfId="0" applyFont="1" applyBorder="1"/>
    <xf numFmtId="0" fontId="4" fillId="0" borderId="0" xfId="0" applyFont="1" applyAlignment="1">
      <alignment horizontal="center"/>
    </xf>
    <xf numFmtId="0" fontId="4" fillId="0" borderId="21" xfId="0" applyFont="1" applyBorder="1" applyAlignment="1">
      <alignment horizontal="right"/>
    </xf>
    <xf numFmtId="0" fontId="11" fillId="0" borderId="4" xfId="0" applyFont="1" applyBorder="1"/>
    <xf numFmtId="5" fontId="11" fillId="0" borderId="0" xfId="0" applyNumberFormat="1" applyFont="1"/>
    <xf numFmtId="5" fontId="11" fillId="0" borderId="5" xfId="0" applyNumberFormat="1" applyFont="1" applyBorder="1"/>
    <xf numFmtId="0" fontId="11" fillId="0" borderId="4" xfId="0" applyFont="1" applyBorder="1" applyAlignment="1">
      <alignment horizontal="left"/>
    </xf>
    <xf numFmtId="5" fontId="11" fillId="3" borderId="0" xfId="0" applyNumberFormat="1" applyFont="1" applyFill="1"/>
    <xf numFmtId="0" fontId="11" fillId="3" borderId="4" xfId="0" applyFont="1" applyFill="1" applyBorder="1" applyAlignment="1">
      <alignment horizontal="left"/>
    </xf>
    <xf numFmtId="5" fontId="11" fillId="3" borderId="1" xfId="0" applyNumberFormat="1" applyFont="1" applyFill="1" applyBorder="1"/>
    <xf numFmtId="5" fontId="11" fillId="3" borderId="5" xfId="0" applyNumberFormat="1" applyFont="1" applyFill="1" applyBorder="1"/>
    <xf numFmtId="0" fontId="4" fillId="0" borderId="4" xfId="0" applyFont="1" applyBorder="1" applyAlignment="1">
      <alignment horizontal="right"/>
    </xf>
    <xf numFmtId="0" fontId="4" fillId="0" borderId="4" xfId="0" applyFont="1" applyBorder="1" applyAlignment="1">
      <alignment horizontal="center"/>
    </xf>
    <xf numFmtId="5" fontId="11" fillId="3" borderId="12" xfId="0" applyNumberFormat="1" applyFont="1" applyFill="1" applyBorder="1"/>
    <xf numFmtId="0" fontId="11" fillId="3" borderId="0" xfId="0" applyFont="1" applyFill="1" applyAlignment="1">
      <alignment horizontal="left"/>
    </xf>
    <xf numFmtId="0" fontId="4" fillId="3" borderId="0" xfId="0" applyFont="1" applyFill="1" applyAlignment="1">
      <alignment horizontal="left"/>
    </xf>
    <xf numFmtId="44" fontId="11" fillId="0" borderId="0" xfId="0" applyNumberFormat="1" applyFont="1"/>
    <xf numFmtId="0" fontId="11" fillId="0" borderId="6" xfId="0" applyFont="1" applyBorder="1"/>
    <xf numFmtId="0" fontId="11" fillId="0" borderId="8" xfId="0" applyFont="1" applyBorder="1"/>
    <xf numFmtId="0" fontId="11" fillId="0" borderId="7" xfId="0" applyFont="1" applyBorder="1"/>
    <xf numFmtId="0" fontId="4" fillId="0" borderId="9" xfId="0" applyFont="1" applyBorder="1" applyAlignment="1">
      <alignment horizontal="left"/>
    </xf>
    <xf numFmtId="44" fontId="2" fillId="0" borderId="0" xfId="2" applyFont="1"/>
    <xf numFmtId="43" fontId="2" fillId="0" borderId="0" xfId="0" applyNumberFormat="1" applyFont="1"/>
    <xf numFmtId="0" fontId="16" fillId="5" borderId="1" xfId="1" applyNumberFormat="1" applyFont="1" applyFill="1" applyBorder="1" applyAlignment="1" applyProtection="1">
      <alignment horizontal="right"/>
    </xf>
    <xf numFmtId="0" fontId="16" fillId="0" borderId="1" xfId="1" applyNumberFormat="1" applyFont="1" applyBorder="1" applyAlignment="1" applyProtection="1">
      <alignment horizontal="right"/>
    </xf>
    <xf numFmtId="43" fontId="16" fillId="5" borderId="0" xfId="1" applyFont="1" applyFill="1" applyBorder="1" applyAlignment="1" applyProtection="1">
      <alignment horizontal="right"/>
    </xf>
    <xf numFmtId="6" fontId="16" fillId="5" borderId="0" xfId="2" applyNumberFormat="1" applyFont="1" applyFill="1" applyBorder="1" applyProtection="1"/>
    <xf numFmtId="167" fontId="11" fillId="0" borderId="1" xfId="1" applyNumberFormat="1" applyFont="1" applyFill="1" applyBorder="1"/>
    <xf numFmtId="0" fontId="4" fillId="0" borderId="10" xfId="0" applyFont="1" applyBorder="1" applyAlignment="1">
      <alignment horizontal="left"/>
    </xf>
    <xf numFmtId="0" fontId="4" fillId="0" borderId="11" xfId="0" applyFont="1" applyBorder="1" applyAlignment="1">
      <alignment horizontal="left"/>
    </xf>
    <xf numFmtId="0" fontId="11" fillId="0" borderId="10" xfId="0" applyFont="1" applyBorder="1"/>
    <xf numFmtId="0" fontId="4" fillId="0" borderId="6" xfId="0" applyFont="1" applyBorder="1" applyAlignment="1">
      <alignment horizontal="left"/>
    </xf>
    <xf numFmtId="0" fontId="8" fillId="0" borderId="1" xfId="0" applyFont="1" applyBorder="1"/>
    <xf numFmtId="0" fontId="11" fillId="0" borderId="0" xfId="0" applyFont="1" applyAlignment="1">
      <alignment vertical="center" wrapText="1"/>
    </xf>
    <xf numFmtId="0" fontId="29" fillId="0" borderId="0" xfId="0" applyFont="1" applyAlignment="1">
      <alignment horizontal="left" vertical="center" wrapText="1" indent="5"/>
    </xf>
    <xf numFmtId="1" fontId="11" fillId="3" borderId="0" xfId="0" applyNumberFormat="1" applyFont="1" applyFill="1"/>
    <xf numFmtId="1" fontId="11" fillId="3" borderId="0" xfId="0" applyNumberFormat="1" applyFont="1" applyFill="1" applyAlignment="1">
      <alignment horizontal="right"/>
    </xf>
    <xf numFmtId="0" fontId="12" fillId="2" borderId="22" xfId="0" applyFont="1" applyFill="1" applyBorder="1" applyAlignment="1">
      <alignment vertical="center"/>
    </xf>
    <xf numFmtId="6" fontId="16" fillId="5" borderId="23" xfId="2" applyNumberFormat="1" applyFont="1" applyFill="1" applyBorder="1" applyProtection="1"/>
    <xf numFmtId="6" fontId="16" fillId="5" borderId="3" xfId="2" applyNumberFormat="1" applyFont="1" applyFill="1" applyBorder="1" applyProtection="1"/>
    <xf numFmtId="6" fontId="16" fillId="5" borderId="27" xfId="2" applyNumberFormat="1" applyFont="1" applyFill="1" applyBorder="1" applyProtection="1"/>
    <xf numFmtId="6" fontId="16" fillId="5" borderId="28" xfId="2" applyNumberFormat="1" applyFont="1" applyFill="1" applyBorder="1" applyProtection="1"/>
    <xf numFmtId="6" fontId="16" fillId="0" borderId="26" xfId="2" applyNumberFormat="1" applyFont="1" applyFill="1" applyBorder="1" applyProtection="1"/>
    <xf numFmtId="5" fontId="4" fillId="0" borderId="29" xfId="0" applyNumberFormat="1" applyFont="1" applyBorder="1"/>
    <xf numFmtId="7" fontId="4" fillId="0" borderId="15" xfId="0" applyNumberFormat="1" applyFont="1" applyBorder="1"/>
    <xf numFmtId="7" fontId="4" fillId="0" borderId="17" xfId="0" applyNumberFormat="1" applyFont="1" applyBorder="1"/>
    <xf numFmtId="167" fontId="11" fillId="3" borderId="0" xfId="1" applyNumberFormat="1" applyFont="1" applyFill="1"/>
    <xf numFmtId="0" fontId="11" fillId="0" borderId="1" xfId="0" applyFont="1" applyBorder="1" applyAlignment="1">
      <alignment horizontal="right"/>
    </xf>
    <xf numFmtId="0" fontId="4" fillId="0" borderId="8" xfId="0" applyFont="1" applyBorder="1" applyAlignment="1">
      <alignment horizontal="right"/>
    </xf>
    <xf numFmtId="9" fontId="4" fillId="0" borderId="7" xfId="3" applyFont="1" applyBorder="1"/>
    <xf numFmtId="0" fontId="31" fillId="0" borderId="0" xfId="0" applyFont="1"/>
    <xf numFmtId="0" fontId="31" fillId="0" borderId="0" xfId="0" applyFont="1" applyAlignment="1">
      <alignment horizontal="left" wrapText="1"/>
    </xf>
    <xf numFmtId="169" fontId="11" fillId="3" borderId="0" xfId="0" applyNumberFormat="1" applyFont="1" applyFill="1"/>
    <xf numFmtId="0" fontId="5" fillId="0" borderId="0" xfId="0" applyFont="1"/>
    <xf numFmtId="0" fontId="6" fillId="0" borderId="0" xfId="0" applyFont="1" applyAlignment="1">
      <alignment horizontal="right"/>
    </xf>
    <xf numFmtId="164" fontId="2" fillId="0" borderId="0" xfId="0" applyNumberFormat="1" applyFont="1"/>
    <xf numFmtId="0" fontId="19" fillId="2" borderId="0" xfId="0" applyFont="1" applyFill="1" applyAlignment="1">
      <alignment horizontal="left"/>
    </xf>
    <xf numFmtId="0" fontId="20" fillId="2" borderId="0" xfId="0" applyFont="1" applyFill="1" applyAlignment="1">
      <alignment horizontal="left"/>
    </xf>
    <xf numFmtId="0" fontId="16" fillId="0" borderId="0" xfId="0" applyFont="1" applyAlignment="1">
      <alignment horizontal="left" vertical="center" wrapText="1"/>
    </xf>
    <xf numFmtId="0" fontId="12" fillId="2" borderId="23" xfId="0" applyFont="1" applyFill="1" applyBorder="1" applyAlignment="1">
      <alignment horizontal="center"/>
    </xf>
    <xf numFmtId="0" fontId="12" fillId="2" borderId="3" xfId="0" applyFont="1" applyFill="1" applyBorder="1" applyAlignment="1">
      <alignment horizontal="center"/>
    </xf>
    <xf numFmtId="0" fontId="2" fillId="0" borderId="0" xfId="0" applyFont="1" applyAlignment="1">
      <alignment horizontal="left" wrapText="1"/>
    </xf>
  </cellXfs>
  <cellStyles count="7">
    <cellStyle name="Comma" xfId="1" builtinId="3"/>
    <cellStyle name="Currency" xfId="2" builtinId="4"/>
    <cellStyle name="Normal" xfId="0" builtinId="0"/>
    <cellStyle name="Normal 2 2" xfId="6" xr:uid="{54F84737-8F30-41EE-B2E9-E79969F6626F}"/>
    <cellStyle name="Normal 2 3" xfId="5" xr:uid="{6B19F111-84DB-4EDD-BAD4-1120655BD9D5}"/>
    <cellStyle name="Output" xfId="4" builtinId="21"/>
    <cellStyle name="Percent" xfId="3" builtinId="5"/>
  </cellStyles>
  <dxfs count="5">
    <dxf>
      <font>
        <color rgb="FFFF0000"/>
      </font>
    </dxf>
    <dxf>
      <numFmt numFmtId="13" formatCode="0%"/>
    </dxf>
    <dxf>
      <font>
        <color rgb="FFFF0000"/>
      </font>
    </dxf>
    <dxf>
      <numFmt numFmtId="13" formatCode="0%"/>
    </dxf>
    <dxf>
      <font>
        <color rgb="FFFF0000"/>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4086225</xdr:colOff>
      <xdr:row>3</xdr:row>
      <xdr:rowOff>76200</xdr:rowOff>
    </xdr:from>
    <xdr:to>
      <xdr:col>1</xdr:col>
      <xdr:colOff>6153150</xdr:colOff>
      <xdr:row>5</xdr:row>
      <xdr:rowOff>206502</xdr:rowOff>
    </xdr:to>
    <xdr:pic>
      <xdr:nvPicPr>
        <xdr:cNvPr id="3" name="Picture 2" descr="University of Missouri Extension">
          <a:extLst>
            <a:ext uri="{FF2B5EF4-FFF2-40B4-BE49-F238E27FC236}">
              <a16:creationId xmlns:a16="http://schemas.microsoft.com/office/drawing/2014/main" id="{40BDB82C-D015-4716-A4CF-2E0406A8D3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05300" y="752475"/>
          <a:ext cx="2066925" cy="5303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A867D-8D2E-4E0F-A04D-EED313044632}">
  <dimension ref="A1:E20"/>
  <sheetViews>
    <sheetView showGridLines="0" tabSelected="1" workbookViewId="0">
      <selection activeCell="B8" sqref="B8"/>
    </sheetView>
  </sheetViews>
  <sheetFormatPr defaultColWidth="0" defaultRowHeight="15" customHeight="1" zeroHeight="1"/>
  <cols>
    <col min="1" max="1" width="3.28515625" customWidth="1"/>
    <col min="2" max="2" width="92.5703125" customWidth="1"/>
    <col min="3" max="3" width="3.28515625" customWidth="1"/>
    <col min="4" max="5" width="0" hidden="1" customWidth="1"/>
    <col min="6" max="16384" width="9.140625" hidden="1"/>
  </cols>
  <sheetData>
    <row r="1" spans="2:2" ht="15.75" thickBot="1"/>
    <row r="2" spans="2:2" ht="21.75" thickBot="1">
      <c r="B2" s="67" t="s">
        <v>88</v>
      </c>
    </row>
    <row r="3" spans="2:2" ht="15.75">
      <c r="B3" s="55" t="s">
        <v>162</v>
      </c>
    </row>
    <row r="4" spans="2:2" ht="15.75">
      <c r="B4" s="21"/>
    </row>
    <row r="5" spans="2:2" ht="15.75">
      <c r="B5" s="22" t="s">
        <v>0</v>
      </c>
    </row>
    <row r="6" spans="2:2" ht="16.5" customHeight="1">
      <c r="B6" s="57" t="s">
        <v>1</v>
      </c>
    </row>
    <row r="7" spans="2:2" ht="15.75">
      <c r="B7" s="23"/>
    </row>
    <row r="8" spans="2:2" ht="66.75" customHeight="1">
      <c r="B8" s="56" t="s">
        <v>132</v>
      </c>
    </row>
    <row r="9" spans="2:2" ht="6.75" customHeight="1">
      <c r="B9" s="20"/>
    </row>
    <row r="10" spans="2:2" ht="31.5">
      <c r="B10" s="147" t="s">
        <v>133</v>
      </c>
    </row>
    <row r="11" spans="2:2" ht="9" customHeight="1">
      <c r="B11" s="20"/>
    </row>
    <row r="12" spans="2:2" ht="31.5">
      <c r="B12" s="148" t="s">
        <v>134</v>
      </c>
    </row>
    <row r="13" spans="2:2" ht="31.5">
      <c r="B13" s="148" t="s">
        <v>135</v>
      </c>
    </row>
    <row r="14" spans="2:2" ht="78.75">
      <c r="B14" s="148" t="s">
        <v>136</v>
      </c>
    </row>
    <row r="15" spans="2:2" ht="31.5">
      <c r="B15" s="148" t="s">
        <v>137</v>
      </c>
    </row>
    <row r="16" spans="2:2" ht="9" customHeight="1">
      <c r="B16" s="148"/>
    </row>
    <row r="17" spans="2:2" s="68" customFormat="1" ht="51.75" customHeight="1">
      <c r="B17" s="147" t="s">
        <v>138</v>
      </c>
    </row>
    <row r="18" spans="2:2" ht="7.5" customHeight="1">
      <c r="B18" s="148"/>
    </row>
    <row r="19" spans="2:2" ht="39.75" customHeight="1">
      <c r="B19" s="58" t="s">
        <v>2</v>
      </c>
    </row>
    <row r="20" spans="2:2" ht="15.75">
      <c r="B20" s="24"/>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AA2E9-F8E2-4DC9-9D41-2640201C5F63}">
  <dimension ref="A1:E13"/>
  <sheetViews>
    <sheetView showGridLines="0" workbookViewId="0">
      <selection activeCell="D4" sqref="D4"/>
    </sheetView>
  </sheetViews>
  <sheetFormatPr defaultColWidth="0" defaultRowHeight="15.75" zeroHeight="1"/>
  <cols>
    <col min="1" max="1" width="3.28515625" style="13" customWidth="1"/>
    <col min="2" max="2" width="46" style="13" bestFit="1" customWidth="1"/>
    <col min="3" max="3" width="14.28515625" style="7" customWidth="1"/>
    <col min="4" max="4" width="11.7109375" style="13" bestFit="1" customWidth="1"/>
    <col min="5" max="5" width="3.28515625" style="13" customWidth="1"/>
    <col min="6" max="16384" width="9.140625" style="13" hidden="1"/>
  </cols>
  <sheetData>
    <row r="1" spans="2:4" ht="18.75">
      <c r="B1" s="170" t="s">
        <v>3</v>
      </c>
      <c r="C1" s="171"/>
      <c r="D1" s="171"/>
    </row>
    <row r="2" spans="2:4">
      <c r="B2" s="30" t="s">
        <v>4</v>
      </c>
      <c r="C2" s="30" t="s">
        <v>5</v>
      </c>
      <c r="D2" s="30" t="s">
        <v>6</v>
      </c>
    </row>
    <row r="3" spans="2:4">
      <c r="B3" s="44" t="s">
        <v>65</v>
      </c>
      <c r="C3" s="59"/>
      <c r="D3" s="59"/>
    </row>
    <row r="4" spans="2:4">
      <c r="B4" s="13" t="s">
        <v>66</v>
      </c>
      <c r="C4" s="7" t="s">
        <v>7</v>
      </c>
      <c r="D4" s="149">
        <v>100</v>
      </c>
    </row>
    <row r="5" spans="2:4">
      <c r="B5" s="13" t="s">
        <v>67</v>
      </c>
      <c r="C5" s="7" t="s">
        <v>68</v>
      </c>
      <c r="D5" s="166">
        <v>2</v>
      </c>
    </row>
    <row r="6" spans="2:4">
      <c r="B6" s="13" t="s">
        <v>8</v>
      </c>
      <c r="C6" s="7" t="s">
        <v>9</v>
      </c>
      <c r="D6" s="150">
        <v>200</v>
      </c>
    </row>
    <row r="7" spans="2:4">
      <c r="B7" s="13" t="s">
        <v>127</v>
      </c>
      <c r="C7" s="7" t="s">
        <v>11</v>
      </c>
      <c r="D7" s="29">
        <v>3.8</v>
      </c>
    </row>
    <row r="8" spans="2:4">
      <c r="B8" s="13" t="s">
        <v>124</v>
      </c>
      <c r="C8" s="7" t="s">
        <v>12</v>
      </c>
      <c r="D8" s="29">
        <v>90</v>
      </c>
    </row>
    <row r="9" spans="2:4">
      <c r="B9" s="13" t="s">
        <v>123</v>
      </c>
      <c r="C9" s="7" t="s">
        <v>139</v>
      </c>
      <c r="D9" s="26">
        <v>1.25</v>
      </c>
    </row>
    <row r="10" spans="2:4">
      <c r="B10" s="44" t="s">
        <v>13</v>
      </c>
      <c r="C10" s="59"/>
      <c r="D10" s="59"/>
    </row>
    <row r="11" spans="2:4">
      <c r="B11" s="13" t="s">
        <v>14</v>
      </c>
      <c r="C11" s="7" t="s">
        <v>15</v>
      </c>
      <c r="D11" s="28">
        <v>7.2499999999999995E-2</v>
      </c>
    </row>
    <row r="12" spans="2:4">
      <c r="B12" s="27" t="s">
        <v>16</v>
      </c>
      <c r="C12" s="146" t="s">
        <v>17</v>
      </c>
      <c r="D12" s="47">
        <v>22.5</v>
      </c>
    </row>
    <row r="13" spans="2:4"/>
  </sheetData>
  <sheetProtection sheet="1" objects="1" scenarios="1"/>
  <protectedRanges>
    <protectedRange sqref="D11:D12 D4:D9" name="Grey cells"/>
  </protectedRanges>
  <mergeCells count="1">
    <mergeCell ref="B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7F00F-7E35-4772-912C-7AABBF6A7BA7}">
  <dimension ref="A1:S23"/>
  <sheetViews>
    <sheetView showGridLines="0" workbookViewId="0">
      <selection activeCell="B13" sqref="B13:I13"/>
    </sheetView>
  </sheetViews>
  <sheetFormatPr defaultColWidth="0" defaultRowHeight="15" customHeight="1" zeroHeight="1"/>
  <cols>
    <col min="1" max="1" width="3.28515625" customWidth="1"/>
    <col min="2" max="2" width="39" customWidth="1"/>
    <col min="3" max="3" width="9.5703125" bestFit="1" customWidth="1"/>
    <col min="4" max="4" width="11.7109375" customWidth="1"/>
    <col min="5" max="5" width="13.140625" customWidth="1"/>
    <col min="6" max="6" width="17.85546875" bestFit="1" customWidth="1"/>
    <col min="7" max="7" width="11" bestFit="1" customWidth="1"/>
    <col min="8" max="8" width="11" customWidth="1"/>
    <col min="9" max="9" width="18.28515625" customWidth="1"/>
    <col min="10" max="10" width="3.28515625" customWidth="1"/>
    <col min="11" max="11" width="28.7109375" hidden="1" customWidth="1"/>
    <col min="12" max="12" width="9.140625" hidden="1" customWidth="1"/>
    <col min="13" max="13" width="12.7109375" hidden="1" customWidth="1"/>
    <col min="14" max="14" width="9.140625" hidden="1" customWidth="1"/>
    <col min="15" max="15" width="10.7109375" hidden="1" customWidth="1"/>
    <col min="16" max="16" width="10.5703125" hidden="1" customWidth="1"/>
    <col min="17" max="17" width="10.7109375" hidden="1" customWidth="1"/>
    <col min="18" max="18" width="18.140625" hidden="1" customWidth="1"/>
    <col min="19" max="19" width="3.28515625" hidden="1" customWidth="1"/>
    <col min="20" max="16384" width="9.140625" hidden="1"/>
  </cols>
  <sheetData>
    <row r="1" spans="2:9" ht="18.75" customHeight="1">
      <c r="B1" s="60" t="s">
        <v>80</v>
      </c>
      <c r="C1" s="60"/>
      <c r="D1" s="60"/>
      <c r="E1" s="60"/>
      <c r="F1" s="60"/>
      <c r="G1" s="60"/>
      <c r="H1" s="60"/>
      <c r="I1" s="60"/>
    </row>
    <row r="2" spans="2:9" ht="18.75" customHeight="1">
      <c r="B2" s="34"/>
      <c r="C2" s="34"/>
      <c r="D2" s="34"/>
      <c r="E2" s="34"/>
      <c r="F2" s="34"/>
      <c r="G2" s="34"/>
      <c r="H2" s="34"/>
      <c r="I2" s="34"/>
    </row>
    <row r="3" spans="2:9" ht="18.75">
      <c r="B3" s="167" t="s">
        <v>140</v>
      </c>
      <c r="C3" s="167"/>
      <c r="D3" s="167"/>
      <c r="E3" s="167"/>
      <c r="F3" s="167"/>
      <c r="G3" s="167"/>
      <c r="H3" s="167"/>
      <c r="I3" s="167"/>
    </row>
    <row r="4" spans="2:9" ht="15" customHeight="1">
      <c r="B4" s="86" t="s">
        <v>77</v>
      </c>
      <c r="C4" s="45" t="s">
        <v>6</v>
      </c>
      <c r="D4" s="45" t="s">
        <v>5</v>
      </c>
      <c r="E4" s="45" t="s">
        <v>18</v>
      </c>
      <c r="F4" s="45" t="s">
        <v>141</v>
      </c>
      <c r="G4" s="86" t="s">
        <v>19</v>
      </c>
      <c r="H4" s="86" t="s">
        <v>20</v>
      </c>
      <c r="I4" s="86" t="s">
        <v>79</v>
      </c>
    </row>
    <row r="5" spans="2:9" ht="15" customHeight="1">
      <c r="B5" s="87" t="s">
        <v>21</v>
      </c>
      <c r="C5" s="111">
        <f>'General assumptions'!D4</f>
        <v>100</v>
      </c>
      <c r="D5" s="89" t="s">
        <v>22</v>
      </c>
      <c r="E5" s="90">
        <v>300</v>
      </c>
      <c r="F5" s="91">
        <v>6</v>
      </c>
      <c r="G5" s="92">
        <f>C5*E5</f>
        <v>30000</v>
      </c>
      <c r="H5" s="92">
        <f>(G5+G5/2*'General assumptions'!$D$11)/F5*(1-$G$10/$G$11)</f>
        <v>5181.25</v>
      </c>
      <c r="I5" s="93">
        <f>H5/'General assumptions'!$D$6</f>
        <v>25.90625</v>
      </c>
    </row>
    <row r="6" spans="2:9" ht="15" customHeight="1">
      <c r="B6" s="26" t="s">
        <v>23</v>
      </c>
      <c r="C6" s="94">
        <v>1</v>
      </c>
      <c r="D6" s="89" t="s">
        <v>24</v>
      </c>
      <c r="E6" s="90">
        <v>6000</v>
      </c>
      <c r="F6" s="91">
        <v>8</v>
      </c>
      <c r="G6" s="92">
        <f>C6*E6</f>
        <v>6000</v>
      </c>
      <c r="H6" s="92">
        <f>(G6+G6/2*'General assumptions'!$D$11)/F6*(1-$G$10/$G$11)</f>
        <v>777.1875</v>
      </c>
      <c r="I6" s="93">
        <f>H6/'General assumptions'!$D$6</f>
        <v>3.8859374999999998</v>
      </c>
    </row>
    <row r="7" spans="2:9" ht="15" customHeight="1">
      <c r="B7" s="26" t="s">
        <v>25</v>
      </c>
      <c r="C7" s="94">
        <v>2</v>
      </c>
      <c r="D7" s="89" t="s">
        <v>22</v>
      </c>
      <c r="E7" s="90">
        <v>300</v>
      </c>
      <c r="F7" s="91">
        <v>6</v>
      </c>
      <c r="G7" s="92">
        <f>C7*E7</f>
        <v>600</v>
      </c>
      <c r="H7" s="92">
        <f>(G7+G7/2*'General assumptions'!$D$11)/F7*(1-$G$10/$G$11)</f>
        <v>103.625</v>
      </c>
      <c r="I7" s="93">
        <f>H7/'General assumptions'!$D$6</f>
        <v>0.51812499999999995</v>
      </c>
    </row>
    <row r="8" spans="2:9" ht="15" customHeight="1">
      <c r="B8" s="26" t="s">
        <v>118</v>
      </c>
      <c r="C8" s="94">
        <v>8</v>
      </c>
      <c r="D8" s="89" t="s">
        <v>26</v>
      </c>
      <c r="E8" s="90">
        <v>22.5</v>
      </c>
      <c r="F8" s="91">
        <v>6</v>
      </c>
      <c r="G8" s="92">
        <f t="shared" ref="G8" si="0">C8*E8</f>
        <v>180</v>
      </c>
      <c r="H8" s="92">
        <f>(G8+G8/2*'General assumptions'!$D$11)/F8*(1-$G$10/$G$11)</f>
        <v>31.087500000000002</v>
      </c>
      <c r="I8" s="93">
        <f>H8/'General assumptions'!$D$6</f>
        <v>0.15543750000000001</v>
      </c>
    </row>
    <row r="9" spans="2:9" ht="15" customHeight="1">
      <c r="B9" s="77" t="s">
        <v>28</v>
      </c>
      <c r="C9" s="95">
        <v>0</v>
      </c>
      <c r="D9" s="96" t="s">
        <v>142</v>
      </c>
      <c r="E9" s="97">
        <v>0</v>
      </c>
      <c r="F9" s="98">
        <v>1</v>
      </c>
      <c r="G9" s="99">
        <f>C9*E9</f>
        <v>0</v>
      </c>
      <c r="H9" s="99">
        <f>(G9+G9/2*'General assumptions'!$D$11)/F9*(1-$G$10/$G$11)</f>
        <v>0</v>
      </c>
      <c r="I9" s="100">
        <f>H9/'General assumptions'!$D$6</f>
        <v>0</v>
      </c>
    </row>
    <row r="10" spans="2:9" ht="15" customHeight="1">
      <c r="B10" s="101" t="s">
        <v>29</v>
      </c>
      <c r="C10" s="102"/>
      <c r="D10" s="103"/>
      <c r="E10" s="104"/>
      <c r="F10" s="105"/>
      <c r="G10" s="106">
        <v>0</v>
      </c>
      <c r="H10" s="99"/>
      <c r="I10" s="100"/>
    </row>
    <row r="11" spans="2:9" ht="15" customHeight="1">
      <c r="B11" s="27"/>
      <c r="C11" s="27"/>
      <c r="D11" s="27"/>
      <c r="E11" s="81" t="s">
        <v>30</v>
      </c>
      <c r="F11" s="81"/>
      <c r="G11" s="99">
        <f>SUM(G5:G9)-G10</f>
        <v>36780</v>
      </c>
      <c r="H11" s="99">
        <f>SUM(H5:H9)</f>
        <v>6093.15</v>
      </c>
      <c r="I11" s="100">
        <f>SUM(I5:I9)</f>
        <v>30.465750000000003</v>
      </c>
    </row>
    <row r="12" spans="2:9"/>
    <row r="13" spans="2:9" ht="18" customHeight="1">
      <c r="B13" s="6" t="s">
        <v>81</v>
      </c>
      <c r="C13" s="2"/>
      <c r="D13" s="2"/>
      <c r="E13" s="9" t="s">
        <v>31</v>
      </c>
      <c r="F13" s="168"/>
      <c r="G13" s="5"/>
      <c r="H13" s="5"/>
      <c r="I13" s="169"/>
    </row>
    <row r="14" spans="2:9" ht="15" customHeight="1">
      <c r="B14" s="86" t="s">
        <v>78</v>
      </c>
      <c r="C14" s="86" t="s">
        <v>6</v>
      </c>
      <c r="D14" s="45" t="s">
        <v>5</v>
      </c>
      <c r="E14" s="45" t="s">
        <v>18</v>
      </c>
      <c r="F14" s="45" t="s">
        <v>141</v>
      </c>
      <c r="G14" s="86" t="s">
        <v>19</v>
      </c>
      <c r="H14" s="86" t="s">
        <v>20</v>
      </c>
      <c r="I14" s="86" t="s">
        <v>79</v>
      </c>
    </row>
    <row r="15" spans="2:9" ht="15" customHeight="1">
      <c r="B15" s="26" t="s">
        <v>32</v>
      </c>
      <c r="C15" s="88">
        <v>0</v>
      </c>
      <c r="D15" s="89" t="s">
        <v>27</v>
      </c>
      <c r="E15" s="29">
        <v>1.26</v>
      </c>
      <c r="F15" s="160">
        <v>40</v>
      </c>
      <c r="G15" s="92">
        <f>C15*E15</f>
        <v>0</v>
      </c>
      <c r="H15" s="92">
        <f>IFERROR((G15+G15/2*'General assumptions'!$D$11)/F15*(1-$G$21/$G$22),0)</f>
        <v>0</v>
      </c>
      <c r="I15" s="93">
        <f>IFERROR(H15/'General assumptions'!$D$6,0)</f>
        <v>0</v>
      </c>
    </row>
    <row r="16" spans="2:9" ht="15" customHeight="1">
      <c r="B16" s="26" t="s">
        <v>33</v>
      </c>
      <c r="C16" s="112">
        <f>C15</f>
        <v>0</v>
      </c>
      <c r="D16" s="89" t="s">
        <v>27</v>
      </c>
      <c r="E16" s="29">
        <v>1.36</v>
      </c>
      <c r="F16" s="160">
        <v>40</v>
      </c>
      <c r="G16" s="92">
        <f t="shared" ref="G16:G20" si="1">C16*E16</f>
        <v>0</v>
      </c>
      <c r="H16" s="92">
        <f>IFERROR((G16+G16/2*'General assumptions'!$D$11)/F16*(1-$G$21/$G$22),0)</f>
        <v>0</v>
      </c>
      <c r="I16" s="93">
        <f>IFERROR(H16/'General assumptions'!$D$6,0)</f>
        <v>0</v>
      </c>
    </row>
    <row r="17" spans="2:9" ht="15" customHeight="1">
      <c r="B17" s="26" t="s">
        <v>34</v>
      </c>
      <c r="C17" s="94">
        <v>0</v>
      </c>
      <c r="D17" s="89" t="s">
        <v>35</v>
      </c>
      <c r="E17" s="107">
        <v>20</v>
      </c>
      <c r="F17" s="91">
        <v>40</v>
      </c>
      <c r="G17" s="92">
        <f t="shared" si="1"/>
        <v>0</v>
      </c>
      <c r="H17" s="92">
        <f>IFERROR((G17+G17/2*'General assumptions'!$D$11)/F17*(1-$G$21/$G$22),0)</f>
        <v>0</v>
      </c>
      <c r="I17" s="93">
        <f>IFERROR(H17/'General assumptions'!$D$6,0)</f>
        <v>0</v>
      </c>
    </row>
    <row r="18" spans="2:9" ht="15" customHeight="1">
      <c r="B18" s="26" t="s">
        <v>36</v>
      </c>
      <c r="C18" s="94">
        <v>0</v>
      </c>
      <c r="D18" s="89" t="s">
        <v>37</v>
      </c>
      <c r="E18" s="107">
        <v>715</v>
      </c>
      <c r="F18" s="91">
        <v>10</v>
      </c>
      <c r="G18" s="92">
        <f t="shared" si="1"/>
        <v>0</v>
      </c>
      <c r="H18" s="92">
        <f>IFERROR((G18+G18/2*'General assumptions'!$D$11)/F18*(1-$G$21/$G$22),0)</f>
        <v>0</v>
      </c>
      <c r="I18" s="93">
        <f>IFERROR(H18/'General assumptions'!$D$6,0)</f>
        <v>0</v>
      </c>
    </row>
    <row r="19" spans="2:9" ht="15" customHeight="1">
      <c r="B19" s="26" t="s">
        <v>38</v>
      </c>
      <c r="C19" s="88">
        <v>0</v>
      </c>
      <c r="D19" s="89" t="s">
        <v>39</v>
      </c>
      <c r="E19" s="107">
        <v>25000</v>
      </c>
      <c r="F19" s="91">
        <v>40</v>
      </c>
      <c r="G19" s="92">
        <f t="shared" si="1"/>
        <v>0</v>
      </c>
      <c r="H19" s="92">
        <f>IFERROR((G19+G19/2*'General assumptions'!$D$11)/F19*(1-$G$21/$G$22),0)</f>
        <v>0</v>
      </c>
      <c r="I19" s="93">
        <f>IFERROR(H19/'General assumptions'!$D$6,0)</f>
        <v>0</v>
      </c>
    </row>
    <row r="20" spans="2:9" ht="15" customHeight="1">
      <c r="B20" s="77" t="s">
        <v>28</v>
      </c>
      <c r="C20" s="95">
        <v>0</v>
      </c>
      <c r="D20" s="96" t="s">
        <v>142</v>
      </c>
      <c r="E20" s="108">
        <v>0</v>
      </c>
      <c r="F20" s="98">
        <v>1</v>
      </c>
      <c r="G20" s="99">
        <f t="shared" si="1"/>
        <v>0</v>
      </c>
      <c r="H20" s="99">
        <f>IFERROR((G20+G20/2*'General assumptions'!$D$11)/F20*(1-$G$21/$G$22),0)</f>
        <v>0</v>
      </c>
      <c r="I20" s="100">
        <f>IFERROR(H20/'General assumptions'!$D$6,0)</f>
        <v>0</v>
      </c>
    </row>
    <row r="21" spans="2:9" ht="15" customHeight="1">
      <c r="B21" s="101" t="s">
        <v>29</v>
      </c>
      <c r="C21" s="102"/>
      <c r="D21" s="103"/>
      <c r="E21" s="104"/>
      <c r="F21" s="105"/>
      <c r="G21" s="106">
        <v>0</v>
      </c>
      <c r="H21" s="99"/>
      <c r="I21" s="100"/>
    </row>
    <row r="22" spans="2:9" ht="15" customHeight="1">
      <c r="B22" s="27"/>
      <c r="C22" s="27"/>
      <c r="D22" s="27"/>
      <c r="E22" s="81" t="s">
        <v>40</v>
      </c>
      <c r="F22" s="81"/>
      <c r="G22" s="109">
        <f>SUM(G15:G20)-G21</f>
        <v>0</v>
      </c>
      <c r="H22" s="109">
        <f>SUM(H15:H20)</f>
        <v>0</v>
      </c>
      <c r="I22" s="110">
        <f>SUM(I15:I20)</f>
        <v>0</v>
      </c>
    </row>
    <row r="23" spans="2:9" ht="15" customHeight="1"/>
  </sheetData>
  <sheetProtection sheet="1" objects="1" scenarios="1"/>
  <protectedRanges>
    <protectedRange sqref="B5:B9 C6:C9 E5:F9 B15:B20 C15 C17:C20 D20:F20 E15:F19 G21 G10" name="Grey cells"/>
  </protectedRange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EDDE9-DAFE-45AE-A683-E2D306DD6DA5}">
  <dimension ref="A1:V33"/>
  <sheetViews>
    <sheetView showGridLines="0" zoomScaleNormal="100" workbookViewId="0"/>
  </sheetViews>
  <sheetFormatPr defaultColWidth="0" defaultRowHeight="15" zeroHeight="1"/>
  <cols>
    <col min="1" max="1" width="3.140625" style="2" customWidth="1"/>
    <col min="2" max="2" width="45.5703125" style="2" customWidth="1"/>
    <col min="3" max="3" width="12.7109375" style="2" bestFit="1" customWidth="1"/>
    <col min="4" max="4" width="9.85546875" style="2" bestFit="1" customWidth="1"/>
    <col min="5" max="5" width="38" style="2" customWidth="1"/>
    <col min="6" max="6" width="16.85546875" style="2" customWidth="1"/>
    <col min="7" max="7" width="14.140625" style="2" customWidth="1"/>
    <col min="8" max="8" width="3.28515625" style="2" customWidth="1"/>
    <col min="9" max="9" width="29" style="2" customWidth="1"/>
    <col min="10" max="10" width="21.140625" style="2" bestFit="1" customWidth="1"/>
    <col min="11" max="11" width="10.7109375" style="2" customWidth="1"/>
    <col min="12" max="12" width="10" style="2" customWidth="1"/>
    <col min="13" max="13" width="11.7109375" style="2" bestFit="1" customWidth="1"/>
    <col min="14" max="15" width="9.140625" style="2" customWidth="1"/>
    <col min="16" max="16" width="3.28515625" style="2" customWidth="1"/>
    <col min="17" max="18" width="9.140625" style="2" hidden="1" customWidth="1"/>
    <col min="19" max="19" width="10.7109375" style="2" hidden="1" customWidth="1"/>
    <col min="20" max="20" width="10.140625" style="2" hidden="1" customWidth="1"/>
    <col min="21" max="16384" width="9.140625" style="2" hidden="1"/>
  </cols>
  <sheetData>
    <row r="1" spans="2:22" ht="24">
      <c r="B1" s="151" t="s">
        <v>144</v>
      </c>
      <c r="C1" s="61"/>
      <c r="D1" s="62"/>
      <c r="E1" s="62"/>
      <c r="F1" s="62"/>
      <c r="G1" s="63"/>
      <c r="H1" s="1"/>
      <c r="I1" s="14" t="s">
        <v>82</v>
      </c>
      <c r="J1" s="15"/>
      <c r="K1" s="15"/>
      <c r="L1" s="15"/>
      <c r="M1" s="15"/>
      <c r="N1" s="16"/>
      <c r="O1" s="17"/>
    </row>
    <row r="2" spans="2:22" ht="17.100000000000001" customHeight="1">
      <c r="B2" s="40"/>
      <c r="C2" s="40"/>
      <c r="D2" s="40"/>
      <c r="E2" s="40"/>
      <c r="F2" s="40"/>
      <c r="G2" s="40"/>
      <c r="H2" s="1"/>
      <c r="I2" s="39" t="s">
        <v>41</v>
      </c>
      <c r="K2" s="66"/>
      <c r="L2" s="66" t="str">
        <f>IF(I3=R14,V19,V20)</f>
        <v>Change in grazing days</v>
      </c>
      <c r="M2" s="66"/>
      <c r="N2" s="66"/>
      <c r="O2" s="66"/>
    </row>
    <row r="3" spans="2:22" ht="49.5" customHeight="1">
      <c r="B3" s="172" t="s">
        <v>163</v>
      </c>
      <c r="C3" s="172"/>
      <c r="D3" s="172"/>
      <c r="E3" s="172"/>
      <c r="F3" s="172"/>
      <c r="G3" s="172"/>
      <c r="H3" s="1"/>
      <c r="I3" s="64" t="s">
        <v>73</v>
      </c>
      <c r="J3" s="137">
        <f t="shared" ref="J3:L3" si="0">IF($L$2=$V$20,"$"&amp;Q4*100,Q6)</f>
        <v>-15</v>
      </c>
      <c r="K3" s="137">
        <f t="shared" si="0"/>
        <v>-10</v>
      </c>
      <c r="L3" s="137">
        <f t="shared" si="0"/>
        <v>-5</v>
      </c>
      <c r="M3" s="138">
        <f>IF($L$2=$V$20,"$"&amp;T4*100,T6)</f>
        <v>0</v>
      </c>
      <c r="N3" s="137">
        <f t="shared" ref="N3:O3" si="1">IF($L$2=$V$20,"$"&amp;U4*100,U6)</f>
        <v>5</v>
      </c>
      <c r="O3" s="137">
        <f t="shared" si="1"/>
        <v>10</v>
      </c>
      <c r="T3" s="2" t="s">
        <v>127</v>
      </c>
    </row>
    <row r="4" spans="2:22" ht="17.100000000000001" customHeight="1">
      <c r="B4" s="42"/>
      <c r="C4" s="38"/>
      <c r="D4" s="38"/>
      <c r="E4" s="38"/>
      <c r="F4" s="38"/>
      <c r="G4" s="38"/>
      <c r="H4" s="1"/>
      <c r="I4" s="52">
        <f>IF($I$3=$R$15,$I5-10,$I$7-150)</f>
        <v>-22.6935</v>
      </c>
      <c r="J4" s="37">
        <f>IF($I$3=$R$14,(J$3*'General assumptions'!$D$9*'General assumptions'!$D$8+$C$18)/'General assumptions'!$D$4-$I4,(($S19/100*J$3-($G$20+$G$27-SUM($C$27,$C$15:$C$17)))/'General assumptions'!$D$4))</f>
        <v>119.8185</v>
      </c>
      <c r="K4" s="37">
        <f>IF($I$3=$R$14,(K$3*'General assumptions'!$D$9*'General assumptions'!$D$8+$C$18)/'General assumptions'!$D$4-$I4,(($S19/100*K$3-($G$20+$G$27-SUM($C$27,$C$15:$C$17)))/'General assumptions'!$D$4))</f>
        <v>125.4435</v>
      </c>
      <c r="L4" s="37">
        <f>IF($I$3=$R$14,(L$3*'General assumptions'!$D$9*'General assumptions'!$D$8+$C$18)/'General assumptions'!$D$4-$I4,(($S19/100*L$3-($G$20+$G$27-SUM($C$27,$C$15:$C$17)))/'General assumptions'!$D$4))</f>
        <v>131.0685</v>
      </c>
      <c r="M4" s="37">
        <f>IF($I$3=$R$14,(M$3*'General assumptions'!$D$9*'General assumptions'!$D$8+$C$18)/'General assumptions'!$D$4-$I4,(($S19/100*M$3-($G$20+$G$27-SUM($C$27,$C$15:$C$17)))/'General assumptions'!$D$4))</f>
        <v>136.6935</v>
      </c>
      <c r="N4" s="37">
        <f>IF($I$3=$R$14,(N$3*'General assumptions'!$D$9*'General assumptions'!$D$8+$C$18)/'General assumptions'!$D$4-$I4,(($S19/100*N$3-($G$20+$G$27-SUM($C$27,$C$15:$C$17)))/'General assumptions'!$D$4))</f>
        <v>142.3185</v>
      </c>
      <c r="O4" s="37">
        <f>IF($I$3=$R$14,(O$3*'General assumptions'!$D$9*'General assumptions'!$D$8+$C$18)/'General assumptions'!$D$4-$I4,(($S19/100*O$3-($G$20+$G$27-SUM($C$27,$C$15:$C$17)))/'General assumptions'!$D$4))</f>
        <v>147.9435</v>
      </c>
      <c r="Q4" s="2">
        <f>ROUND(T4*0.85,2)</f>
        <v>3.23</v>
      </c>
      <c r="R4" s="2">
        <f>ROUND(T4*0.9,2)</f>
        <v>3.42</v>
      </c>
      <c r="S4" s="2">
        <f>ROUND(T4*0.95,2)</f>
        <v>3.61</v>
      </c>
      <c r="T4" s="135">
        <f>'General assumptions'!D7</f>
        <v>3.8</v>
      </c>
      <c r="U4" s="2">
        <f>ROUND(T4/0.95,2)</f>
        <v>4</v>
      </c>
      <c r="V4" s="2">
        <f>ROUND(T4*1.1,2)</f>
        <v>4.18</v>
      </c>
    </row>
    <row r="5" spans="2:22" ht="17.100000000000001" customHeight="1">
      <c r="B5" s="41" t="s">
        <v>42</v>
      </c>
      <c r="C5" s="38"/>
      <c r="D5" s="38"/>
      <c r="E5" s="38"/>
      <c r="F5" s="38"/>
      <c r="G5" s="38"/>
      <c r="H5" s="1"/>
      <c r="I5" s="52">
        <f>IF($I$3=$R$15,$I6-10,$I$7-100)</f>
        <v>27.3065</v>
      </c>
      <c r="J5" s="37">
        <f>IF($I$3=$R$14,(J$3*'General assumptions'!$D$9*'General assumptions'!$D$8+$C$18)/'General assumptions'!$D$4-$I5,(($S20/100*J$3-($G$20+$G$27-SUM($C$27,$C$15:$C$17)))/'General assumptions'!$D$4))</f>
        <v>69.8185</v>
      </c>
      <c r="K5" s="37">
        <f>IF($I$3=$R$14,(K$3*'General assumptions'!$D$9*'General assumptions'!$D$8+$C$18)/'General assumptions'!$D$4-$I5,(($S20/100*K$3-($G$20+$G$27-SUM($C$27,$C$15:$C$17)))/'General assumptions'!$D$4))</f>
        <v>75.4435</v>
      </c>
      <c r="L5" s="37">
        <f>IF($I$3=$R$14,(L$3*'General assumptions'!$D$9*'General assumptions'!$D$8+$C$18)/'General assumptions'!$D$4-$I5,(($S20/100*L$3-($G$20+$G$27-SUM($C$27,$C$15:$C$17)))/'General assumptions'!$D$4))</f>
        <v>81.0685</v>
      </c>
      <c r="M5" s="37">
        <f>IF($I$3=$R$14,(M$3*'General assumptions'!$D$9*'General assumptions'!$D$8+$C$18)/'General assumptions'!$D$4-$I5,(($S20/100*M$3-($G$20+$G$27-SUM($C$27,$C$15:$C$17)))/'General assumptions'!$D$4))</f>
        <v>86.6935</v>
      </c>
      <c r="N5" s="37">
        <f>IF($I$3=$R$14,(N$3*'General assumptions'!$D$9*'General assumptions'!$D$8+$C$18)/'General assumptions'!$D$4-$I5,(($S20/100*N$3-($G$20+$G$27-SUM($C$27,$C$15:$C$17)))/'General assumptions'!$D$4))</f>
        <v>92.3185</v>
      </c>
      <c r="O5" s="37">
        <f>IF($I$3=$R$14,(O$3*'General assumptions'!$D$9*'General assumptions'!$D$8+$C$18)/'General assumptions'!$D$4-$I5,(($S20/100*O$3-($G$20+$G$27-SUM($C$27,$C$15:$C$17)))/'General assumptions'!$D$4))</f>
        <v>97.9435</v>
      </c>
      <c r="T5" s="2" t="s">
        <v>125</v>
      </c>
    </row>
    <row r="6" spans="2:22" ht="17.100000000000001" customHeight="1" thickBot="1">
      <c r="B6" s="44" t="s">
        <v>87</v>
      </c>
      <c r="C6" s="45" t="s">
        <v>43</v>
      </c>
      <c r="D6" s="44" t="s">
        <v>5</v>
      </c>
      <c r="E6" s="44" t="s">
        <v>87</v>
      </c>
      <c r="F6" s="45" t="s">
        <v>43</v>
      </c>
      <c r="G6" s="44" t="s">
        <v>5</v>
      </c>
      <c r="H6" s="1"/>
      <c r="I6" s="52">
        <f>IF($I$3=$R$15,$I7-10,$I$7-50)</f>
        <v>77.3065</v>
      </c>
      <c r="J6" s="37">
        <f>IF($I$3=$R$14,(J$3*'General assumptions'!$D$9*'General assumptions'!$D$8+$C$18)/'General assumptions'!$D$4-$I6,(($S21/100*J$3-($G$20+$G$27-SUM($C$27,$C$15:$C$17)))/'General assumptions'!$D$4))</f>
        <v>19.8185</v>
      </c>
      <c r="K6" s="37">
        <f>IF($I$3=$R$14,(K$3*'General assumptions'!$D$9*'General assumptions'!$D$8+$C$18)/'General assumptions'!$D$4-$I6,(($S21/100*K$3-($G$20+$G$27-SUM($C$27,$C$15:$C$17)))/'General assumptions'!$D$4))</f>
        <v>25.4435</v>
      </c>
      <c r="L6" s="37">
        <f>IF($I$3=$R$14,(L$3*'General assumptions'!$D$9*'General assumptions'!$D$8+$C$18)/'General assumptions'!$D$4-$I6,(($S21/100*L$3-($G$20+$G$27-SUM($C$27,$C$15:$C$17)))/'General assumptions'!$D$4))</f>
        <v>31.0685</v>
      </c>
      <c r="M6" s="154">
        <f>IF($I$3=$R$14,(M$3*'General assumptions'!$D$9*'General assumptions'!$D$8+$C$18)/'General assumptions'!$D$4-$I6,(($S21/100*M$3-($G$20+$G$27-SUM($C$27,$C$15:$C$17)))/'General assumptions'!$D$4))</f>
        <v>36.6935</v>
      </c>
      <c r="N6" s="37">
        <f>IF($I$3=$R$14,(N$3*'General assumptions'!$D$9*'General assumptions'!$D$8+$C$18)/'General assumptions'!$D$4-$I6,(($S21/100*N$3-($G$20+$G$27-SUM($C$27,$C$15:$C$17)))/'General assumptions'!$D$4))</f>
        <v>42.3185</v>
      </c>
      <c r="O6" s="37">
        <f>IF($I$3=$R$14,(O$3*'General assumptions'!$D$9*'General assumptions'!$D$8+$C$18)/'General assumptions'!$D$4-$I6,(($S21/100*O$3-($G$20+$G$27-SUM($C$27,$C$15:$C$17)))/'General assumptions'!$D$4))</f>
        <v>47.9435</v>
      </c>
      <c r="Q6" s="2">
        <f t="shared" ref="Q6:R6" si="2">R6-5</f>
        <v>-15</v>
      </c>
      <c r="R6" s="2">
        <f t="shared" si="2"/>
        <v>-10</v>
      </c>
      <c r="S6" s="2">
        <f>T6-5</f>
        <v>-5</v>
      </c>
      <c r="T6" s="136">
        <f>C8</f>
        <v>0</v>
      </c>
      <c r="U6" s="2">
        <f>T6+5</f>
        <v>5</v>
      </c>
      <c r="V6" s="2">
        <f>U6+5</f>
        <v>10</v>
      </c>
    </row>
    <row r="7" spans="2:22" ht="17.100000000000001" customHeight="1" thickBot="1">
      <c r="B7" s="43" t="s">
        <v>128</v>
      </c>
      <c r="C7" s="149">
        <v>15</v>
      </c>
      <c r="D7" s="35" t="s">
        <v>10</v>
      </c>
      <c r="E7" s="13" t="s">
        <v>129</v>
      </c>
      <c r="F7" s="107">
        <v>50</v>
      </c>
      <c r="G7" s="35" t="s">
        <v>44</v>
      </c>
      <c r="H7" s="1"/>
      <c r="I7" s="53">
        <f>IF(I3=R14,(G20-C27+C23)/'General assumptions'!$D$4,C7)</f>
        <v>127.3065</v>
      </c>
      <c r="J7" s="37">
        <f>IF($I$3=$R$14,(J$3*'General assumptions'!$D$9*'General assumptions'!$D$8+$C$18)/'General assumptions'!$D$4-$I7,(($S22/100*J$3-($G$20+$G$27-SUM($C$27,$C$15:$C$17)))/'General assumptions'!$D$4))</f>
        <v>-30.1815</v>
      </c>
      <c r="K7" s="37">
        <f>IF($I$3=$R$14,(K$3*'General assumptions'!$D$9*'General assumptions'!$D$8+$C$18)/'General assumptions'!$D$4-$I7,(($S22/100*K$3-($G$20+$G$27-SUM($C$27,$C$15:$C$17)))/'General assumptions'!$D$4))</f>
        <v>-24.5565</v>
      </c>
      <c r="L7" s="152">
        <f>IF($I$3=$R$14,(L$3*'General assumptions'!$D$9*'General assumptions'!$D$8+$C$18)/'General assumptions'!$D$4-$I7,(($S22/100*L$3-($G$20+$G$27-SUM($C$27,$C$15:$C$17)))/'General assumptions'!$D$4))</f>
        <v>-18.9315</v>
      </c>
      <c r="M7" s="156">
        <f>IF($I$3=$R$14,(M$3*'General assumptions'!$D$9*'General assumptions'!$D$8+$C$18)/'General assumptions'!$D$4-$I7,(($S22/100*M$3-($G$20+$G$27-SUM($C$27,$C$15:$C$17)))/'General assumptions'!$D$4))</f>
        <v>-13.3065</v>
      </c>
      <c r="N7" s="153">
        <f>IF($I$3=$R$14,(N$3*'General assumptions'!$D$9*'General assumptions'!$D$8+$C$18)/'General assumptions'!$D$4-$I7,(($S22/100*N$3-($G$20+$G$27-SUM($C$27,$C$15:$C$17)))/'General assumptions'!$D$4))</f>
        <v>-7.6814999999999998</v>
      </c>
      <c r="O7" s="37">
        <f>IF($I$3=$R$14,(O$3*'General assumptions'!$D$9*'General assumptions'!$D$8+$C$18)/'General assumptions'!$D$4-$I7,(($S22/100*O$3-($G$20+$G$27-SUM($C$27,$C$15:$C$17)))/'General assumptions'!$D$4))</f>
        <v>-2.0564999999999998</v>
      </c>
    </row>
    <row r="8" spans="2:22" ht="17.100000000000001" customHeight="1">
      <c r="B8" s="13" t="s">
        <v>148</v>
      </c>
      <c r="C8" s="26">
        <v>0</v>
      </c>
      <c r="D8" s="35" t="s">
        <v>45</v>
      </c>
      <c r="E8" s="43" t="s">
        <v>119</v>
      </c>
      <c r="F8" s="26">
        <v>25</v>
      </c>
      <c r="G8" s="35" t="s">
        <v>26</v>
      </c>
      <c r="H8" s="1"/>
      <c r="I8" s="52">
        <f>IF($I$3=$R$15,$I7+10,$I$7+50)</f>
        <v>177.3065</v>
      </c>
      <c r="J8" s="37">
        <f>IF($I$3=$R$14,(J$3*'General assumptions'!$D$9*'General assumptions'!$D$8+$C$18)/'General assumptions'!$D$4-$I8,(($S23/100*J$3-($G$20+$G$27-SUM($C$27,$C$15:$C$17)))/'General assumptions'!$D$4))</f>
        <v>-80.1815</v>
      </c>
      <c r="K8" s="37">
        <f>IF($I$3=$R$14,(K$3*'General assumptions'!$D$9*'General assumptions'!$D$8+$C$18)/'General assumptions'!$D$4-$I8,(($S23/100*K$3-($G$20+$G$27-SUM($C$27,$C$15:$C$17)))/'General assumptions'!$D$4))</f>
        <v>-74.5565</v>
      </c>
      <c r="L8" s="37">
        <f>IF($I$3=$R$14,(L$3*'General assumptions'!$D$9*'General assumptions'!$D$8+$C$18)/'General assumptions'!$D$4-$I8,(($S23/100*L$3-($G$20+$G$27-SUM($C$27,$C$15:$C$17)))/'General assumptions'!$D$4))</f>
        <v>-68.9315</v>
      </c>
      <c r="M8" s="155">
        <f>IF($I$3=$R$14,(M$3*'General assumptions'!$D$9*'General assumptions'!$D$8+$C$18)/'General assumptions'!$D$4-$I8,(($S23/100*M$3-($G$20+$G$27-SUM($C$27,$C$15:$C$17)))/'General assumptions'!$D$4))</f>
        <v>-63.3065</v>
      </c>
      <c r="N8" s="37">
        <f>IF($I$3=$R$14,(N$3*'General assumptions'!$D$9*'General assumptions'!$D$8+$C$18)/'General assumptions'!$D$4-$I8,(($S23/100*N$3-($G$20+$G$27-SUM($C$27,$C$15:$C$17)))/'General assumptions'!$D$4))</f>
        <v>-57.6815</v>
      </c>
      <c r="O8" s="37">
        <f>IF($I$3=$R$14,(O$3*'General assumptions'!$D$9*'General assumptions'!$D$8+$C$18)/'General assumptions'!$D$4-$I8,(($S23/100*O$3-($G$20+$G$27-SUM($C$27,$C$15:$C$17)))/'General assumptions'!$D$4))</f>
        <v>-52.0565</v>
      </c>
    </row>
    <row r="9" spans="2:22" ht="17.100000000000001" customHeight="1">
      <c r="B9" s="27" t="s">
        <v>64</v>
      </c>
      <c r="C9" s="47">
        <v>10</v>
      </c>
      <c r="D9" s="36" t="s">
        <v>46</v>
      </c>
      <c r="E9" s="27" t="s">
        <v>120</v>
      </c>
      <c r="F9" s="77">
        <v>10</v>
      </c>
      <c r="G9" s="113" t="s">
        <v>26</v>
      </c>
      <c r="H9" s="1"/>
      <c r="I9" s="52">
        <f>IF($I$3=$R$15,$I8+10,$I$7+100)</f>
        <v>227.3065</v>
      </c>
      <c r="J9" s="37">
        <f>IF($I$3=$R$14,(J$3*'General assumptions'!$D$9*'General assumptions'!$D$8+$C$18)/'General assumptions'!$D$4-$I9,(($S24/100*J$3-($G$20+$G$27-SUM($C$27,$C$15:$C$17)))/'General assumptions'!$D$4))</f>
        <v>-130.1815</v>
      </c>
      <c r="K9" s="37">
        <f>IF($I$3=$R$14,(K$3*'General assumptions'!$D$9*'General assumptions'!$D$8+$C$18)/'General assumptions'!$D$4-$I9,(($S24/100*K$3-($G$20+$G$27-SUM($C$27,$C$15:$C$17)))/'General assumptions'!$D$4))</f>
        <v>-124.5565</v>
      </c>
      <c r="L9" s="37">
        <f>IF($I$3=$R$14,(L$3*'General assumptions'!$D$9*'General assumptions'!$D$8+$C$18)/'General assumptions'!$D$4-$I9,(($S24/100*L$3-($G$20+$G$27-SUM($C$27,$C$15:$C$17)))/'General assumptions'!$D$4))</f>
        <v>-118.9315</v>
      </c>
      <c r="M9" s="37">
        <f>IF($I$3=$R$14,(M$3*'General assumptions'!$D$9*'General assumptions'!$D$8+$C$18)/'General assumptions'!$D$4-$I9,(($S24/100*M$3-($G$20+$G$27-SUM($C$27,$C$15:$C$17)))/'General assumptions'!$D$4))</f>
        <v>-113.3065</v>
      </c>
      <c r="N9" s="37">
        <f>IF($I$3=$R$14,(N$3*'General assumptions'!$D$9*'General assumptions'!$D$8+$C$18)/'General assumptions'!$D$4-$I9,(($S24/100*N$3-($G$20+$G$27-SUM($C$27,$C$15:$C$17)))/'General assumptions'!$D$4))</f>
        <v>-107.6815</v>
      </c>
      <c r="O9" s="37">
        <f>IF($I$3=$R$14,(O$3*'General assumptions'!$D$9*'General assumptions'!$D$8+$C$18)/'General assumptions'!$D$4-$I9,(($S24/100*O$3-($G$20+$G$27-SUM($C$27,$C$15:$C$17)))/'General assumptions'!$D$4))</f>
        <v>-102.0565</v>
      </c>
    </row>
    <row r="10" spans="2:22" ht="17.100000000000001" customHeight="1">
      <c r="G10" s="5"/>
      <c r="I10" s="54">
        <f>IF($I$3=$R$15,$I9+10,$I$7+150)</f>
        <v>277.30650000000003</v>
      </c>
      <c r="J10" s="37">
        <f>IF($I$3=$R$14,(J$3*'General assumptions'!$D$9*'General assumptions'!$D$8+$C$18)/'General assumptions'!$D$4-$I10,(($S25/100*J$3-($G$20+$G$27-SUM($C$27,$C$15:$C$17)))/'General assumptions'!$D$4))</f>
        <v>-180.18150000000003</v>
      </c>
      <c r="K10" s="37">
        <f>IF($I$3=$R$14,(K$3*'General assumptions'!$D$9*'General assumptions'!$D$8+$C$18)/'General assumptions'!$D$4-$I10,(($S25/100*K$3-($G$20+$G$27-SUM($C$27,$C$15:$C$17)))/'General assumptions'!$D$4))</f>
        <v>-174.55650000000003</v>
      </c>
      <c r="L10" s="37">
        <f>IF($I$3=$R$14,(L$3*'General assumptions'!$D$9*'General assumptions'!$D$8+$C$18)/'General assumptions'!$D$4-$I10,(($S25/100*L$3-($G$20+$G$27-SUM($C$27,$C$15:$C$17)))/'General assumptions'!$D$4))</f>
        <v>-168.93150000000003</v>
      </c>
      <c r="M10" s="37">
        <f>IF($I$3=$R$14,(M$3*'General assumptions'!$D$9*'General assumptions'!$D$8+$C$18)/'General assumptions'!$D$4-$I10,(($S25/100*M$3-($G$20+$G$27-SUM($C$27,$C$15:$C$17)))/'General assumptions'!$D$4))</f>
        <v>-163.30650000000003</v>
      </c>
      <c r="N10" s="37">
        <f>IF($I$3=$R$14,(N$3*'General assumptions'!$D$9*'General assumptions'!$D$8+$C$18)/'General assumptions'!$D$4-$I10,(($S25/100*N$3-($G$20+$G$27-SUM($C$27,$C$15:$C$17)))/'General assumptions'!$D$4))</f>
        <v>-157.68150000000003</v>
      </c>
      <c r="O10" s="37">
        <f>IF($I$3=$R$14,(O$3*'General assumptions'!$D$9*'General assumptions'!$D$8+$C$18)/'General assumptions'!$D$4-$I10,(($S25/100*O$3-($G$20+$G$27-SUM($C$27,$C$15:$C$17)))/'General assumptions'!$D$4))</f>
        <v>-152.05650000000003</v>
      </c>
    </row>
    <row r="11" spans="2:22" ht="17.100000000000001" customHeight="1" thickBot="1">
      <c r="B11" s="6" t="s">
        <v>47</v>
      </c>
      <c r="C11" s="6"/>
      <c r="D11" s="6"/>
      <c r="E11" s="6"/>
      <c r="F11" s="6"/>
      <c r="G11" s="6"/>
      <c r="H11" s="1"/>
    </row>
    <row r="12" spans="2:22" ht="17.100000000000001" customHeight="1">
      <c r="B12" s="31"/>
      <c r="C12" s="32"/>
      <c r="D12" s="32"/>
      <c r="E12" s="32"/>
      <c r="F12" s="32"/>
      <c r="G12" s="33"/>
      <c r="H12" s="1"/>
      <c r="J12" s="51"/>
      <c r="K12" s="18"/>
      <c r="L12" s="18"/>
      <c r="M12" s="18"/>
      <c r="N12" s="18"/>
    </row>
    <row r="13" spans="2:22" ht="17.100000000000001" customHeight="1">
      <c r="B13" s="114" t="s">
        <v>48</v>
      </c>
      <c r="C13" s="45" t="s">
        <v>49</v>
      </c>
      <c r="D13" s="115"/>
      <c r="E13" s="59" t="s">
        <v>50</v>
      </c>
      <c r="F13" s="101"/>
      <c r="G13" s="116" t="s">
        <v>49</v>
      </c>
      <c r="H13" s="1"/>
      <c r="J13" s="51"/>
      <c r="K13" s="18"/>
      <c r="L13" s="18"/>
      <c r="M13" s="18"/>
      <c r="N13" s="18"/>
    </row>
    <row r="14" spans="2:22" ht="17.100000000000001" customHeight="1">
      <c r="B14" s="117" t="s">
        <v>121</v>
      </c>
      <c r="C14" s="118">
        <f>C7*'General assumptions'!D6*'General assumptions'!D7</f>
        <v>11400</v>
      </c>
      <c r="D14" s="13"/>
      <c r="E14" s="13" t="s">
        <v>130</v>
      </c>
      <c r="F14" s="13"/>
      <c r="G14" s="119">
        <f>('Fence and water system details'!H11+F7*'Fence and water system details'!C5)</f>
        <v>11093.15</v>
      </c>
      <c r="H14" s="1"/>
      <c r="J14" s="51"/>
      <c r="K14" s="18"/>
      <c r="L14" s="18"/>
      <c r="M14" s="18"/>
      <c r="N14" s="18"/>
      <c r="R14" s="19" t="s">
        <v>73</v>
      </c>
    </row>
    <row r="15" spans="2:22" ht="17.100000000000001" customHeight="1">
      <c r="B15" s="120" t="s">
        <v>151</v>
      </c>
      <c r="C15" s="121">
        <v>0</v>
      </c>
      <c r="D15" s="13"/>
      <c r="E15" s="13" t="s">
        <v>122</v>
      </c>
      <c r="F15" s="13"/>
      <c r="G15" s="119">
        <f>'Fence and water system details'!G21</f>
        <v>0</v>
      </c>
      <c r="H15" s="1"/>
      <c r="J15" s="51"/>
      <c r="K15" s="18"/>
      <c r="L15" s="18"/>
      <c r="M15" s="18"/>
      <c r="N15" s="18"/>
      <c r="R15" s="19" t="s">
        <v>83</v>
      </c>
    </row>
    <row r="16" spans="2:22" ht="17.100000000000001" customHeight="1">
      <c r="B16" s="122" t="s">
        <v>51</v>
      </c>
      <c r="C16" s="121">
        <v>0</v>
      </c>
      <c r="D16" s="115"/>
      <c r="E16" s="13" t="s">
        <v>152</v>
      </c>
      <c r="F16" s="13"/>
      <c r="G16" s="119">
        <f>(F9+F8)*'General assumptions'!D12</f>
        <v>787.5</v>
      </c>
      <c r="H16" s="8"/>
      <c r="J16" s="51"/>
      <c r="K16" s="18"/>
      <c r="L16" s="18"/>
      <c r="M16" s="18"/>
      <c r="N16" s="18"/>
    </row>
    <row r="17" spans="2:22" ht="17.100000000000001" customHeight="1">
      <c r="B17" s="122" t="s">
        <v>51</v>
      </c>
      <c r="C17" s="123">
        <v>0</v>
      </c>
      <c r="D17" s="115"/>
      <c r="E17" s="13" t="s">
        <v>153</v>
      </c>
      <c r="F17" s="13"/>
      <c r="G17" s="124">
        <v>1000</v>
      </c>
      <c r="J17" s="51"/>
      <c r="K17" s="18"/>
      <c r="L17" s="18"/>
      <c r="M17" s="18"/>
      <c r="N17" s="18"/>
    </row>
    <row r="18" spans="2:22" ht="17.100000000000001" customHeight="1">
      <c r="B18" s="125" t="s">
        <v>52</v>
      </c>
      <c r="C18" s="3">
        <f>SUM(C14:C17)</f>
        <v>11400</v>
      </c>
      <c r="D18" s="115"/>
      <c r="E18" s="13" t="s">
        <v>146</v>
      </c>
      <c r="F18" s="13"/>
      <c r="G18" s="124">
        <v>1200</v>
      </c>
      <c r="J18" s="51"/>
      <c r="K18" s="18"/>
      <c r="L18" s="18"/>
      <c r="M18" s="18"/>
      <c r="N18" s="18"/>
      <c r="R18" s="48"/>
      <c r="S18" s="2" t="s">
        <v>71</v>
      </c>
    </row>
    <row r="19" spans="2:22" ht="17.100000000000001" customHeight="1">
      <c r="B19" s="126"/>
      <c r="C19" s="118"/>
      <c r="D19" s="115"/>
      <c r="E19" s="26" t="s">
        <v>51</v>
      </c>
      <c r="F19" s="26"/>
      <c r="G19" s="127">
        <v>0</v>
      </c>
      <c r="J19" s="51"/>
      <c r="K19" s="18"/>
      <c r="L19" s="18"/>
      <c r="M19" s="18"/>
      <c r="N19" s="18"/>
      <c r="R19" s="18"/>
      <c r="S19" s="50">
        <f>'General assumptions'!$D$6*'Continuous to VF'!I4</f>
        <v>-4538.7</v>
      </c>
      <c r="V19" s="2" t="s">
        <v>125</v>
      </c>
    </row>
    <row r="20" spans="2:22" ht="17.100000000000001" customHeight="1">
      <c r="B20" s="117"/>
      <c r="C20" s="13"/>
      <c r="D20" s="115"/>
      <c r="E20" s="115"/>
      <c r="F20" s="79" t="s">
        <v>52</v>
      </c>
      <c r="G20" s="4">
        <f>SUM(G14:G19)</f>
        <v>14080.65</v>
      </c>
      <c r="I20" s="18"/>
      <c r="J20" s="18"/>
      <c r="K20" s="18"/>
      <c r="L20" s="18"/>
      <c r="M20" s="18"/>
      <c r="N20" s="18"/>
      <c r="R20" s="18"/>
      <c r="S20" s="50">
        <f>'General assumptions'!$D$6*'Continuous to VF'!I5</f>
        <v>5461.3</v>
      </c>
      <c r="V20" s="2" t="s">
        <v>126</v>
      </c>
    </row>
    <row r="21" spans="2:22" ht="17.100000000000001" customHeight="1">
      <c r="B21" s="117"/>
      <c r="C21" s="13"/>
      <c r="D21" s="115"/>
      <c r="E21" s="115"/>
      <c r="F21" s="79"/>
      <c r="G21" s="4"/>
      <c r="I21" s="18"/>
      <c r="J21" s="18"/>
      <c r="K21" s="18"/>
      <c r="L21" s="18"/>
      <c r="M21" s="18"/>
      <c r="N21" s="18"/>
      <c r="R21" s="48"/>
      <c r="S21" s="50">
        <f>'General assumptions'!$D$6*'Continuous to VF'!I6</f>
        <v>15461.3</v>
      </c>
    </row>
    <row r="22" spans="2:22" ht="17.100000000000001" customHeight="1">
      <c r="B22" s="114" t="s">
        <v>53</v>
      </c>
      <c r="C22" s="45" t="s">
        <v>49</v>
      </c>
      <c r="D22" s="115"/>
      <c r="E22" s="59" t="s">
        <v>54</v>
      </c>
      <c r="F22" s="101"/>
      <c r="G22" s="116" t="s">
        <v>49</v>
      </c>
      <c r="I22" s="18"/>
      <c r="J22" s="18"/>
      <c r="K22" s="18"/>
      <c r="L22" s="18"/>
      <c r="M22" s="18"/>
      <c r="N22" s="18"/>
      <c r="R22" s="48"/>
      <c r="S22" s="50">
        <f>'General assumptions'!$D$6*'Continuous to VF'!I7</f>
        <v>25461.3</v>
      </c>
    </row>
    <row r="23" spans="2:22" ht="17.100000000000001" customHeight="1">
      <c r="B23" s="117" t="s">
        <v>143</v>
      </c>
      <c r="C23" s="118">
        <f>'General assumptions'!D9*'General assumptions'!D8*'Continuous to VF'!C8</f>
        <v>0</v>
      </c>
      <c r="D23" s="115"/>
      <c r="E23" s="26" t="s">
        <v>51</v>
      </c>
      <c r="F23" s="26"/>
      <c r="G23" s="124">
        <v>0</v>
      </c>
      <c r="I23" s="18"/>
      <c r="J23" s="18"/>
      <c r="K23" s="18"/>
      <c r="L23" s="18"/>
      <c r="M23" s="18"/>
      <c r="N23" s="18"/>
      <c r="R23" s="18"/>
      <c r="S23" s="50">
        <f>'General assumptions'!$D$6*'Continuous to VF'!I8</f>
        <v>35461.300000000003</v>
      </c>
    </row>
    <row r="24" spans="2:22" ht="17.100000000000001" customHeight="1">
      <c r="B24" s="117" t="s">
        <v>150</v>
      </c>
      <c r="C24" s="118">
        <f>C9*'General assumptions'!D6/'General assumptions'!D5</f>
        <v>1000</v>
      </c>
      <c r="D24" s="115"/>
      <c r="E24" s="128" t="s">
        <v>51</v>
      </c>
      <c r="F24" s="129"/>
      <c r="G24" s="124">
        <v>0</v>
      </c>
      <c r="I24" s="18"/>
      <c r="J24" s="18"/>
      <c r="K24" s="18"/>
      <c r="L24" s="18"/>
      <c r="M24" s="18"/>
      <c r="N24" s="18"/>
      <c r="R24" s="49">
        <f>C7</f>
        <v>15</v>
      </c>
      <c r="S24" s="50">
        <f>'General assumptions'!$D$6*'Continuous to VF'!I9</f>
        <v>45461.3</v>
      </c>
    </row>
    <row r="25" spans="2:22" ht="17.100000000000001" customHeight="1">
      <c r="B25" s="122" t="s">
        <v>55</v>
      </c>
      <c r="C25" s="121">
        <v>350</v>
      </c>
      <c r="D25" s="115"/>
      <c r="E25" s="26" t="s">
        <v>51</v>
      </c>
      <c r="F25" s="26"/>
      <c r="G25" s="124">
        <v>0</v>
      </c>
      <c r="I25" s="18"/>
      <c r="J25" s="18"/>
      <c r="K25" s="18"/>
      <c r="L25" s="18"/>
      <c r="M25" s="18"/>
      <c r="N25" s="18"/>
      <c r="S25" s="50">
        <f>'General assumptions'!$D$6*'Continuous to VF'!I10</f>
        <v>55461.3</v>
      </c>
    </row>
    <row r="26" spans="2:22" ht="17.100000000000001" customHeight="1">
      <c r="B26" s="122" t="s">
        <v>147</v>
      </c>
      <c r="C26" s="123">
        <v>0</v>
      </c>
      <c r="D26" s="13"/>
      <c r="E26" s="26" t="s">
        <v>51</v>
      </c>
      <c r="F26" s="26"/>
      <c r="G26" s="127">
        <v>0</v>
      </c>
      <c r="I26" s="18"/>
      <c r="J26" s="18"/>
      <c r="K26" s="18"/>
      <c r="L26" s="18"/>
      <c r="M26" s="18"/>
      <c r="N26" s="18"/>
    </row>
    <row r="27" spans="2:22" ht="17.100000000000001" customHeight="1">
      <c r="B27" s="125" t="s">
        <v>52</v>
      </c>
      <c r="C27" s="3">
        <f>SUM(C23:C26)</f>
        <v>1350</v>
      </c>
      <c r="D27" s="130"/>
      <c r="E27" s="13"/>
      <c r="F27" s="79" t="s">
        <v>52</v>
      </c>
      <c r="G27" s="4">
        <f>SUM(G23:G26)</f>
        <v>0</v>
      </c>
      <c r="I27" s="18"/>
      <c r="J27" s="18"/>
      <c r="K27" s="18"/>
      <c r="L27" s="18"/>
      <c r="M27" s="18"/>
      <c r="N27" s="18"/>
    </row>
    <row r="28" spans="2:22" ht="17.100000000000001" customHeight="1" thickBot="1">
      <c r="B28" s="131"/>
      <c r="C28" s="132"/>
      <c r="D28" s="132"/>
      <c r="E28" s="132"/>
      <c r="F28" s="132"/>
      <c r="G28" s="133"/>
      <c r="I28" s="18"/>
      <c r="J28" s="18"/>
      <c r="K28" s="18"/>
      <c r="L28" s="18"/>
      <c r="M28" s="18"/>
      <c r="N28" s="18"/>
    </row>
    <row r="29" spans="2:22" ht="17.100000000000001" customHeight="1">
      <c r="B29" s="134" t="s">
        <v>149</v>
      </c>
      <c r="C29" s="144"/>
      <c r="D29" s="144"/>
      <c r="E29" s="144"/>
      <c r="F29" s="10" t="s">
        <v>56</v>
      </c>
      <c r="G29" s="11">
        <f>C18+C27-G20-G27</f>
        <v>-1330.6499999999996</v>
      </c>
      <c r="I29" s="18"/>
      <c r="J29" s="18"/>
      <c r="K29" s="18"/>
      <c r="L29" s="18"/>
      <c r="M29" s="18"/>
      <c r="N29" s="18"/>
    </row>
    <row r="30" spans="2:22" ht="17.100000000000001" customHeight="1">
      <c r="B30" s="117" t="s">
        <v>57</v>
      </c>
      <c r="C30" s="13"/>
      <c r="D30" s="13"/>
      <c r="E30" s="13"/>
      <c r="F30" s="9" t="s">
        <v>69</v>
      </c>
      <c r="G30" s="12">
        <f>G29/'General assumptions'!D4</f>
        <v>-13.306499999999996</v>
      </c>
      <c r="I30" s="18"/>
      <c r="J30" s="18"/>
      <c r="K30" s="18"/>
      <c r="L30" s="18"/>
      <c r="M30" s="18"/>
      <c r="N30" s="18"/>
    </row>
    <row r="31" spans="2:22" ht="17.100000000000001" customHeight="1">
      <c r="B31" s="117"/>
      <c r="C31" s="13"/>
      <c r="D31" s="13"/>
      <c r="E31" s="13"/>
      <c r="F31" s="9" t="s">
        <v>84</v>
      </c>
      <c r="G31" s="12">
        <f>G29/'General assumptions'!D6</f>
        <v>-6.6532499999999981</v>
      </c>
      <c r="I31" s="18"/>
      <c r="J31" s="18"/>
      <c r="K31" s="18"/>
      <c r="L31" s="18"/>
      <c r="M31" s="18"/>
      <c r="N31" s="18"/>
    </row>
    <row r="32" spans="2:22" ht="17.100000000000001" customHeight="1" thickBot="1">
      <c r="B32" s="145"/>
      <c r="C32" s="132"/>
      <c r="D32" s="132"/>
      <c r="E32" s="132"/>
      <c r="F32" s="162" t="s">
        <v>155</v>
      </c>
      <c r="G32" s="163">
        <f>G29/('Fence and water system details'!G11+'Fence and water system details'!G22)</f>
        <v>-3.6178629690048932E-2</v>
      </c>
      <c r="I32" s="18"/>
      <c r="J32" s="18"/>
      <c r="K32" s="18"/>
      <c r="L32" s="18"/>
      <c r="M32" s="18"/>
      <c r="N32" s="18"/>
    </row>
    <row r="33" spans="9:14" ht="17.100000000000001" customHeight="1">
      <c r="I33" s="18"/>
      <c r="J33" s="18"/>
      <c r="K33" s="18"/>
      <c r="L33" s="18"/>
      <c r="M33" s="18"/>
      <c r="N33" s="18"/>
    </row>
  </sheetData>
  <sheetProtection sheet="1" objects="1" scenarios="1"/>
  <protectedRanges>
    <protectedRange sqref="C7:C9 F7:F9 C15:C17 B16:B17 E19 G17:G19 E23:G26 B25:C26 I3" name="Grey cells"/>
  </protectedRanges>
  <mergeCells count="1">
    <mergeCell ref="B3:G3"/>
  </mergeCells>
  <conditionalFormatting sqref="G29:G32">
    <cfRule type="cellIs" dxfId="4" priority="1" operator="lessThan">
      <formula>0</formula>
    </cfRule>
  </conditionalFormatting>
  <conditionalFormatting sqref="I4:I10">
    <cfRule type="expression" dxfId="3" priority="4">
      <formula>I4&amp;"&lt;"&amp;"1"</formula>
    </cfRule>
  </conditionalFormatting>
  <dataValidations disablePrompts="1" xWindow="411" yWindow="464" count="2">
    <dataValidation allowBlank="1" showInputMessage="1" showErrorMessage="1" promptTitle="When to change stocking rate" prompt="Virtual fence can impact the gain per acre in a number of ways. Shorter grazing intervals can improve forage utilization and increase stocking rates. Better managed pastures can yield more palatable forages that increase consumption and gain per animal. " sqref="C7" xr:uid="{3E7BBDEF-F130-4944-851F-60E8C2797978}"/>
    <dataValidation type="list" allowBlank="1" showInputMessage="1" showErrorMessage="1" sqref="I3" xr:uid="{174DB707-0225-40F7-9A16-AB7F92D499D3}">
      <formula1>$R$14:$R$16</formula1>
    </dataValidation>
  </dataValidation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E5ACC-652A-41CB-9160-D27EB3536A5D}">
  <dimension ref="A1:V37"/>
  <sheetViews>
    <sheetView showGridLines="0" zoomScaleNormal="100" workbookViewId="0">
      <selection activeCell="G8" sqref="G8"/>
    </sheetView>
  </sheetViews>
  <sheetFormatPr defaultColWidth="0" defaultRowHeight="15" zeroHeight="1"/>
  <cols>
    <col min="1" max="1" width="3.140625" style="2" customWidth="1"/>
    <col min="2" max="2" width="47.28515625" style="2" customWidth="1"/>
    <col min="3" max="3" width="10.42578125" style="2" customWidth="1"/>
    <col min="4" max="4" width="10" style="2" customWidth="1"/>
    <col min="5" max="5" width="39.28515625" style="2" customWidth="1"/>
    <col min="6" max="6" width="13.42578125" style="2" bestFit="1" customWidth="1"/>
    <col min="7" max="7" width="11.140625" style="2" customWidth="1"/>
    <col min="8" max="8" width="3.28515625" style="2" customWidth="1"/>
    <col min="9" max="9" width="24.7109375" style="2" customWidth="1"/>
    <col min="10" max="10" width="21.140625" style="2" bestFit="1" customWidth="1"/>
    <col min="11" max="12" width="9.140625" style="2" customWidth="1"/>
    <col min="13" max="13" width="11.140625" style="2" bestFit="1" customWidth="1"/>
    <col min="14" max="15" width="9.140625" style="2" customWidth="1"/>
    <col min="16" max="16" width="3.28515625" style="2" customWidth="1"/>
    <col min="17" max="17" width="9.140625" style="2" hidden="1" customWidth="1"/>
    <col min="18" max="18" width="12.42578125" style="2" hidden="1" customWidth="1"/>
    <col min="19" max="16384" width="9.140625" style="2" hidden="1"/>
  </cols>
  <sheetData>
    <row r="1" spans="2:22" ht="24">
      <c r="B1" s="151" t="s">
        <v>145</v>
      </c>
      <c r="C1" s="61"/>
      <c r="D1" s="62"/>
      <c r="E1" s="62"/>
      <c r="F1" s="62"/>
      <c r="G1" s="63"/>
      <c r="H1" s="1"/>
      <c r="I1" s="14" t="s">
        <v>72</v>
      </c>
      <c r="J1" s="15"/>
      <c r="K1" s="15"/>
      <c r="L1" s="15"/>
      <c r="M1" s="15"/>
      <c r="N1" s="16"/>
      <c r="O1" s="17"/>
    </row>
    <row r="2" spans="2:22" ht="17.100000000000001" customHeight="1">
      <c r="B2" s="40"/>
      <c r="C2" s="40"/>
      <c r="D2" s="40"/>
      <c r="E2" s="40"/>
      <c r="F2" s="40"/>
      <c r="G2" s="40"/>
      <c r="H2" s="1"/>
      <c r="I2" s="39" t="s">
        <v>41</v>
      </c>
      <c r="K2" s="66"/>
      <c r="L2" s="66" t="str">
        <f>IF(I3=R15,V20,V21)</f>
        <v>Change in grazing days</v>
      </c>
      <c r="M2" s="66"/>
      <c r="N2" s="66"/>
      <c r="O2" s="66"/>
    </row>
    <row r="3" spans="2:22" ht="81" customHeight="1">
      <c r="B3" s="172" t="s">
        <v>161</v>
      </c>
      <c r="C3" s="172"/>
      <c r="D3" s="172"/>
      <c r="E3" s="172"/>
      <c r="F3" s="172"/>
      <c r="G3" s="172"/>
      <c r="H3" s="1"/>
      <c r="I3" s="64" t="s">
        <v>73</v>
      </c>
      <c r="J3" s="137">
        <f t="shared" ref="J3:L3" si="0">IF($L$2=$V$21,"$"&amp;Q4*100,Q6)</f>
        <v>-15</v>
      </c>
      <c r="K3" s="137">
        <f t="shared" si="0"/>
        <v>-10</v>
      </c>
      <c r="L3" s="137">
        <f t="shared" si="0"/>
        <v>-5</v>
      </c>
      <c r="M3" s="138">
        <f>IF($L$2=$V$21,"$"&amp;T4*100,T6)</f>
        <v>0</v>
      </c>
      <c r="N3" s="137">
        <f t="shared" ref="N3:O3" si="1">IF($L$2=$V$21,"$"&amp;U4*100,U6)</f>
        <v>5</v>
      </c>
      <c r="O3" s="137">
        <f t="shared" si="1"/>
        <v>10</v>
      </c>
      <c r="T3" s="2" t="s">
        <v>127</v>
      </c>
    </row>
    <row r="4" spans="2:22" ht="17.100000000000001" customHeight="1">
      <c r="B4" s="65"/>
      <c r="C4" s="65"/>
      <c r="D4" s="65"/>
      <c r="E4" s="65"/>
      <c r="F4" s="65"/>
      <c r="G4" s="65"/>
      <c r="H4" s="1"/>
      <c r="I4" s="52">
        <f>IF($I$3=$R$16,$I5-10,$I$7-150)</f>
        <v>-129.40924999999999</v>
      </c>
      <c r="J4" s="37">
        <f>IF($I$3=$R$15,(J$3*'General assumptions'!$D$9*'General assumptions'!$D$8+$C$20-$G$31)/'General assumptions'!$D$4-$I4,(($R19/100*J$3-($G$22+$G$31-SUM($C$31,$C$17:$C$19)))/'General assumptions'!$D$4))</f>
        <v>150.53424999999999</v>
      </c>
      <c r="K4" s="37">
        <f>IF($I$3=$R$15,(K$3*'General assumptions'!$D$9*'General assumptions'!$D$8+$C$20-$G$31)/'General assumptions'!$D$4-$I4,(($R19/100*K$3-($G$22+$G$31-SUM($C$31,$C$17:$C$19)))/'General assumptions'!$D$4))</f>
        <v>156.15924999999999</v>
      </c>
      <c r="L4" s="37">
        <f>IF($I$3=$R$15,(L$3*'General assumptions'!$D$9*'General assumptions'!$D$8+$C$20-$G$31)/'General assumptions'!$D$4-$I4,(($R19/100*L$3-($G$22+$G$31-SUM($C$31,$C$17:$C$19)))/'General assumptions'!$D$4))</f>
        <v>161.78424999999999</v>
      </c>
      <c r="M4" s="37">
        <f>IF($I$3=$R$15,(M$3*'General assumptions'!$D$9*'General assumptions'!$D$8+$C$20-$G$31)/'General assumptions'!$D$4-$I4,(($R19/100*M$3-($G$22+$G$31-SUM($C$31,$C$17:$C$19)))/'General assumptions'!$D$4))</f>
        <v>167.40924999999999</v>
      </c>
      <c r="N4" s="37">
        <f>IF($I$3=$R$15,(N$3*'General assumptions'!$D$9*'General assumptions'!$D$8+$C$20-$G$31)/'General assumptions'!$D$4-$I4,(($R19/100*N$3-($G$22+$G$31-SUM($C$31,$C$17:$C$19)))/'General assumptions'!$D$4))</f>
        <v>173.03424999999999</v>
      </c>
      <c r="O4" s="37">
        <f>IF($I$3=$R$15,(O$3*'General assumptions'!$D$9*'General assumptions'!$D$8+$C$20-$G$31)/'General assumptions'!$D$4-$I4,(($R19/100*O$3-($G$22+$G$31-SUM($C$31,$C$17:$C$19)))/'General assumptions'!$D$4))</f>
        <v>178.65924999999999</v>
      </c>
      <c r="Q4" s="2">
        <f>ROUND(T4*0.85,2)</f>
        <v>3.23</v>
      </c>
      <c r="R4" s="2">
        <f>ROUND(T4*0.9,2)</f>
        <v>3.42</v>
      </c>
      <c r="S4" s="2">
        <f>ROUND(T4*0.95,2)</f>
        <v>3.61</v>
      </c>
      <c r="T4" s="135">
        <f>'General assumptions'!D7</f>
        <v>3.8</v>
      </c>
      <c r="U4" s="2">
        <f>ROUND(T4/0.95,2)</f>
        <v>4</v>
      </c>
      <c r="V4" s="2">
        <f>ROUND(T4*1.1,2)</f>
        <v>4.18</v>
      </c>
    </row>
    <row r="5" spans="2:22" ht="17.100000000000001" customHeight="1">
      <c r="B5" s="41" t="s">
        <v>42</v>
      </c>
      <c r="C5" s="38"/>
      <c r="D5" s="38"/>
      <c r="E5" s="38"/>
      <c r="F5" s="38"/>
      <c r="G5" s="38"/>
      <c r="H5" s="1"/>
      <c r="I5" s="52">
        <f>IF($I$3=$R$16,$I6-10,$I$7-100)</f>
        <v>-79.409249999999986</v>
      </c>
      <c r="J5" s="37">
        <f>IF($I$3=$R$15,(J$3*'General assumptions'!$D$9*'General assumptions'!$D$8+$C$20-$G$31)/'General assumptions'!$D$4-$I5,(($R20/100*J$3-($G$22+$G$31-SUM($C$31,$C$17:$C$19)))/'General assumptions'!$D$4))</f>
        <v>100.53424999999999</v>
      </c>
      <c r="K5" s="37">
        <f>IF($I$3=$R$15,(K$3*'General assumptions'!$D$9*'General assumptions'!$D$8+$C$20-$G$31)/'General assumptions'!$D$4-$I5,(($R20/100*K$3-($G$22+$G$31-SUM($C$31,$C$17:$C$19)))/'General assumptions'!$D$4))</f>
        <v>106.15924999999999</v>
      </c>
      <c r="L5" s="37">
        <f>IF($I$3=$R$15,(L$3*'General assumptions'!$D$9*'General assumptions'!$D$8+$C$20-$G$31)/'General assumptions'!$D$4-$I5,(($R20/100*L$3-($G$22+$G$31-SUM($C$31,$C$17:$C$19)))/'General assumptions'!$D$4))</f>
        <v>111.78424999999999</v>
      </c>
      <c r="M5" s="37">
        <f>IF($I$3=$R$15,(M$3*'General assumptions'!$D$9*'General assumptions'!$D$8+$C$20-$G$31)/'General assumptions'!$D$4-$I5,(($R20/100*M$3-($G$22+$G$31-SUM($C$31,$C$17:$C$19)))/'General assumptions'!$D$4))</f>
        <v>117.40924999999999</v>
      </c>
      <c r="N5" s="37">
        <f>IF($I$3=$R$15,(N$3*'General assumptions'!$D$9*'General assumptions'!$D$8+$C$20-$G$31)/'General assumptions'!$D$4-$I5,(($R20/100*N$3-($G$22+$G$31-SUM($C$31,$C$17:$C$19)))/'General assumptions'!$D$4))</f>
        <v>123.03424999999999</v>
      </c>
      <c r="O5" s="37">
        <f>IF($I$3=$R$15,(O$3*'General assumptions'!$D$9*'General assumptions'!$D$8+$C$20-$G$31)/'General assumptions'!$D$4-$I5,(($R20/100*O$3-($G$22+$G$31-SUM($C$31,$C$17:$C$19)))/'General assumptions'!$D$4))</f>
        <v>128.65924999999999</v>
      </c>
      <c r="T5" s="2" t="s">
        <v>125</v>
      </c>
    </row>
    <row r="6" spans="2:22" ht="17.100000000000001" customHeight="1" thickBot="1">
      <c r="B6" s="44" t="s">
        <v>87</v>
      </c>
      <c r="C6" s="45" t="s">
        <v>43</v>
      </c>
      <c r="D6" s="44" t="s">
        <v>5</v>
      </c>
      <c r="E6" s="44" t="s">
        <v>87</v>
      </c>
      <c r="F6" s="45" t="s">
        <v>43</v>
      </c>
      <c r="G6" s="44" t="s">
        <v>5</v>
      </c>
      <c r="H6" s="1"/>
      <c r="I6" s="52">
        <f>IF($I$3=$R$16,$I7-10,$I$7-50)</f>
        <v>-29.409249999999993</v>
      </c>
      <c r="J6" s="37">
        <f>IF($I$3=$R$15,(J$3*'General assumptions'!$D$9*'General assumptions'!$D$8+$C$20-$G$31)/'General assumptions'!$D$4-$I6,(($R21/100*J$3-($G$22+$G$31-SUM($C$31,$C$17:$C$19)))/'General assumptions'!$D$4))</f>
        <v>50.534249999999993</v>
      </c>
      <c r="K6" s="37">
        <f>IF($I$3=$R$15,(K$3*'General assumptions'!$D$9*'General assumptions'!$D$8+$C$20-$G$31)/'General assumptions'!$D$4-$I6,(($R21/100*K$3-($G$22+$G$31-SUM($C$31,$C$17:$C$19)))/'General assumptions'!$D$4))</f>
        <v>56.159249999999993</v>
      </c>
      <c r="L6" s="37">
        <f>IF($I$3=$R$15,(L$3*'General assumptions'!$D$9*'General assumptions'!$D$8+$C$20-$G$31)/'General assumptions'!$D$4-$I6,(($R21/100*L$3-($G$22+$G$31-SUM($C$31,$C$17:$C$19)))/'General assumptions'!$D$4))</f>
        <v>61.784249999999993</v>
      </c>
      <c r="M6" s="154">
        <f>IF($I$3=$R$15,(M$3*'General assumptions'!$D$9*'General assumptions'!$D$8+$C$20-$G$31)/'General assumptions'!$D$4-$I6,(($R21/100*M$3-($G$22+$G$31-SUM($C$31,$C$17:$C$19)))/'General assumptions'!$D$4))</f>
        <v>67.409249999999986</v>
      </c>
      <c r="N6" s="37">
        <f>IF($I$3=$R$15,(N$3*'General assumptions'!$D$9*'General assumptions'!$D$8+$C$20-$G$31)/'General assumptions'!$D$4-$I6,(($R21/100*N$3-($G$22+$G$31-SUM($C$31,$C$17:$C$19)))/'General assumptions'!$D$4))</f>
        <v>73.034249999999986</v>
      </c>
      <c r="O6" s="37">
        <f>IF($I$3=$R$15,(O$3*'General assumptions'!$D$9*'General assumptions'!$D$8+$C$20-$G$31)/'General assumptions'!$D$4-$I6,(($R21/100*O$3-($G$22+$G$31-SUM($C$31,$C$17:$C$19)))/'General assumptions'!$D$4))</f>
        <v>78.659249999999986</v>
      </c>
      <c r="Q6" s="2">
        <f t="shared" ref="Q6:R6" si="2">R6-5</f>
        <v>-15</v>
      </c>
      <c r="R6" s="2">
        <f t="shared" si="2"/>
        <v>-10</v>
      </c>
      <c r="S6" s="2">
        <f>T6-5</f>
        <v>-5</v>
      </c>
      <c r="T6" s="136">
        <f>C8</f>
        <v>0</v>
      </c>
      <c r="U6" s="2">
        <f>T6+5</f>
        <v>5</v>
      </c>
      <c r="V6" s="2">
        <f>U6+5</f>
        <v>10</v>
      </c>
    </row>
    <row r="7" spans="2:22" ht="17.100000000000001" customHeight="1" thickBot="1">
      <c r="B7" s="43" t="s">
        <v>70</v>
      </c>
      <c r="C7" s="26">
        <v>5</v>
      </c>
      <c r="D7" s="35" t="s">
        <v>10</v>
      </c>
      <c r="E7" s="13" t="s">
        <v>58</v>
      </c>
      <c r="F7" s="46">
        <v>0</v>
      </c>
      <c r="G7" s="35" t="s">
        <v>59</v>
      </c>
      <c r="H7" s="1"/>
      <c r="I7" s="53">
        <f>IF(I3=R15,(G22-C31+C25)/'General assumptions'!$D$4,C7)</f>
        <v>20.590750000000007</v>
      </c>
      <c r="J7" s="37">
        <f>IF($I$3=$R$15,(J$3*'General assumptions'!$D$9*'General assumptions'!$D$8+$C$20-$G$31)/'General assumptions'!$D$4-$I7,(($R22/100*J$3-($G$22+$G$31-SUM($C$31,$C$17:$C$19)))/'General assumptions'!$D$4))</f>
        <v>0.53424999999999301</v>
      </c>
      <c r="K7" s="37">
        <f>IF($I$3=$R$15,(K$3*'General assumptions'!$D$9*'General assumptions'!$D$8+$C$20-$G$31)/'General assumptions'!$D$4-$I7,(($R22/100*K$3-($G$22+$G$31-SUM($C$31,$C$17:$C$19)))/'General assumptions'!$D$4))</f>
        <v>6.159249999999993</v>
      </c>
      <c r="L7" s="152">
        <f>IF($I$3=$R$15,(L$3*'General assumptions'!$D$9*'General assumptions'!$D$8+$C$20-$G$31)/'General assumptions'!$D$4-$I7,(($R22/100*L$3-($G$22+$G$31-SUM($C$31,$C$17:$C$19)))/'General assumptions'!$D$4))</f>
        <v>11.784249999999993</v>
      </c>
      <c r="M7" s="156">
        <f>IF($I$3=$R$15,(M$3*'General assumptions'!$D$9*'General assumptions'!$D$8+$C$20-$G$31)/'General assumptions'!$D$4-$I7,(($R22/100*M$3-($G$22+$G$31-SUM($C$31,$C$17:$C$19)))/'General assumptions'!$D$4))</f>
        <v>17.409249999999993</v>
      </c>
      <c r="N7" s="153">
        <f>IF($I$3=$R$15,(N$3*'General assumptions'!$D$9*'General assumptions'!$D$8+$C$20-$G$31)/'General assumptions'!$D$4-$I7,(($R22/100*N$3-($G$22+$G$31-SUM($C$31,$C$17:$C$19)))/'General assumptions'!$D$4))</f>
        <v>23.034249999999993</v>
      </c>
      <c r="O7" s="37">
        <f>IF($I$3=$R$15,(O$3*'General assumptions'!$D$9*'General assumptions'!$D$8+$C$20-$G$31)/'General assumptions'!$D$4-$I7,(($R22/100*O$3-($G$22+$G$31-SUM($C$31,$C$17:$C$19)))/'General assumptions'!$D$4))</f>
        <v>28.659249999999993</v>
      </c>
    </row>
    <row r="8" spans="2:22" ht="17.100000000000001" customHeight="1">
      <c r="B8" s="13" t="s">
        <v>148</v>
      </c>
      <c r="C8" s="26">
        <v>0</v>
      </c>
      <c r="D8" s="35" t="s">
        <v>45</v>
      </c>
      <c r="E8" s="13" t="s">
        <v>60</v>
      </c>
      <c r="F8" s="26">
        <v>12</v>
      </c>
      <c r="G8" s="35" t="s">
        <v>61</v>
      </c>
      <c r="H8" s="1"/>
      <c r="I8" s="52">
        <f>IF($I$3=$R$16,$I7+5,$I$7+50)</f>
        <v>70.590750000000014</v>
      </c>
      <c r="J8" s="37">
        <f>IF($I$3=$R$15,(J$3*'General assumptions'!$D$9*'General assumptions'!$D$8+$C$20-$G$31)/'General assumptions'!$D$4-$I8,(($R23/100*J$3-($G$22+$G$31-SUM($C$31,$C$17:$C$19)))/'General assumptions'!$D$4))</f>
        <v>-49.465750000000014</v>
      </c>
      <c r="K8" s="37">
        <f>IF($I$3=$R$15,(K$3*'General assumptions'!$D$9*'General assumptions'!$D$8+$C$20-$G$31)/'General assumptions'!$D$4-$I8,(($R23/100*K$3-($G$22+$G$31-SUM($C$31,$C$17:$C$19)))/'General assumptions'!$D$4))</f>
        <v>-43.840750000000014</v>
      </c>
      <c r="L8" s="37">
        <f>IF($I$3=$R$15,(L$3*'General assumptions'!$D$9*'General assumptions'!$D$8+$C$20-$G$31)/'General assumptions'!$D$4-$I8,(($R23/100*L$3-($G$22+$G$31-SUM($C$31,$C$17:$C$19)))/'General assumptions'!$D$4))</f>
        <v>-38.215750000000014</v>
      </c>
      <c r="M8" s="155">
        <f>IF($I$3=$R$15,(M$3*'General assumptions'!$D$9*'General assumptions'!$D$8+$C$20-$G$31)/'General assumptions'!$D$4-$I8,(($R23/100*M$3-($G$22+$G$31-SUM($C$31,$C$17:$C$19)))/'General assumptions'!$D$4))</f>
        <v>-32.590750000000014</v>
      </c>
      <c r="N8" s="37">
        <f>IF($I$3=$R$15,(N$3*'General assumptions'!$D$9*'General assumptions'!$D$8+$C$20-$G$31)/'General assumptions'!$D$4-$I8,(($R23/100*N$3-($G$22+$G$31-SUM($C$31,$C$17:$C$19)))/'General assumptions'!$D$4))</f>
        <v>-26.965750000000014</v>
      </c>
      <c r="O8" s="37">
        <f>IF($I$3=$R$15,(O$3*'General assumptions'!$D$9*'General assumptions'!$D$8+$C$20-$G$31)/'General assumptions'!$D$4-$I8,(($R23/100*O$3-($G$22+$G$31-SUM($C$31,$C$17:$C$19)))/'General assumptions'!$D$4))</f>
        <v>-21.340750000000014</v>
      </c>
    </row>
    <row r="9" spans="2:22" ht="17.100000000000001" customHeight="1">
      <c r="B9" s="13" t="s">
        <v>64</v>
      </c>
      <c r="C9" s="46">
        <v>10</v>
      </c>
      <c r="D9" s="35" t="s">
        <v>46</v>
      </c>
      <c r="E9" s="13" t="s">
        <v>129</v>
      </c>
      <c r="F9" s="46">
        <v>50</v>
      </c>
      <c r="G9" s="35" t="s">
        <v>44</v>
      </c>
      <c r="H9" s="1"/>
      <c r="I9" s="52">
        <f>IF($I$3=$R$16,$I8+10,$I$7+100)</f>
        <v>120.59075000000001</v>
      </c>
      <c r="J9" s="37">
        <f>IF($I$3=$R$15,(J$3*'General assumptions'!$D$9*'General assumptions'!$D$8+$C$20-$G$31)/'General assumptions'!$D$4-$I9,(($R24/100*J$3-($G$22+$G$31-SUM($C$31,$C$17:$C$19)))/'General assumptions'!$D$4))</f>
        <v>-99.465750000000014</v>
      </c>
      <c r="K9" s="37">
        <f>IF($I$3=$R$15,(K$3*'General assumptions'!$D$9*'General assumptions'!$D$8+$C$20-$G$31)/'General assumptions'!$D$4-$I9,(($R24/100*K$3-($G$22+$G$31-SUM($C$31,$C$17:$C$19)))/'General assumptions'!$D$4))</f>
        <v>-93.840750000000014</v>
      </c>
      <c r="L9" s="37">
        <f>IF($I$3=$R$15,(L$3*'General assumptions'!$D$9*'General assumptions'!$D$8+$C$20-$G$31)/'General assumptions'!$D$4-$I9,(($R24/100*L$3-($G$22+$G$31-SUM($C$31,$C$17:$C$19)))/'General assumptions'!$D$4))</f>
        <v>-88.215750000000014</v>
      </c>
      <c r="M9" s="37">
        <f>IF($I$3=$R$15,(M$3*'General assumptions'!$D$9*'General assumptions'!$D$8+$C$20-$G$31)/'General assumptions'!$D$4-$I9,(($R24/100*M$3-($G$22+$G$31-SUM($C$31,$C$17:$C$19)))/'General assumptions'!$D$4))</f>
        <v>-82.590750000000014</v>
      </c>
      <c r="N9" s="37">
        <f>IF($I$3=$R$15,(N$3*'General assumptions'!$D$9*'General assumptions'!$D$8+$C$20-$G$31)/'General assumptions'!$D$4-$I9,(($R24/100*N$3-($G$22+$G$31-SUM($C$31,$C$17:$C$19)))/'General assumptions'!$D$4))</f>
        <v>-76.965750000000014</v>
      </c>
      <c r="O9" s="37">
        <f>IF($I$3=$R$15,(O$3*'General assumptions'!$D$9*'General assumptions'!$D$8+$C$20-$G$31)/'General assumptions'!$D$4-$I9,(($R24/100*O$3-($G$22+$G$31-SUM($C$31,$C$17:$C$19)))/'General assumptions'!$D$4))</f>
        <v>-71.340750000000014</v>
      </c>
    </row>
    <row r="10" spans="2:22" ht="17.100000000000001" customHeight="1">
      <c r="B10" s="13" t="s">
        <v>76</v>
      </c>
      <c r="C10" s="26">
        <v>180</v>
      </c>
      <c r="D10" s="35" t="s">
        <v>26</v>
      </c>
      <c r="E10" s="13" t="s">
        <v>74</v>
      </c>
      <c r="F10" s="26">
        <v>25</v>
      </c>
      <c r="G10" s="35" t="s">
        <v>26</v>
      </c>
      <c r="I10" s="54">
        <f>IF($I$3=$R$16,$I9+15,$I$7+150)</f>
        <v>170.59075000000001</v>
      </c>
      <c r="J10" s="37">
        <f>IF($I$3=$R$15,(J$3*'General assumptions'!$D$9*'General assumptions'!$D$8+$C$20-$G$31)/'General assumptions'!$D$4-$I10,(($R25/100*J$3-($G$22+$G$31-SUM($C$31,$C$17:$C$19)))/'General assumptions'!$D$4))</f>
        <v>-149.46575000000001</v>
      </c>
      <c r="K10" s="37">
        <f>IF($I$3=$R$15,(K$3*'General assumptions'!$D$9*'General assumptions'!$D$8+$C$20-$G$31)/'General assumptions'!$D$4-$I10,(($R25/100*K$3-($G$22+$G$31-SUM($C$31,$C$17:$C$19)))/'General assumptions'!$D$4))</f>
        <v>-143.84075000000001</v>
      </c>
      <c r="L10" s="37">
        <f>IF($I$3=$R$15,(L$3*'General assumptions'!$D$9*'General assumptions'!$D$8+$C$20-$G$31)/'General assumptions'!$D$4-$I10,(($R25/100*L$3-($G$22+$G$31-SUM($C$31,$C$17:$C$19)))/'General assumptions'!$D$4))</f>
        <v>-138.21575000000001</v>
      </c>
      <c r="M10" s="37">
        <f>IF($I$3=$R$15,(M$3*'General assumptions'!$D$9*'General assumptions'!$D$8+$C$20-$G$31)/'General assumptions'!$D$4-$I10,(($R25/100*M$3-($G$22+$G$31-SUM($C$31,$C$17:$C$19)))/'General assumptions'!$D$4))</f>
        <v>-132.59075000000001</v>
      </c>
      <c r="N10" s="37">
        <f>IF($I$3=$R$15,(N$3*'General assumptions'!$D$9*'General assumptions'!$D$8+$C$20-$G$31)/'General assumptions'!$D$4-$I10,(($R25/100*N$3-($G$22+$G$31-SUM($C$31,$C$17:$C$19)))/'General assumptions'!$D$4))</f>
        <v>-126.96575000000001</v>
      </c>
      <c r="O10" s="37">
        <f>IF($I$3=$R$15,(O$3*'General assumptions'!$D$9*'General assumptions'!$D$8+$C$20-$G$31)/'General assumptions'!$D$4-$I10,(($R25/100*O$3-($G$22+$G$31-SUM($C$31,$C$17:$C$19)))/'General assumptions'!$D$4))</f>
        <v>-121.34075000000001</v>
      </c>
    </row>
    <row r="11" spans="2:22" ht="17.100000000000001" customHeight="1">
      <c r="B11" s="27"/>
      <c r="C11" s="141"/>
      <c r="D11" s="36"/>
      <c r="E11" s="27" t="s">
        <v>120</v>
      </c>
      <c r="F11" s="77">
        <v>10</v>
      </c>
      <c r="G11" s="113" t="s">
        <v>26</v>
      </c>
      <c r="I11" s="139"/>
      <c r="J11" s="140"/>
      <c r="K11" s="140"/>
      <c r="L11" s="140"/>
      <c r="M11" s="140"/>
      <c r="N11" s="140"/>
      <c r="O11" s="140"/>
    </row>
    <row r="12" spans="2:22" ht="17.100000000000001" customHeight="1">
      <c r="G12" s="5"/>
      <c r="H12" s="1"/>
    </row>
    <row r="13" spans="2:22" ht="17.100000000000001" customHeight="1" thickBot="1">
      <c r="B13" s="6" t="s">
        <v>47</v>
      </c>
      <c r="C13" s="6"/>
      <c r="D13" s="6"/>
      <c r="E13" s="6"/>
      <c r="F13" s="6"/>
      <c r="G13" s="6"/>
      <c r="H13" s="1"/>
      <c r="J13" s="51"/>
      <c r="K13" s="18"/>
      <c r="L13" s="18"/>
      <c r="M13" s="18"/>
      <c r="N13" s="18"/>
    </row>
    <row r="14" spans="2:22" ht="17.100000000000001" customHeight="1">
      <c r="B14" s="134"/>
      <c r="C14" s="142"/>
      <c r="D14" s="142"/>
      <c r="E14" s="142"/>
      <c r="F14" s="142"/>
      <c r="G14" s="143"/>
      <c r="H14" s="1"/>
      <c r="J14" s="51"/>
      <c r="K14" s="18"/>
      <c r="L14" s="18"/>
      <c r="M14" s="18"/>
      <c r="N14" s="18"/>
    </row>
    <row r="15" spans="2:22" ht="17.100000000000001" customHeight="1">
      <c r="B15" s="114" t="s">
        <v>48</v>
      </c>
      <c r="C15" s="45" t="s">
        <v>49</v>
      </c>
      <c r="D15" s="115"/>
      <c r="E15" s="59" t="s">
        <v>50</v>
      </c>
      <c r="F15" s="101"/>
      <c r="G15" s="116" t="s">
        <v>49</v>
      </c>
      <c r="H15" s="1"/>
      <c r="J15" s="51"/>
      <c r="K15" s="18"/>
      <c r="L15" s="18"/>
      <c r="M15" s="18"/>
      <c r="N15" s="18"/>
      <c r="R15" s="19" t="s">
        <v>73</v>
      </c>
    </row>
    <row r="16" spans="2:22" ht="17.100000000000001" customHeight="1">
      <c r="B16" s="117" t="s">
        <v>121</v>
      </c>
      <c r="C16" s="118">
        <f>C7*'General assumptions'!D6*'General assumptions'!D7</f>
        <v>3800</v>
      </c>
      <c r="D16" s="13"/>
      <c r="E16" s="13" t="s">
        <v>130</v>
      </c>
      <c r="F16" s="13"/>
      <c r="G16" s="119">
        <f>('Fence and water system details'!H11+'Fence and water system details'!H22+F9*'Fence and water system details'!C5)/'General assumptions'!D5</f>
        <v>5546.5749999999998</v>
      </c>
      <c r="H16" s="8"/>
      <c r="J16" s="51"/>
      <c r="K16" s="18"/>
      <c r="L16" s="18"/>
      <c r="M16" s="18"/>
      <c r="N16" s="18"/>
      <c r="R16" s="19" t="s">
        <v>83</v>
      </c>
    </row>
    <row r="17" spans="2:22" ht="17.100000000000001" customHeight="1">
      <c r="B17" s="120" t="s">
        <v>151</v>
      </c>
      <c r="C17" s="121">
        <v>0</v>
      </c>
      <c r="D17" s="115"/>
      <c r="E17" s="13" t="s">
        <v>122</v>
      </c>
      <c r="G17" s="119">
        <f>'Fence and water system details'!G22/'General assumptions'!D5</f>
        <v>0</v>
      </c>
      <c r="J17" s="51"/>
      <c r="K17" s="18"/>
      <c r="L17" s="18"/>
      <c r="M17" s="18"/>
      <c r="N17" s="18"/>
    </row>
    <row r="18" spans="2:22" ht="17.100000000000001" customHeight="1">
      <c r="B18" s="122" t="s">
        <v>51</v>
      </c>
      <c r="C18" s="121">
        <v>0</v>
      </c>
      <c r="D18" s="115"/>
      <c r="E18" s="13" t="s">
        <v>154</v>
      </c>
      <c r="F18" s="13"/>
      <c r="G18" s="119">
        <f>F10*'General assumptions'!D12</f>
        <v>562.5</v>
      </c>
      <c r="J18" s="51"/>
      <c r="K18" s="18"/>
      <c r="L18" s="18"/>
      <c r="M18" s="18"/>
      <c r="N18" s="18"/>
      <c r="R18" s="2" t="s">
        <v>71</v>
      </c>
    </row>
    <row r="19" spans="2:22" ht="17.100000000000001" customHeight="1">
      <c r="B19" s="122" t="s">
        <v>51</v>
      </c>
      <c r="C19" s="123">
        <v>0</v>
      </c>
      <c r="D19" s="115"/>
      <c r="E19" s="13" t="s">
        <v>86</v>
      </c>
      <c r="F19" s="13"/>
      <c r="G19" s="124">
        <v>1000</v>
      </c>
      <c r="J19" s="51"/>
      <c r="K19" s="18"/>
      <c r="L19" s="18"/>
      <c r="M19" s="18"/>
      <c r="N19" s="18"/>
      <c r="R19" s="50">
        <f>'General assumptions'!$D$6*'MiG- EF to VF'!I4</f>
        <v>-25881.85</v>
      </c>
    </row>
    <row r="20" spans="2:22" ht="17.100000000000001" customHeight="1">
      <c r="B20" s="125" t="s">
        <v>52</v>
      </c>
      <c r="C20" s="3">
        <f>SUM(C16:C19)</f>
        <v>3800</v>
      </c>
      <c r="D20" s="115"/>
      <c r="E20" s="13" t="s">
        <v>146</v>
      </c>
      <c r="F20" s="13"/>
      <c r="G20" s="124">
        <v>1200</v>
      </c>
      <c r="I20" s="18"/>
      <c r="J20" s="18"/>
      <c r="K20" s="18"/>
      <c r="L20" s="18"/>
      <c r="M20" s="18"/>
      <c r="N20" s="18"/>
      <c r="R20" s="50">
        <f>'General assumptions'!$D$6*'MiG- EF to VF'!I5</f>
        <v>-15881.849999999997</v>
      </c>
      <c r="V20" s="2" t="s">
        <v>125</v>
      </c>
    </row>
    <row r="21" spans="2:22" ht="17.100000000000001" customHeight="1">
      <c r="B21" s="126"/>
      <c r="C21" s="118"/>
      <c r="D21" s="115"/>
      <c r="E21" s="26" t="s">
        <v>51</v>
      </c>
      <c r="F21" s="26"/>
      <c r="G21" s="127">
        <v>0</v>
      </c>
      <c r="I21" s="18"/>
      <c r="J21" s="18"/>
      <c r="K21" s="18"/>
      <c r="L21" s="18"/>
      <c r="M21" s="18"/>
      <c r="N21" s="18"/>
      <c r="R21" s="50">
        <f>'General assumptions'!$D$6*'MiG- EF to VF'!I6</f>
        <v>-5881.8499999999985</v>
      </c>
      <c r="V21" s="2" t="s">
        <v>126</v>
      </c>
    </row>
    <row r="22" spans="2:22" ht="17.100000000000001" customHeight="1">
      <c r="B22" s="117"/>
      <c r="C22" s="13"/>
      <c r="D22" s="115"/>
      <c r="E22" s="115"/>
      <c r="F22" s="79" t="s">
        <v>52</v>
      </c>
      <c r="G22" s="4">
        <f>SUM(G16:G21)</f>
        <v>8309.0750000000007</v>
      </c>
      <c r="I22" s="18"/>
      <c r="J22" s="18"/>
      <c r="K22" s="18"/>
      <c r="L22" s="18"/>
      <c r="M22" s="18"/>
      <c r="N22" s="18"/>
      <c r="R22" s="50">
        <f>'General assumptions'!$D$6*'MiG- EF to VF'!I7</f>
        <v>4118.1500000000015</v>
      </c>
    </row>
    <row r="23" spans="2:22" ht="17.100000000000001" customHeight="1">
      <c r="B23" s="117"/>
      <c r="C23" s="13"/>
      <c r="D23" s="115"/>
      <c r="E23" s="115"/>
      <c r="F23" s="79"/>
      <c r="G23" s="4"/>
      <c r="I23" s="18"/>
      <c r="J23" s="18"/>
      <c r="K23" s="18"/>
      <c r="L23" s="18"/>
      <c r="M23" s="18"/>
      <c r="N23" s="18"/>
      <c r="R23" s="50">
        <f>'General assumptions'!$D$6*'MiG- EF to VF'!I8</f>
        <v>14118.150000000003</v>
      </c>
    </row>
    <row r="24" spans="2:22" ht="17.100000000000001" customHeight="1">
      <c r="B24" s="114" t="s">
        <v>53</v>
      </c>
      <c r="C24" s="45" t="s">
        <v>49</v>
      </c>
      <c r="D24" s="115"/>
      <c r="E24" s="59" t="s">
        <v>54</v>
      </c>
      <c r="F24" s="101"/>
      <c r="G24" s="116" t="s">
        <v>49</v>
      </c>
      <c r="I24" s="18"/>
      <c r="J24" s="18"/>
      <c r="K24" s="18"/>
      <c r="L24" s="18"/>
      <c r="M24" s="18"/>
      <c r="N24" s="18"/>
      <c r="R24" s="50">
        <f>'General assumptions'!$D$6*'MiG- EF to VF'!I9</f>
        <v>24118.15</v>
      </c>
    </row>
    <row r="25" spans="2:22" ht="17.100000000000001" customHeight="1">
      <c r="B25" s="117" t="s">
        <v>143</v>
      </c>
      <c r="C25" s="118">
        <f>'General assumptions'!D9*'General assumptions'!D8*'MiG- EF to VF'!C8</f>
        <v>0</v>
      </c>
      <c r="D25" s="115"/>
      <c r="E25" s="13" t="s">
        <v>75</v>
      </c>
      <c r="F25" s="13"/>
      <c r="G25" s="124">
        <v>0</v>
      </c>
      <c r="I25" s="18"/>
      <c r="J25" s="18"/>
      <c r="K25" s="18"/>
      <c r="L25" s="18"/>
      <c r="M25" s="18"/>
      <c r="N25" s="18"/>
      <c r="R25" s="50">
        <f>'General assumptions'!$D$6*'MiG- EF to VF'!I10</f>
        <v>34118.15</v>
      </c>
    </row>
    <row r="26" spans="2:22" ht="17.100000000000001" customHeight="1">
      <c r="B26" s="117" t="s">
        <v>150</v>
      </c>
      <c r="C26" s="118">
        <f>C9*'General assumptions'!D6/'General assumptions'!D5</f>
        <v>1000</v>
      </c>
      <c r="D26" s="115"/>
      <c r="E26" s="128" t="s">
        <v>51</v>
      </c>
      <c r="F26" s="129"/>
      <c r="G26" s="124">
        <v>0</v>
      </c>
      <c r="I26" s="18"/>
      <c r="J26" s="18"/>
      <c r="K26" s="18"/>
      <c r="L26" s="18"/>
      <c r="M26" s="18"/>
      <c r="N26" s="18"/>
    </row>
    <row r="27" spans="2:22" ht="17.100000000000001" customHeight="1">
      <c r="B27" s="117" t="s">
        <v>62</v>
      </c>
      <c r="C27" s="118">
        <f>IF(F8=0,0,(F7/F8+F7/2*'General assumptions'!D11)/'General assumptions'!D5)</f>
        <v>0</v>
      </c>
      <c r="D27" s="115"/>
      <c r="E27" s="128" t="s">
        <v>51</v>
      </c>
      <c r="F27" s="129"/>
      <c r="G27" s="124">
        <v>0</v>
      </c>
      <c r="I27" s="18"/>
      <c r="J27" s="18"/>
      <c r="K27" s="18"/>
      <c r="L27" s="18"/>
      <c r="M27" s="18"/>
      <c r="N27" s="18"/>
    </row>
    <row r="28" spans="2:22" ht="17.100000000000001" customHeight="1">
      <c r="B28" s="117" t="s">
        <v>85</v>
      </c>
      <c r="C28" s="118">
        <f>C10*'General assumptions'!D12</f>
        <v>4050</v>
      </c>
      <c r="D28" s="115"/>
      <c r="E28" s="128" t="s">
        <v>51</v>
      </c>
      <c r="F28" s="129"/>
      <c r="G28" s="124">
        <v>0</v>
      </c>
      <c r="I28" s="18"/>
      <c r="J28" s="18"/>
      <c r="K28" s="18"/>
      <c r="L28" s="18"/>
      <c r="M28" s="18"/>
      <c r="N28" s="18"/>
    </row>
    <row r="29" spans="2:22" ht="17.100000000000001" customHeight="1">
      <c r="B29" s="117" t="s">
        <v>63</v>
      </c>
      <c r="C29" s="121">
        <v>1200</v>
      </c>
      <c r="D29" s="115"/>
      <c r="E29" s="26" t="s">
        <v>51</v>
      </c>
      <c r="F29" s="26"/>
      <c r="G29" s="124">
        <v>0</v>
      </c>
      <c r="I29" s="18"/>
      <c r="J29" s="18"/>
      <c r="K29" s="18"/>
      <c r="L29" s="18"/>
      <c r="M29" s="18"/>
      <c r="N29" s="18"/>
    </row>
    <row r="30" spans="2:22" ht="17.100000000000001" customHeight="1">
      <c r="B30" s="122" t="s">
        <v>51</v>
      </c>
      <c r="C30" s="123">
        <v>0</v>
      </c>
      <c r="D30" s="13"/>
      <c r="E30" s="26" t="s">
        <v>51</v>
      </c>
      <c r="F30" s="26"/>
      <c r="G30" s="127">
        <v>0</v>
      </c>
      <c r="I30" s="18"/>
      <c r="J30" s="18"/>
      <c r="K30" s="18"/>
      <c r="L30" s="18"/>
      <c r="M30" s="18"/>
      <c r="N30" s="18"/>
    </row>
    <row r="31" spans="2:22" ht="17.100000000000001" customHeight="1">
      <c r="B31" s="125" t="s">
        <v>52</v>
      </c>
      <c r="C31" s="3">
        <f>SUM(C25:C30)</f>
        <v>6250</v>
      </c>
      <c r="D31" s="130"/>
      <c r="E31" s="13"/>
      <c r="F31" s="79" t="s">
        <v>52</v>
      </c>
      <c r="G31" s="4">
        <f>SUM(G25:G30)</f>
        <v>0</v>
      </c>
      <c r="I31" s="18"/>
      <c r="J31" s="18"/>
      <c r="K31" s="18"/>
      <c r="L31" s="18"/>
      <c r="M31" s="18"/>
      <c r="N31" s="18"/>
    </row>
    <row r="32" spans="2:22" ht="17.100000000000001" customHeight="1" thickBot="1">
      <c r="B32" s="131"/>
      <c r="C32" s="132"/>
      <c r="D32" s="132"/>
      <c r="E32" s="132"/>
      <c r="F32" s="132"/>
      <c r="G32" s="133"/>
      <c r="I32" s="18"/>
      <c r="J32" s="18"/>
      <c r="K32" s="18"/>
      <c r="L32" s="18"/>
      <c r="M32" s="18"/>
      <c r="N32" s="18"/>
    </row>
    <row r="33" spans="2:14" ht="17.100000000000001" customHeight="1">
      <c r="B33" s="134" t="s">
        <v>149</v>
      </c>
      <c r="C33" s="144"/>
      <c r="D33" s="144"/>
      <c r="E33" s="144"/>
      <c r="F33" s="10" t="s">
        <v>56</v>
      </c>
      <c r="G33" s="11">
        <f>C20+C31-G22-G31</f>
        <v>1740.9249999999993</v>
      </c>
      <c r="I33" s="18"/>
      <c r="J33" s="18"/>
      <c r="K33" s="18"/>
      <c r="L33" s="18"/>
      <c r="M33" s="18"/>
      <c r="N33" s="18"/>
    </row>
    <row r="34" spans="2:14" ht="15.75">
      <c r="B34" s="117" t="s">
        <v>57</v>
      </c>
      <c r="C34" s="13"/>
      <c r="D34" s="13"/>
      <c r="E34" s="13"/>
      <c r="F34" s="9" t="s">
        <v>69</v>
      </c>
      <c r="G34" s="12">
        <f>G33/'General assumptions'!D4</f>
        <v>17.409249999999993</v>
      </c>
    </row>
    <row r="35" spans="2:14" ht="15.75">
      <c r="B35" s="117"/>
      <c r="C35" s="13"/>
      <c r="D35" s="13"/>
      <c r="E35" s="13"/>
      <c r="F35" s="9" t="s">
        <v>84</v>
      </c>
      <c r="G35" s="12">
        <f>G33/'General assumptions'!D6</f>
        <v>8.7046249999999965</v>
      </c>
    </row>
    <row r="36" spans="2:14" ht="16.5" thickBot="1">
      <c r="B36" s="145"/>
      <c r="C36" s="132"/>
      <c r="D36" s="132"/>
      <c r="E36" s="132"/>
      <c r="F36" s="162" t="s">
        <v>155</v>
      </c>
      <c r="G36" s="163">
        <f>G33/('Fence and water system details'!G11+'Fence and water system details'!G22)</f>
        <v>4.7333469276780837E-2</v>
      </c>
    </row>
    <row r="37" spans="2:14"/>
  </sheetData>
  <sheetProtection sheet="1" objects="1" scenarios="1"/>
  <protectedRanges>
    <protectedRange sqref="C7:C10 F7:F11 G19:G21 E21 C17:C19 B19 I3 G25:G30 E26:F30 C29:C30" name="Grey cells"/>
    <protectedRange sqref="B30" name="Grey cells_1"/>
  </protectedRanges>
  <mergeCells count="1">
    <mergeCell ref="B3:G3"/>
  </mergeCells>
  <conditionalFormatting sqref="G33:G36">
    <cfRule type="cellIs" dxfId="2" priority="1" operator="lessThan">
      <formula>0</formula>
    </cfRule>
  </conditionalFormatting>
  <conditionalFormatting sqref="I4:I11">
    <cfRule type="expression" dxfId="1" priority="2">
      <formula>I4&amp;"&lt;"&amp;"1"</formula>
    </cfRule>
  </conditionalFormatting>
  <dataValidations count="3">
    <dataValidation allowBlank="1" showInputMessage="1" showErrorMessage="1" promptTitle="When to change stocking rate" prompt="Virtual fence can impact the gain per acre in a number of ways. Shorter grazing intervals can improve forage utilization and increase stocking rates. Better managed pastures can yield more palatable forages that increase consumption and gain per animal. " sqref="C7" xr:uid="{49B87A56-DDDB-486E-B057-5B0F76062996}"/>
    <dataValidation allowBlank="1" showInputMessage="1" showErrorMessage="1" prompt="Do not enter an investment in electric fence if you already own electric fence materials for an existing management intensive grazing system. " sqref="F7" xr:uid="{6CC12DAF-D8C1-4ED4-BEDB-45AD7B586F31}"/>
    <dataValidation type="list" allowBlank="1" showInputMessage="1" showErrorMessage="1" sqref="I3" xr:uid="{4827B5A5-0571-452B-9D25-88DC680302FC}">
      <formula1>$R$15:$R$17</formula1>
    </dataValidation>
  </dataValidation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7D582-C0E1-4652-A71D-5E48F1B5A96F}">
  <dimension ref="A1:I1048576"/>
  <sheetViews>
    <sheetView showGridLines="0" workbookViewId="0"/>
  </sheetViews>
  <sheetFormatPr defaultColWidth="0" defaultRowHeight="0" customHeight="1" zeroHeight="1"/>
  <cols>
    <col min="1" max="1" width="3.140625" style="2" customWidth="1"/>
    <col min="2" max="2" width="39.42578125" style="2" customWidth="1"/>
    <col min="3" max="3" width="8.5703125" style="2" customWidth="1"/>
    <col min="4" max="4" width="16.85546875" style="2" customWidth="1"/>
    <col min="5" max="5" width="9.140625" style="2" customWidth="1"/>
    <col min="6" max="6" width="30" style="2" customWidth="1"/>
    <col min="7" max="7" width="13.140625" style="2" customWidth="1"/>
    <col min="8" max="8" width="13" style="2" bestFit="1" customWidth="1"/>
    <col min="9" max="9" width="3.140625" style="2" customWidth="1"/>
    <col min="10" max="16384" width="9.140625" style="2" hidden="1"/>
  </cols>
  <sheetData>
    <row r="1" spans="2:8" ht="24">
      <c r="B1" s="151" t="s">
        <v>89</v>
      </c>
      <c r="C1" s="69"/>
      <c r="D1" s="70"/>
      <c r="E1" s="70"/>
      <c r="F1" s="70"/>
      <c r="G1" s="70"/>
      <c r="H1" s="70"/>
    </row>
    <row r="2" spans="2:8" ht="15.75" customHeight="1">
      <c r="B2" s="71" t="s">
        <v>90</v>
      </c>
      <c r="C2" s="72"/>
      <c r="D2" s="73"/>
      <c r="E2" s="73"/>
      <c r="F2" s="74" t="s">
        <v>91</v>
      </c>
      <c r="G2" s="73"/>
      <c r="H2" s="73"/>
    </row>
    <row r="3" spans="2:8" ht="15.75" customHeight="1">
      <c r="B3" s="75" t="s">
        <v>92</v>
      </c>
      <c r="C3" s="75"/>
      <c r="D3" s="26">
        <v>20</v>
      </c>
      <c r="E3" s="1"/>
      <c r="F3" s="75" t="s">
        <v>93</v>
      </c>
      <c r="G3" s="75"/>
      <c r="H3" s="29">
        <v>100</v>
      </c>
    </row>
    <row r="4" spans="2:8" ht="15.75" customHeight="1">
      <c r="B4" s="75" t="s">
        <v>117</v>
      </c>
      <c r="C4" s="75"/>
      <c r="D4" s="26">
        <v>50</v>
      </c>
      <c r="E4" s="1"/>
      <c r="F4" s="75" t="s">
        <v>160</v>
      </c>
      <c r="G4" s="75"/>
      <c r="H4" s="160">
        <v>650</v>
      </c>
    </row>
    <row r="5" spans="2:8" ht="15.75" customHeight="1">
      <c r="B5" s="76" t="s">
        <v>94</v>
      </c>
      <c r="C5" s="76"/>
      <c r="D5" s="77">
        <v>90</v>
      </c>
      <c r="E5" s="1"/>
      <c r="F5" s="75" t="s">
        <v>95</v>
      </c>
      <c r="G5" s="75"/>
      <c r="H5" s="28">
        <v>0.03</v>
      </c>
    </row>
    <row r="6" spans="2:8" ht="15.75" customHeight="1">
      <c r="B6" s="13" t="s">
        <v>164</v>
      </c>
      <c r="C6" s="13"/>
      <c r="D6" s="29">
        <v>2500</v>
      </c>
      <c r="E6" s="1"/>
      <c r="F6" s="13" t="s">
        <v>97</v>
      </c>
      <c r="G6" s="78"/>
      <c r="H6" s="28">
        <v>0.15</v>
      </c>
    </row>
    <row r="7" spans="2:8" ht="15.75" customHeight="1">
      <c r="B7" s="13" t="s">
        <v>159</v>
      </c>
      <c r="C7" s="13"/>
      <c r="D7" s="107" t="s">
        <v>158</v>
      </c>
      <c r="E7" s="1"/>
      <c r="F7" s="13" t="s">
        <v>98</v>
      </c>
      <c r="G7" s="1"/>
      <c r="H7" s="26">
        <v>15</v>
      </c>
    </row>
    <row r="8" spans="2:8" ht="15.75" customHeight="1">
      <c r="B8" s="27" t="s">
        <v>131</v>
      </c>
      <c r="C8" s="27"/>
      <c r="D8" s="47">
        <v>350</v>
      </c>
      <c r="F8" s="13" t="s">
        <v>100</v>
      </c>
      <c r="G8" s="1"/>
      <c r="H8" s="29">
        <v>75</v>
      </c>
    </row>
    <row r="9" spans="2:8" ht="15.75" customHeight="1">
      <c r="C9" s="78" t="s">
        <v>96</v>
      </c>
      <c r="D9" s="9">
        <f>IFERROR(D4*D5/D3,0)</f>
        <v>225</v>
      </c>
      <c r="F9" s="27" t="s">
        <v>102</v>
      </c>
      <c r="G9" s="25"/>
      <c r="H9" s="47">
        <v>25</v>
      </c>
    </row>
    <row r="10" spans="2:8" ht="15.75">
      <c r="B10" s="78"/>
      <c r="C10" s="78"/>
      <c r="D10" s="13"/>
      <c r="G10" s="79" t="s">
        <v>104</v>
      </c>
      <c r="H10" s="80">
        <f>IFERROR((H3/2000*H4*H5/(1-H6)+H7/D4*(H9+H8)/60)*D5*D4,0)</f>
        <v>7411.7647058823522</v>
      </c>
    </row>
    <row r="11" spans="2:8" ht="15.75">
      <c r="B11" s="30" t="s">
        <v>99</v>
      </c>
      <c r="C11" s="30"/>
      <c r="D11" s="161" t="s">
        <v>46</v>
      </c>
      <c r="G11" s="79" t="s">
        <v>106</v>
      </c>
      <c r="H11" s="80">
        <f>IFERROR(H10/D4,0)</f>
        <v>148.23529411764704</v>
      </c>
    </row>
    <row r="12" spans="2:8" ht="15.75">
      <c r="B12" s="13" t="s">
        <v>101</v>
      </c>
      <c r="C12" s="13"/>
      <c r="D12" s="29">
        <v>140</v>
      </c>
      <c r="F12" s="25"/>
      <c r="G12" s="81" t="s">
        <v>108</v>
      </c>
      <c r="H12" s="82">
        <f>IFERROR(H11/D5,0)</f>
        <v>1.6470588235294117</v>
      </c>
    </row>
    <row r="13" spans="2:8" ht="15.75">
      <c r="B13" s="13" t="s">
        <v>103</v>
      </c>
      <c r="C13" s="13"/>
      <c r="D13" s="29">
        <v>70</v>
      </c>
    </row>
    <row r="14" spans="2:8" ht="15.75">
      <c r="B14" s="13" t="s">
        <v>105</v>
      </c>
      <c r="C14" s="13"/>
      <c r="D14" s="29">
        <v>20</v>
      </c>
    </row>
    <row r="15" spans="2:8" ht="19.5" thickBot="1">
      <c r="B15" s="13" t="s">
        <v>107</v>
      </c>
      <c r="C15" s="13"/>
      <c r="D15" s="29">
        <v>11</v>
      </c>
      <c r="F15" s="173" t="str">
        <f>IF(D20&gt;H12,"Disadvantage","Advantage")&amp;" of grazing"</f>
        <v>Advantage of grazing</v>
      </c>
      <c r="G15" s="174"/>
    </row>
    <row r="16" spans="2:8" ht="15.75">
      <c r="B16" s="13" t="s">
        <v>109</v>
      </c>
      <c r="C16" s="13"/>
      <c r="D16" s="29">
        <v>50</v>
      </c>
      <c r="F16" s="83" t="s">
        <v>111</v>
      </c>
      <c r="G16" s="157">
        <f>H10-D18</f>
        <v>589.02497985495484</v>
      </c>
    </row>
    <row r="17" spans="2:8" ht="15.75">
      <c r="B17" s="27" t="s">
        <v>110</v>
      </c>
      <c r="C17" s="27"/>
      <c r="D17" s="47">
        <v>15</v>
      </c>
      <c r="F17" s="83" t="s">
        <v>69</v>
      </c>
      <c r="G17" s="158">
        <f>H11-D20*D5</f>
        <v>11.780499597099094</v>
      </c>
    </row>
    <row r="18" spans="2:8" ht="15.75">
      <c r="C18" s="79" t="s">
        <v>112</v>
      </c>
      <c r="D18" s="80">
        <f>D19*D3</f>
        <v>6822.7397260273974</v>
      </c>
      <c r="F18" s="84" t="s">
        <v>114</v>
      </c>
      <c r="G18" s="159">
        <f>H12-D20</f>
        <v>0.13089443996776784</v>
      </c>
    </row>
    <row r="19" spans="2:8" ht="15.75">
      <c r="C19" s="79" t="s">
        <v>113</v>
      </c>
      <c r="D19" s="80">
        <f>SUM(D12:D17)+(D6+D8)/D3*IF(D7=F20,1,D5/365)</f>
        <v>341.13698630136986</v>
      </c>
      <c r="F19" s="85"/>
      <c r="G19" s="85"/>
      <c r="H19" s="85"/>
    </row>
    <row r="20" spans="2:8" ht="15.75">
      <c r="B20" s="25"/>
      <c r="C20" s="81" t="s">
        <v>115</v>
      </c>
      <c r="D20" s="82">
        <f>IFERROR(D19/D9,0)</f>
        <v>1.5161643835616438</v>
      </c>
      <c r="F20" s="164" t="s">
        <v>156</v>
      </c>
    </row>
    <row r="21" spans="2:8" ht="15.75">
      <c r="C21" s="79"/>
      <c r="D21" s="80"/>
      <c r="F21" s="164" t="s">
        <v>157</v>
      </c>
    </row>
    <row r="22" spans="2:8" ht="15.75">
      <c r="C22" s="79"/>
      <c r="D22" s="80"/>
      <c r="E22" s="85"/>
      <c r="F22" s="165" t="s">
        <v>158</v>
      </c>
      <c r="G22" s="85"/>
      <c r="H22" s="85"/>
    </row>
    <row r="23" spans="2:8" ht="31.5" customHeight="1">
      <c r="B23" s="175" t="s">
        <v>116</v>
      </c>
      <c r="C23" s="175"/>
      <c r="D23" s="175"/>
      <c r="E23" s="175"/>
      <c r="F23" s="175"/>
      <c r="G23" s="175"/>
      <c r="H23" s="175"/>
    </row>
    <row r="24" spans="2:8" ht="15" hidden="1" customHeight="1"/>
    <row r="1048576" ht="15"/>
  </sheetData>
  <sheetProtection sheet="1" objects="1" scenarios="1"/>
  <protectedRanges>
    <protectedRange sqref="D3:D8 H3:H9 D12:D17" name="Edit cells"/>
  </protectedRanges>
  <mergeCells count="2">
    <mergeCell ref="F15:G15"/>
    <mergeCell ref="B23:H23"/>
  </mergeCells>
  <conditionalFormatting sqref="G16:G18">
    <cfRule type="cellIs" dxfId="0" priority="1" operator="lessThan">
      <formula>0</formula>
    </cfRule>
  </conditionalFormatting>
  <dataValidations count="1">
    <dataValidation type="list" allowBlank="1" showInputMessage="1" showErrorMessage="1" sqref="D7" xr:uid="{901B00DB-B5EC-4EBF-AC95-1D61EAB24A28}">
      <formula1>$F$20:$F$22</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E1293EDA749C499D09F25756402A22" ma:contentTypeVersion="19" ma:contentTypeDescription="Create a new document." ma:contentTypeScope="" ma:versionID="f610af42f5f35fc6cfbfb3e5795ca45d">
  <xsd:schema xmlns:xsd="http://www.w3.org/2001/XMLSchema" xmlns:xs="http://www.w3.org/2001/XMLSchema" xmlns:p="http://schemas.microsoft.com/office/2006/metadata/properties" xmlns:ns2="efba6830-88fc-4660-8252-66421c0ed606" xmlns:ns3="68029b82-de8b-4bb8-a3ab-fd0183ed5d77" targetNamespace="http://schemas.microsoft.com/office/2006/metadata/properties" ma:root="true" ma:fieldsID="b56cae5f79f0fb0f797c4f61633a70a8" ns2:_="" ns3:_="">
    <xsd:import namespace="efba6830-88fc-4660-8252-66421c0ed606"/>
    <xsd:import namespace="68029b82-de8b-4bb8-a3ab-fd0183ed5d7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ba6830-88fc-4660-8252-66421c0ed6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e20e570-3a27-4eff-9ea0-d3488a33fb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8029b82-de8b-4bb8-a3ab-fd0183ed5d7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298e622-2bdb-4ed5-999f-2e6ceaea9292}" ma:internalName="TaxCatchAll" ma:showField="CatchAllData" ma:web="68029b82-de8b-4bb8-a3ab-fd0183ed5d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8029b82-de8b-4bb8-a3ab-fd0183ed5d77" xsi:nil="true"/>
    <lcf76f155ced4ddcb4097134ff3c332f xmlns="efba6830-88fc-4660-8252-66421c0ed60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ADBD012-C46C-4C83-A5A8-5F6C2664A8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ba6830-88fc-4660-8252-66421c0ed606"/>
    <ds:schemaRef ds:uri="68029b82-de8b-4bb8-a3ab-fd0183ed5d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1D8A55-7B0A-4075-8745-462A41CF91C8}">
  <ds:schemaRefs>
    <ds:schemaRef ds:uri="http://schemas.microsoft.com/sharepoint/v3/contenttype/forms"/>
  </ds:schemaRefs>
</ds:datastoreItem>
</file>

<file path=customXml/itemProps3.xml><?xml version="1.0" encoding="utf-8"?>
<ds:datastoreItem xmlns:ds="http://schemas.openxmlformats.org/officeDocument/2006/customXml" ds:itemID="{10C24467-393C-4A39-A688-51D2F6079646}">
  <ds:schemaRefs>
    <ds:schemaRef ds:uri="http://purl.org/dc/dcmitype/"/>
    <ds:schemaRef ds:uri="efba6830-88fc-4660-8252-66421c0ed606"/>
    <ds:schemaRef ds:uri="68029b82-de8b-4bb8-a3ab-fd0183ed5d77"/>
    <ds:schemaRef ds:uri="http://schemas.microsoft.com/office/2006/metadata/properties"/>
    <ds:schemaRef ds:uri="http://purl.org/dc/elements/1.1/"/>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General assumptions</vt:lpstr>
      <vt:lpstr>Fence and water system details</vt:lpstr>
      <vt:lpstr>Continuous to VF</vt:lpstr>
      <vt:lpstr>MiG- EF to VF</vt:lpstr>
      <vt:lpstr>Forage access evaluator</vt:lpstr>
    </vt:vector>
  </TitlesOfParts>
  <Manager/>
  <Company>University of Missouri Extension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test</dc:creator>
  <cp:keywords/>
  <dc:description/>
  <cp:lastModifiedBy>Salmons, Michael</cp:lastModifiedBy>
  <cp:revision/>
  <dcterms:created xsi:type="dcterms:W3CDTF">2016-09-29T15:43:09Z</dcterms:created>
  <dcterms:modified xsi:type="dcterms:W3CDTF">2026-09-01T20:13:13Z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0x010100C8E1293EDA749C499D09F25756402A22</vt:lpwstr>
  </property>
  <property fmtid="{D5CDD505-2E9C-101B-9397-08002B2CF9AE}" pid="3" name="MediaServiceImageTags">
    <vt:lpwstr/>
  </property>
</Properties>
</file>