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mailmissouri-my.sharepoint.com/personal/salmonsm_umsystem_edu/Documents/Documents/Andrew K/"/>
    </mc:Choice>
  </mc:AlternateContent>
  <xr:revisionPtr revIDLastSave="191" documentId="8_{17F65F29-F40F-4FC3-BFFB-7F1F6C161FFE}" xr6:coauthVersionLast="47" xr6:coauthVersionMax="47" xr10:uidLastSave="{A38551F9-24CF-4999-AB0A-676E9D42A485}"/>
  <bookViews>
    <workbookView xWindow="-27675" yWindow="525" windowWidth="26595" windowHeight="13365" firstSheet="3" activeTab="5" xr2:uid="{00000000-000D-0000-FFFF-FFFF00000000}"/>
  </bookViews>
  <sheets>
    <sheet name="Introduction" sheetId="6" r:id="rId1"/>
    <sheet name="General assumptions" sheetId="7" r:id="rId2"/>
    <sheet name="Fence and water system details" sheetId="8" r:id="rId3"/>
    <sheet name="Continuous to VF" sheetId="2" r:id="rId4"/>
    <sheet name="MiG - EF to VF" sheetId="9" r:id="rId5"/>
    <sheet name="Forage access evaluator" sheetId="10"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 i="9" l="1"/>
  <c r="G34" i="9"/>
  <c r="G33" i="2" l="1"/>
  <c r="G32" i="2"/>
  <c r="D19" i="10"/>
  <c r="D18" i="10" s="1"/>
  <c r="H10" i="10"/>
  <c r="G16" i="10" s="1"/>
  <c r="D9" i="10"/>
  <c r="D20" i="10" l="1"/>
  <c r="H11" i="10"/>
  <c r="G17" i="10" l="1"/>
  <c r="H12" i="10"/>
  <c r="L2" i="9"/>
  <c r="U6" i="9"/>
  <c r="V6" i="9" s="1"/>
  <c r="U8" i="9"/>
  <c r="V9" i="2"/>
  <c r="M2" i="2"/>
  <c r="G18" i="10" l="1"/>
  <c r="F15" i="10"/>
  <c r="R6" i="9"/>
  <c r="S6" i="9"/>
  <c r="T6" i="9"/>
  <c r="W6" i="9"/>
  <c r="V8" i="9"/>
  <c r="N3" i="9" s="1"/>
  <c r="M3" i="9"/>
  <c r="T8" i="9"/>
  <c r="L3" i="9" s="1"/>
  <c r="U9" i="2"/>
  <c r="W9" i="2"/>
  <c r="E7" i="8"/>
  <c r="E8" i="8"/>
  <c r="C16" i="8"/>
  <c r="G18" i="2"/>
  <c r="G19" i="9"/>
  <c r="C27" i="9"/>
  <c r="W8" i="9" l="1"/>
  <c r="O3" i="9" s="1"/>
  <c r="S8" i="9"/>
  <c r="K3" i="9" s="1"/>
  <c r="T9" i="2"/>
  <c r="X9" i="2"/>
  <c r="T25" i="2"/>
  <c r="W21" i="2" s="1"/>
  <c r="R8" i="9" l="1"/>
  <c r="J3" i="9" s="1"/>
  <c r="S9" i="2"/>
  <c r="U21" i="9"/>
  <c r="T21" i="9" s="1"/>
  <c r="C24" i="9" l="1"/>
  <c r="C26" i="9"/>
  <c r="G30" i="9" l="1"/>
  <c r="C25" i="9"/>
  <c r="R24" i="9"/>
  <c r="V7" i="2"/>
  <c r="C5" i="8"/>
  <c r="X7" i="2" l="1"/>
  <c r="P3" i="2" s="1"/>
  <c r="W7" i="2"/>
  <c r="O3" i="2" s="1"/>
  <c r="S7" i="2"/>
  <c r="T7" i="2"/>
  <c r="L3" i="2" s="1"/>
  <c r="U7" i="2"/>
  <c r="M3" i="2" s="1"/>
  <c r="N3" i="2"/>
  <c r="G20" i="9"/>
  <c r="U24" i="9"/>
  <c r="T24" i="9" s="1"/>
  <c r="U23" i="9"/>
  <c r="T23" i="9" s="1"/>
  <c r="U20" i="9"/>
  <c r="T20" i="9" s="1"/>
  <c r="U22" i="9"/>
  <c r="T22" i="9" s="1"/>
  <c r="U18" i="9"/>
  <c r="T18" i="9" s="1"/>
  <c r="U19" i="9"/>
  <c r="T19" i="9" s="1"/>
  <c r="V21" i="2"/>
  <c r="W25" i="2"/>
  <c r="W23" i="2"/>
  <c r="W20" i="2"/>
  <c r="W19" i="2"/>
  <c r="W22" i="2"/>
  <c r="W24" i="2"/>
  <c r="C14" i="2"/>
  <c r="C16" i="9"/>
  <c r="C21" i="9" s="1"/>
  <c r="G17" i="9"/>
  <c r="G18" i="9"/>
  <c r="G16" i="2"/>
  <c r="G17" i="2"/>
  <c r="G19" i="2"/>
  <c r="V20" i="2" l="1"/>
  <c r="V23" i="2"/>
  <c r="V24" i="2"/>
  <c r="V22" i="2"/>
  <c r="C23" i="2" s="1"/>
  <c r="V19" i="2"/>
  <c r="V25" i="2"/>
  <c r="C24" i="2"/>
  <c r="G20" i="8"/>
  <c r="G19" i="8"/>
  <c r="G18" i="8"/>
  <c r="G17" i="8"/>
  <c r="G16" i="8"/>
  <c r="G15" i="8"/>
  <c r="G5" i="8"/>
  <c r="G9" i="8"/>
  <c r="G8" i="8"/>
  <c r="G7" i="8"/>
  <c r="G6" i="8"/>
  <c r="C28" i="2" l="1"/>
  <c r="G22" i="8"/>
  <c r="G11" i="8"/>
  <c r="H5" i="8" s="1"/>
  <c r="I5" i="8" s="1"/>
  <c r="H6" i="8" l="1"/>
  <c r="I6" i="8" s="1"/>
  <c r="H7" i="8"/>
  <c r="I7" i="8" s="1"/>
  <c r="H20" i="8"/>
  <c r="I20" i="8" s="1"/>
  <c r="H18" i="8"/>
  <c r="I18" i="8" s="1"/>
  <c r="H17" i="8"/>
  <c r="I17" i="8" s="1"/>
  <c r="H16" i="8"/>
  <c r="I16" i="8" s="1"/>
  <c r="H15" i="8"/>
  <c r="I15" i="8" s="1"/>
  <c r="H19" i="8"/>
  <c r="I19" i="8" s="1"/>
  <c r="H9" i="8"/>
  <c r="I9" i="8" s="1"/>
  <c r="H8" i="8"/>
  <c r="I8" i="8" s="1"/>
  <c r="K3" i="2"/>
  <c r="I11" i="8" l="1"/>
  <c r="H11" i="8"/>
  <c r="G14" i="2" s="1"/>
  <c r="I22" i="8"/>
  <c r="H22" i="8"/>
  <c r="G15" i="2" s="1"/>
  <c r="G16" i="9" l="1"/>
  <c r="G28" i="2"/>
  <c r="C20" i="2"/>
  <c r="G23" i="9" l="1"/>
  <c r="O7" i="9"/>
  <c r="K7" i="9"/>
  <c r="N7" i="9"/>
  <c r="L7" i="9"/>
  <c r="J7" i="9"/>
  <c r="M7" i="9"/>
  <c r="L5" i="9"/>
  <c r="J10" i="9"/>
  <c r="J9" i="9"/>
  <c r="K5" i="9"/>
  <c r="M10" i="9"/>
  <c r="M9" i="9"/>
  <c r="J5" i="9"/>
  <c r="O6" i="9"/>
  <c r="M5" i="9"/>
  <c r="M6" i="9"/>
  <c r="K9" i="9"/>
  <c r="O5" i="9"/>
  <c r="N6" i="9"/>
  <c r="N5" i="9"/>
  <c r="K8" i="9"/>
  <c r="J8" i="9"/>
  <c r="N8" i="9"/>
  <c r="O4" i="9"/>
  <c r="N4" i="9"/>
  <c r="O8" i="9"/>
  <c r="K4" i="9"/>
  <c r="O10" i="9"/>
  <c r="L10" i="9"/>
  <c r="K10" i="9"/>
  <c r="L9" i="9"/>
  <c r="O9" i="9"/>
  <c r="L6" i="9"/>
  <c r="K6" i="9"/>
  <c r="L8" i="9"/>
  <c r="M4" i="9"/>
  <c r="J4" i="9"/>
  <c r="N9" i="9"/>
  <c r="J6" i="9"/>
  <c r="M8" i="9"/>
  <c r="L4" i="9"/>
  <c r="N10" i="9"/>
  <c r="G22" i="2"/>
  <c r="J7" i="2" l="1"/>
  <c r="N7" i="2" l="1"/>
  <c r="O7" i="2"/>
  <c r="L7" i="2"/>
  <c r="K7" i="2"/>
  <c r="P7" i="2"/>
  <c r="M7" i="2"/>
  <c r="G30" i="2"/>
  <c r="G31" i="2" s="1"/>
  <c r="J6" i="2"/>
  <c r="J10" i="2"/>
  <c r="J5" i="2"/>
  <c r="J9" i="2"/>
  <c r="J8" i="2"/>
  <c r="J4" i="2"/>
  <c r="K4" i="2" l="1"/>
  <c r="M4" i="2"/>
  <c r="L4" i="2"/>
  <c r="O4" i="2"/>
  <c r="P4" i="2"/>
  <c r="N4" i="2"/>
  <c r="L8" i="2"/>
  <c r="P8" i="2"/>
  <c r="O8" i="2"/>
  <c r="N8" i="2"/>
  <c r="M8" i="2"/>
  <c r="K8" i="2"/>
  <c r="L9" i="2"/>
  <c r="K9" i="2"/>
  <c r="N9" i="2"/>
  <c r="P9" i="2"/>
  <c r="O9" i="2"/>
  <c r="M9" i="2"/>
  <c r="M5" i="2"/>
  <c r="P5" i="2"/>
  <c r="L5" i="2"/>
  <c r="O5" i="2"/>
  <c r="K5" i="2"/>
  <c r="N5" i="2"/>
  <c r="P10" i="2"/>
  <c r="O10" i="2"/>
  <c r="K10" i="2"/>
  <c r="N10" i="2"/>
  <c r="L10" i="2"/>
  <c r="M10" i="2"/>
  <c r="O6" i="2"/>
  <c r="N6" i="2"/>
  <c r="M6" i="2"/>
  <c r="L6" i="2"/>
  <c r="K6" i="2"/>
  <c r="P6" i="2"/>
  <c r="C30" i="9"/>
  <c r="I7" i="9" s="1"/>
  <c r="G32" i="9" l="1"/>
  <c r="G33" i="9" l="1"/>
  <c r="I6" i="9"/>
  <c r="I8" i="9"/>
  <c r="I9" i="9" l="1"/>
  <c r="I5" i="9"/>
  <c r="I4" i="9" l="1"/>
  <c r="I10" i="9"/>
</calcChain>
</file>

<file path=xl/sharedStrings.xml><?xml version="1.0" encoding="utf-8"?>
<sst xmlns="http://schemas.openxmlformats.org/spreadsheetml/2006/main" count="273" uniqueCount="183">
  <si>
    <t xml:space="preserve">Developed by: </t>
  </si>
  <si>
    <t>Drew Kientzy and Ryan Milhollin</t>
  </si>
  <si>
    <t>This worksheet is for educational purposes only and the user assumes all risks associated with its use.</t>
  </si>
  <si>
    <t>General Assumptions</t>
  </si>
  <si>
    <t>Item</t>
  </si>
  <si>
    <t>Unit</t>
  </si>
  <si>
    <t>Quantity</t>
  </si>
  <si>
    <t>Cattle herd</t>
  </si>
  <si>
    <t xml:space="preserve">Current herd size </t>
  </si>
  <si>
    <t>head</t>
  </si>
  <si>
    <t xml:space="preserve">Cull rate </t>
  </si>
  <si>
    <t>percent</t>
  </si>
  <si>
    <t>Weaning rate</t>
  </si>
  <si>
    <t>Total acres in grazing system</t>
  </si>
  <si>
    <t>acres</t>
  </si>
  <si>
    <t>Heifer price</t>
  </si>
  <si>
    <t>$ per head</t>
  </si>
  <si>
    <t>Cull cow value</t>
  </si>
  <si>
    <t>Calf selling weight</t>
  </si>
  <si>
    <t>pounds</t>
  </si>
  <si>
    <t>Calf selling price</t>
  </si>
  <si>
    <t>$ per pound</t>
  </si>
  <si>
    <t>Cow carrying cost</t>
  </si>
  <si>
    <t>$ per year</t>
  </si>
  <si>
    <t>$ per ton</t>
  </si>
  <si>
    <t>Economic factors</t>
  </si>
  <si>
    <t>Interest rate</t>
  </si>
  <si>
    <t>% APR</t>
  </si>
  <si>
    <t>Labor cost</t>
  </si>
  <si>
    <t>$ per hour</t>
  </si>
  <si>
    <t>Fencing System Item</t>
  </si>
  <si>
    <t>$/Unit</t>
  </si>
  <si>
    <t>Total cost</t>
  </si>
  <si>
    <t>Cost/year</t>
  </si>
  <si>
    <t>Annual cost/Acre</t>
  </si>
  <si>
    <t>Upfront collar investment</t>
  </si>
  <si>
    <t>collars</t>
  </si>
  <si>
    <t>Tower/beacon</t>
  </si>
  <si>
    <t>towers</t>
  </si>
  <si>
    <t>Spare collars</t>
  </si>
  <si>
    <t>Installation and training labor</t>
  </si>
  <si>
    <t>hours</t>
  </si>
  <si>
    <t>feet</t>
  </si>
  <si>
    <t>Other</t>
  </si>
  <si>
    <t>One-time cost-share payments</t>
  </si>
  <si>
    <t>Total Virtual Fence System Cost</t>
  </si>
  <si>
    <t>DO NOT RECORD EXISTING WATER SYSTEMS</t>
  </si>
  <si>
    <t>Water System Item</t>
  </si>
  <si>
    <t>Trenching/fill</t>
  </si>
  <si>
    <t>Risers</t>
  </si>
  <si>
    <t>risers</t>
  </si>
  <si>
    <t>Tanks &amp; valves</t>
  </si>
  <si>
    <t>tanks</t>
  </si>
  <si>
    <t>Well &amp; pump</t>
  </si>
  <si>
    <t>well</t>
  </si>
  <si>
    <t>Total Water System Improvement Cost</t>
  </si>
  <si>
    <t>Select sensitivity analysis variable below</t>
  </si>
  <si>
    <t>Stocking rate change, %</t>
  </si>
  <si>
    <t>Scenario assumptions</t>
  </si>
  <si>
    <t>Value</t>
  </si>
  <si>
    <t>Annual cost additions</t>
  </si>
  <si>
    <t xml:space="preserve">Stocking rate </t>
  </si>
  <si>
    <t>$ per collar</t>
  </si>
  <si>
    <t>days</t>
  </si>
  <si>
    <t>$ per acre</t>
  </si>
  <si>
    <t xml:space="preserve">Partial budget analysis </t>
  </si>
  <si>
    <t>Additional returns</t>
  </si>
  <si>
    <t>Total</t>
  </si>
  <si>
    <t>Additional costs</t>
  </si>
  <si>
    <t>Virtual fencing and water system</t>
  </si>
  <si>
    <t>Change in annual costs due to virtual fence, $ per head</t>
  </si>
  <si>
    <t>Enter</t>
  </si>
  <si>
    <t>Total:</t>
  </si>
  <si>
    <t>Reduced costs</t>
  </si>
  <si>
    <t>Reduced returns</t>
  </si>
  <si>
    <t>Fertilizer used</t>
  </si>
  <si>
    <t>Labor reduction</t>
  </si>
  <si>
    <t>NET ANNUAL IMPACT OF VIRTUAL FENCE</t>
  </si>
  <si>
    <t>Whole farm</t>
  </si>
  <si>
    <t>(Additional returns + reduced costs - additional costs - reduced returns)</t>
  </si>
  <si>
    <t>New investment in EF system</t>
  </si>
  <si>
    <t>Total $</t>
  </si>
  <si>
    <t>EF system lifespan</t>
  </si>
  <si>
    <t>years</t>
  </si>
  <si>
    <t>$/acre</t>
  </si>
  <si>
    <t>Annual EF system management labor</t>
  </si>
  <si>
    <t>Annual VF system management labor</t>
  </si>
  <si>
    <t>Additional returns to virtual fence</t>
  </si>
  <si>
    <t>Annual VF cost share payments</t>
  </si>
  <si>
    <t xml:space="preserve">EF system fixed costs </t>
  </si>
  <si>
    <t>EF system operating cost</t>
  </si>
  <si>
    <t xml:space="preserve">Reduced fertilizer expense </t>
  </si>
  <si>
    <t>Changes in production</t>
  </si>
  <si>
    <t>Stocking rate change</t>
  </si>
  <si>
    <t>Increase</t>
  </si>
  <si>
    <t>total</t>
  </si>
  <si>
    <t>Investment in improved water system</t>
  </si>
  <si>
    <t>Sensitivity analysis, return to VF per cow</t>
  </si>
  <si>
    <t>Note: default value is "0" when virtual fence offers no change from electric fence</t>
  </si>
  <si>
    <t>Assumption</t>
  </si>
  <si>
    <t xml:space="preserve">Annual VF subscription fees </t>
  </si>
  <si>
    <t xml:space="preserve">Annual VF labor hours </t>
  </si>
  <si>
    <t>Fence and water systems</t>
  </si>
  <si>
    <t>Additional costs of virtual fence</t>
  </si>
  <si>
    <t>Additional costs of EF</t>
  </si>
  <si>
    <t xml:space="preserve">Reduced returns after adopting VF </t>
  </si>
  <si>
    <t>Pipeline 1" PVC</t>
  </si>
  <si>
    <t>Virtual fence system</t>
  </si>
  <si>
    <t>Improved water system</t>
  </si>
  <si>
    <t>Change in cow-days per acre</t>
  </si>
  <si>
    <t>Weaned calf price, $ per cwt.</t>
  </si>
  <si>
    <t>tons</t>
  </si>
  <si>
    <t>Forage access evaluator</t>
  </si>
  <si>
    <t>Weed control</t>
  </si>
  <si>
    <t>Total cost of grazed forage per acre</t>
  </si>
  <si>
    <t>Cost of grazed forage per cow-day</t>
  </si>
  <si>
    <t>Cost of stored forage, $ per ton</t>
  </si>
  <si>
    <t>Feed consumption, % of body weight</t>
  </si>
  <si>
    <t>Wasted feed, % of total fed</t>
  </si>
  <si>
    <t>Daily feeding time, minutes</t>
  </si>
  <si>
    <t>Feeding labor, $ per hour</t>
  </si>
  <si>
    <t>Total cost of feeding</t>
  </si>
  <si>
    <t>Total cost of grazing</t>
  </si>
  <si>
    <t>Cost of feeding per head</t>
  </si>
  <si>
    <t>Cost of feeding per cow-day</t>
  </si>
  <si>
    <t>Grazing period total</t>
  </si>
  <si>
    <t>Per head</t>
  </si>
  <si>
    <t>Per head, per day</t>
  </si>
  <si>
    <t>Tractor operating cost, $ per hour</t>
  </si>
  <si>
    <t>System information</t>
  </si>
  <si>
    <t>Feeding information</t>
  </si>
  <si>
    <t>Grazing duration, days</t>
  </si>
  <si>
    <t>Average cow weight, pounds</t>
  </si>
  <si>
    <t>VF labor expense</t>
  </si>
  <si>
    <t>Partial Budget Analysis of Virtual Fencing Systems</t>
  </si>
  <si>
    <t>Forage cost information</t>
  </si>
  <si>
    <t xml:space="preserve">Acres to be grazed </t>
  </si>
  <si>
    <t>Planned cow-days per acre</t>
  </si>
  <si>
    <t xml:space="preserve">This analysis assumes that the facilties and equipment for feeding hay or other stored feeds are already present, and will be maintained for feeding livestock regardless of virtual fence usage. Cost figures are estimates and real world conditions may impact performance. </t>
  </si>
  <si>
    <t>Land charges or cash rent</t>
  </si>
  <si>
    <t>Fertilizer</t>
  </si>
  <si>
    <t>Seed</t>
  </si>
  <si>
    <t>Machinery cost</t>
  </si>
  <si>
    <t>Operator and management labor</t>
  </si>
  <si>
    <t>Per cow</t>
  </si>
  <si>
    <t>Per acre</t>
  </si>
  <si>
    <t>Annual fence cost</t>
  </si>
  <si>
    <t>Annual cost of water access</t>
  </si>
  <si>
    <t>This workbook uses partial budgeting to estimate the financial impact of adopting a new virtual fencing management system. The analysis includes changes in grazing management, infrastructure, and operating costs, but it does not measure the profitability of the entire operation.</t>
  </si>
  <si>
    <t>Change or enter information in the gray-shaded cells throughout the workbook. Worksheets include:</t>
  </si>
  <si>
    <r>
      <t>·</t>
    </r>
    <r>
      <rPr>
        <sz val="7"/>
        <color theme="1"/>
        <rFont val="Times New Roman"/>
        <family val="1"/>
      </rPr>
      <t xml:space="preserve">         </t>
    </r>
    <r>
      <rPr>
        <b/>
        <sz val="12"/>
        <color theme="1"/>
        <rFont val="Aptos"/>
        <family val="2"/>
      </rPr>
      <t>General assumptions</t>
    </r>
    <r>
      <rPr>
        <sz val="12"/>
        <color theme="1"/>
        <rFont val="Aptos"/>
        <family val="2"/>
      </rPr>
      <t xml:space="preserve"> – Enter information about your operation and current livestock market conditions.</t>
    </r>
  </si>
  <si>
    <r>
      <t>·</t>
    </r>
    <r>
      <rPr>
        <sz val="7"/>
        <color theme="1"/>
        <rFont val="Times New Roman"/>
        <family val="1"/>
      </rPr>
      <t xml:space="preserve">         </t>
    </r>
    <r>
      <rPr>
        <b/>
        <sz val="12"/>
        <color theme="1"/>
        <rFont val="Aptos"/>
        <family val="2"/>
      </rPr>
      <t>Fence and water system details</t>
    </r>
    <r>
      <rPr>
        <sz val="12"/>
        <color theme="1"/>
        <rFont val="Aptos"/>
        <family val="2"/>
      </rPr>
      <t xml:space="preserve"> – Describe and enter the investments necessary for virtual fence and a water system.</t>
    </r>
  </si>
  <si>
    <r>
      <t>·</t>
    </r>
    <r>
      <rPr>
        <sz val="7"/>
        <color theme="1"/>
        <rFont val="Times New Roman"/>
        <family val="1"/>
      </rPr>
      <t xml:space="preserve">         </t>
    </r>
    <r>
      <rPr>
        <b/>
        <sz val="12"/>
        <color theme="1"/>
        <rFont val="Aptos"/>
        <family val="2"/>
      </rPr>
      <t>Forage access evaluator</t>
    </r>
    <r>
      <rPr>
        <sz val="12"/>
        <color theme="1"/>
        <rFont val="Aptos"/>
        <family val="2"/>
      </rPr>
      <t xml:space="preserve"> – Use for a simple analysis of VF’s value when accessing underfenced forages.</t>
    </r>
  </si>
  <si>
    <t>The workbook includes example values to demonstrate how the tool works. Replace these values with information from your operation before using the results for management decisions.</t>
  </si>
  <si>
    <t>Investment in VF system</t>
  </si>
  <si>
    <t>Lifespan (years)</t>
  </si>
  <si>
    <t>unit</t>
  </si>
  <si>
    <t>Stored forage cost</t>
  </si>
  <si>
    <t>Daily stored forage use</t>
  </si>
  <si>
    <t>Converting a continuous grazing management plan to MiG using Virtual Fence</t>
  </si>
  <si>
    <t>Additional sales revenue</t>
  </si>
  <si>
    <t>Reduction in feeding stored forage</t>
  </si>
  <si>
    <t>Stored forages fed</t>
  </si>
  <si>
    <t>Fence and water repair savings due to VF</t>
  </si>
  <si>
    <t>Additional fence and water repairs due to VF</t>
  </si>
  <si>
    <t>Lost MiG cost share</t>
  </si>
  <si>
    <t>Additional cow depreciation</t>
  </si>
  <si>
    <t>Additional cow interest</t>
  </si>
  <si>
    <t>Additional labor expense</t>
  </si>
  <si>
    <t>Additional operating expense</t>
  </si>
  <si>
    <t>Additional fence &amp; water repairs for VF systems</t>
  </si>
  <si>
    <r>
      <t>·</t>
    </r>
    <r>
      <rPr>
        <sz val="7"/>
        <color theme="1"/>
        <rFont val="Times New Roman"/>
        <family val="1"/>
      </rPr>
      <t xml:space="preserve">         </t>
    </r>
    <r>
      <rPr>
        <b/>
        <sz val="12"/>
        <color theme="1"/>
        <rFont val="Aptos"/>
        <family val="2"/>
      </rPr>
      <t>Continuous to VF or MiG-EF to VF</t>
    </r>
    <r>
      <rPr>
        <sz val="12"/>
        <color theme="1"/>
        <rFont val="Aptos"/>
        <family val="2"/>
      </rPr>
      <t xml:space="preserve"> – Adjust assumptions and enter information for the grazing system change you want to evaluate. Each worksheet provides a template to summarize changes in costs and returns. A sensitivity analysis in the upper-right corner shows how changes in system cost or stocking rate affect the results.</t>
    </r>
  </si>
  <si>
    <t>Comparing a MiG operation using electric fence to virtual fence</t>
  </si>
  <si>
    <t>Reduced EF labor</t>
  </si>
  <si>
    <t>Head stocked</t>
  </si>
  <si>
    <t>Primary fence type</t>
  </si>
  <si>
    <t>Virtual</t>
  </si>
  <si>
    <t>Permanent</t>
  </si>
  <si>
    <t>Temporary</t>
  </si>
  <si>
    <r>
      <rPr>
        <b/>
        <sz val="12"/>
        <rFont val="Aptos"/>
        <family val="2"/>
      </rPr>
      <t>Scenario notes:</t>
    </r>
    <r>
      <rPr>
        <sz val="12"/>
        <rFont val="Aptos"/>
        <family val="2"/>
      </rPr>
      <t xml:space="preserve"> This case analyzes the economic impact of converting a continuous or minimally managed grazing system to management intensive using virtual fence technology. Positive </t>
    </r>
    <r>
      <rPr>
        <i/>
        <sz val="12"/>
        <rFont val="Aptos"/>
        <family val="2"/>
      </rPr>
      <t>Advantage of Using Virtual Fence per Group</t>
    </r>
    <r>
      <rPr>
        <sz val="12"/>
        <rFont val="Aptos"/>
        <family val="2"/>
      </rPr>
      <t xml:space="preserve"> values indicate virtual fence presents an economic advantage to current practices. </t>
    </r>
  </si>
  <si>
    <r>
      <rPr>
        <b/>
        <sz val="12"/>
        <rFont val="Aptos"/>
        <family val="2"/>
      </rPr>
      <t xml:space="preserve">Scenario notes: </t>
    </r>
    <r>
      <rPr>
        <sz val="12"/>
        <rFont val="Aptos"/>
        <family val="2"/>
      </rPr>
      <t>This scenario analyzes the economic impact of using virtual fence to replace electric fence. This worksheet can be used by an existing EF user by leaving the "New investment in virtual fence" blank, indicating the operation has already invested in the system. For a operation considering adopting MiG practices, investigate the cost of electric fence for your operation and enter that value in aforementioned location. Positive "ADVANTAGE OF USING VIRTUAL FENCE PER GROUP" values indicate a financial incentive to using virtual fence.</t>
    </r>
  </si>
  <si>
    <t>ROI</t>
  </si>
  <si>
    <t>Updated: 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</si>
</sst>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_(* #,##0.0_);_(* \(#,##0.0\);_(* &quot;-&quot;??_);_(@_)"/>
    <numFmt numFmtId="167" formatCode="_(* #,##0_);_(* \(#,##0\);_(* &quot;-&quot;??_);_(@_)"/>
    <numFmt numFmtId="168" formatCode="0.00;[Red]\-0.00"/>
  </numFmts>
  <fonts count="33">
    <font>
      <sz val="11"/>
      <color theme="1"/>
      <name val="Calibri"/>
      <family val="2"/>
      <scheme val="minor"/>
    </font>
    <font>
      <sz val="11"/>
      <color theme="1"/>
      <name val="Calibri"/>
      <family val="2"/>
      <scheme val="minor"/>
    </font>
    <font>
      <sz val="11"/>
      <color theme="1"/>
      <name val="Aptos"/>
      <family val="2"/>
    </font>
    <font>
      <sz val="14"/>
      <color theme="1"/>
      <name val="Aptos"/>
      <family val="2"/>
    </font>
    <font>
      <b/>
      <sz val="12"/>
      <color theme="1"/>
      <name val="Aptos"/>
      <family val="2"/>
    </font>
    <font>
      <b/>
      <sz val="14"/>
      <color theme="1"/>
      <name val="Aptos"/>
      <family val="2"/>
    </font>
    <font>
      <b/>
      <sz val="11"/>
      <color theme="1"/>
      <name val="Aptos"/>
      <family val="2"/>
    </font>
    <font>
      <b/>
      <i/>
      <sz val="12"/>
      <color theme="1"/>
      <name val="Aptos"/>
      <family val="2"/>
    </font>
    <font>
      <sz val="10"/>
      <color theme="1"/>
      <name val="Aptos"/>
      <family val="2"/>
    </font>
    <font>
      <b/>
      <sz val="18"/>
      <color rgb="FFFFC000"/>
      <name val="Aptos Black"/>
      <family val="2"/>
    </font>
    <font>
      <sz val="11"/>
      <color theme="0"/>
      <name val="Aptos"/>
      <family val="2"/>
    </font>
    <font>
      <b/>
      <sz val="11"/>
      <color rgb="FF3F3F3F"/>
      <name val="Calibri"/>
      <family val="2"/>
      <scheme val="minor"/>
    </font>
    <font>
      <sz val="12"/>
      <color theme="1"/>
      <name val="Aptos"/>
      <family val="2"/>
    </font>
    <font>
      <b/>
      <sz val="14"/>
      <color rgb="FFFFC000"/>
      <name val="Aptos Black"/>
      <family val="2"/>
    </font>
    <font>
      <sz val="11"/>
      <color indexed="8"/>
      <name val="Aptos"/>
      <family val="2"/>
    </font>
    <font>
      <sz val="10"/>
      <name val="TimesNewRomanPS"/>
    </font>
    <font>
      <sz val="11"/>
      <name val="Aptos"/>
      <family val="2"/>
    </font>
    <font>
      <sz val="12"/>
      <name val="Aptos"/>
      <family val="2"/>
    </font>
    <font>
      <b/>
      <sz val="12"/>
      <color rgb="FF3F3F3F"/>
      <name val="Aptos"/>
      <family val="2"/>
    </font>
    <font>
      <b/>
      <sz val="16"/>
      <color rgb="FFF1B82D"/>
      <name val="Aptos Black"/>
      <family val="2"/>
    </font>
    <font>
      <sz val="14"/>
      <color rgb="FFFFC000"/>
      <name val="Aptos Black"/>
      <family val="2"/>
    </font>
    <font>
      <sz val="14"/>
      <color rgb="FFFFC000"/>
      <name val="Aptos"/>
      <family val="2"/>
    </font>
    <font>
      <i/>
      <sz val="12"/>
      <name val="Aptos"/>
      <family val="2"/>
    </font>
    <font>
      <b/>
      <sz val="18"/>
      <color rgb="FFFFC000"/>
      <name val="Aptos"/>
      <family val="2"/>
    </font>
    <font>
      <b/>
      <sz val="12"/>
      <name val="Aptos"/>
      <family val="2"/>
    </font>
    <font>
      <b/>
      <sz val="14"/>
      <name val="Aptos"/>
      <family val="2"/>
    </font>
    <font>
      <sz val="14"/>
      <name val="Aptos"/>
      <family val="2"/>
    </font>
    <font>
      <sz val="10"/>
      <name val="Aptos"/>
      <family val="2"/>
    </font>
    <font>
      <b/>
      <sz val="14"/>
      <color rgb="FFFFC000"/>
      <name val="Aptos "/>
    </font>
    <font>
      <sz val="14"/>
      <color theme="1"/>
      <name val="Aptos "/>
    </font>
    <font>
      <b/>
      <sz val="12"/>
      <name val="Aptos "/>
    </font>
    <font>
      <sz val="12"/>
      <color theme="1"/>
      <name val="Symbol"/>
      <family val="1"/>
      <charset val="2"/>
    </font>
    <font>
      <sz val="7"/>
      <color theme="1"/>
      <name val="Times New Roman"/>
      <family val="1"/>
    </font>
  </fonts>
  <fills count="7">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theme="0"/>
        <bgColor indexed="64"/>
      </patternFill>
    </fill>
    <fill>
      <patternFill patternType="solid">
        <fgColor rgb="FFFFC000"/>
        <bgColor indexed="64"/>
      </patternFill>
    </fill>
  </fills>
  <borders count="3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rgb="FF3F3F3F"/>
      </left>
      <right style="thin">
        <color rgb="FF3F3F3F"/>
      </right>
      <top style="thin">
        <color rgb="FF3F3F3F"/>
      </top>
      <bottom style="thin">
        <color rgb="FF3F3F3F"/>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rgb="FF3F3F3F"/>
      </left>
      <right/>
      <top style="thin">
        <color rgb="FF3F3F3F"/>
      </top>
      <bottom style="thin">
        <color rgb="FF3F3F3F"/>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1" fillId="4" borderId="13" applyNumberFormat="0" applyAlignment="0" applyProtection="0"/>
    <xf numFmtId="0" fontId="15" fillId="0" borderId="0"/>
    <xf numFmtId="0" fontId="1" fillId="0" borderId="0"/>
  </cellStyleXfs>
  <cellXfs count="195">
    <xf numFmtId="0" fontId="0" fillId="0" borderId="0" xfId="0"/>
    <xf numFmtId="0" fontId="3" fillId="0" borderId="0" xfId="0" applyFont="1"/>
    <xf numFmtId="0" fontId="2" fillId="0" borderId="0" xfId="0" applyFont="1"/>
    <xf numFmtId="5" fontId="4" fillId="0" borderId="0" xfId="0" applyNumberFormat="1" applyFont="1" applyAlignment="1">
      <alignment horizontal="right"/>
    </xf>
    <xf numFmtId="5" fontId="4" fillId="0" borderId="5" xfId="0" applyNumberFormat="1" applyFont="1" applyBorder="1" applyAlignment="1">
      <alignment horizontal="right"/>
    </xf>
    <xf numFmtId="165" fontId="2" fillId="0" borderId="0" xfId="0" applyNumberFormat="1" applyFont="1"/>
    <xf numFmtId="0" fontId="5" fillId="0" borderId="0" xfId="0" applyFont="1" applyAlignment="1">
      <alignment horizontal="left"/>
    </xf>
    <xf numFmtId="0" fontId="8" fillId="0" borderId="0" xfId="0" applyFont="1"/>
    <xf numFmtId="165" fontId="2" fillId="0" borderId="1" xfId="0" applyNumberFormat="1" applyFont="1" applyBorder="1"/>
    <xf numFmtId="0" fontId="7" fillId="0" borderId="0" xfId="0" applyFont="1" applyAlignment="1">
      <alignment horizontal="center"/>
    </xf>
    <xf numFmtId="0" fontId="4" fillId="0" borderId="0" xfId="0" applyFont="1"/>
    <xf numFmtId="0" fontId="4" fillId="0" borderId="10" xfId="0" applyFont="1" applyBorder="1"/>
    <xf numFmtId="5" fontId="4" fillId="0" borderId="11" xfId="0" applyNumberFormat="1" applyFont="1" applyBorder="1"/>
    <xf numFmtId="7" fontId="4" fillId="0" borderId="5" xfId="0" applyNumberFormat="1" applyFont="1" applyBorder="1"/>
    <xf numFmtId="0" fontId="12" fillId="0" borderId="0" xfId="0" applyFont="1"/>
    <xf numFmtId="0" fontId="13" fillId="2" borderId="2" xfId="0" applyFont="1" applyFill="1" applyBorder="1"/>
    <xf numFmtId="0" fontId="14" fillId="2" borderId="2" xfId="0" applyFont="1" applyFill="1" applyBorder="1"/>
    <xf numFmtId="168" fontId="14" fillId="2" borderId="2" xfId="0" quotePrefix="1" applyNumberFormat="1" applyFont="1" applyFill="1" applyBorder="1"/>
    <xf numFmtId="0" fontId="14" fillId="2" borderId="3" xfId="0" applyFont="1" applyFill="1" applyBorder="1"/>
    <xf numFmtId="0" fontId="16" fillId="0" borderId="0" xfId="0" applyFont="1"/>
    <xf numFmtId="0" fontId="16" fillId="0" borderId="0" xfId="0" applyFont="1" applyAlignment="1">
      <alignment vertical="center"/>
    </xf>
    <xf numFmtId="0" fontId="12" fillId="5" borderId="0" xfId="0" applyFont="1" applyFill="1" applyAlignment="1">
      <alignment horizontal="left" vertical="top" wrapText="1"/>
    </xf>
    <xf numFmtId="0" fontId="12" fillId="5" borderId="0" xfId="0" applyFont="1" applyFill="1"/>
    <xf numFmtId="0" fontId="4" fillId="5" borderId="0" xfId="0" applyFont="1" applyFill="1"/>
    <xf numFmtId="0" fontId="4" fillId="5" borderId="0" xfId="0" applyFont="1" applyFill="1" applyAlignment="1">
      <alignment horizontal="left" indent="4"/>
    </xf>
    <xf numFmtId="0" fontId="18" fillId="5" borderId="0" xfId="4" applyFont="1" applyFill="1" applyBorder="1" applyAlignment="1">
      <alignment horizontal="center"/>
    </xf>
    <xf numFmtId="0" fontId="2" fillId="0" borderId="1" xfId="0" applyFont="1" applyBorder="1"/>
    <xf numFmtId="0" fontId="12" fillId="3" borderId="0" xfId="0" applyFont="1" applyFill="1"/>
    <xf numFmtId="9" fontId="12" fillId="3" borderId="0" xfId="3" applyFont="1" applyFill="1"/>
    <xf numFmtId="0" fontId="12" fillId="0" borderId="1" xfId="0" applyFont="1" applyBorder="1"/>
    <xf numFmtId="0" fontId="12" fillId="3" borderId="0" xfId="0" applyFont="1" applyFill="1" applyAlignment="1">
      <alignment horizontal="right"/>
    </xf>
    <xf numFmtId="9" fontId="12" fillId="3" borderId="0" xfId="3" applyFont="1" applyFill="1" applyBorder="1"/>
    <xf numFmtId="164" fontId="12" fillId="3" borderId="0" xfId="0" applyNumberFormat="1" applyFont="1" applyFill="1"/>
    <xf numFmtId="0" fontId="4" fillId="0" borderId="1" xfId="0" applyFont="1" applyBorder="1"/>
    <xf numFmtId="0" fontId="12" fillId="3" borderId="1" xfId="0" applyFont="1" applyFill="1" applyBorder="1"/>
    <xf numFmtId="0" fontId="5" fillId="0" borderId="9" xfId="0" applyFont="1" applyBorder="1" applyAlignment="1">
      <alignment horizontal="left"/>
    </xf>
    <xf numFmtId="0" fontId="5" fillId="0" borderId="10" xfId="0" applyFont="1" applyBorder="1" applyAlignment="1">
      <alignment horizontal="left"/>
    </xf>
    <xf numFmtId="0" fontId="5" fillId="0" borderId="11" xfId="0" applyFont="1" applyBorder="1" applyAlignment="1">
      <alignment horizontal="left"/>
    </xf>
    <xf numFmtId="0" fontId="4" fillId="0" borderId="8" xfId="0" applyFont="1" applyBorder="1"/>
    <xf numFmtId="0" fontId="4" fillId="6" borderId="0" xfId="0" applyFont="1" applyFill="1"/>
    <xf numFmtId="0" fontId="5" fillId="6" borderId="0" xfId="0" applyFont="1" applyFill="1" applyAlignment="1">
      <alignment horizontal="left"/>
    </xf>
    <xf numFmtId="0" fontId="2" fillId="6" borderId="0" xfId="0" applyFont="1" applyFill="1"/>
    <xf numFmtId="0" fontId="6" fillId="6" borderId="0" xfId="0" applyFont="1" applyFill="1" applyAlignment="1">
      <alignment horizontal="right"/>
    </xf>
    <xf numFmtId="165" fontId="2" fillId="6" borderId="0" xfId="0" applyNumberFormat="1" applyFont="1" applyFill="1"/>
    <xf numFmtId="164" fontId="2" fillId="6" borderId="0" xfId="0" applyNumberFormat="1" applyFont="1" applyFill="1"/>
    <xf numFmtId="0" fontId="10" fillId="0" borderId="0" xfId="0" applyFont="1"/>
    <xf numFmtId="0" fontId="8" fillId="0" borderId="0" xfId="0" applyFont="1" applyAlignment="1">
      <alignment horizontal="left"/>
    </xf>
    <xf numFmtId="0" fontId="8" fillId="0" borderId="1" xfId="0" applyFont="1" applyBorder="1" applyAlignment="1">
      <alignment horizontal="left"/>
    </xf>
    <xf numFmtId="164" fontId="17" fillId="5" borderId="1" xfId="3" applyNumberFormat="1" applyFont="1" applyFill="1" applyBorder="1" applyProtection="1"/>
    <xf numFmtId="164" fontId="17" fillId="0" borderId="1" xfId="3" applyNumberFormat="1" applyFont="1" applyBorder="1" applyProtection="1"/>
    <xf numFmtId="7" fontId="17" fillId="5" borderId="15" xfId="1" applyNumberFormat="1" applyFont="1" applyFill="1" applyBorder="1" applyAlignment="1" applyProtection="1">
      <alignment horizontal="right"/>
    </xf>
    <xf numFmtId="6" fontId="17" fillId="5" borderId="16" xfId="2" applyNumberFormat="1" applyFont="1" applyFill="1" applyBorder="1" applyProtection="1"/>
    <xf numFmtId="7" fontId="17" fillId="0" borderId="15" xfId="1" applyNumberFormat="1" applyFont="1" applyBorder="1" applyAlignment="1" applyProtection="1">
      <alignment horizontal="right"/>
    </xf>
    <xf numFmtId="7" fontId="17" fillId="5" borderId="17" xfId="1" applyNumberFormat="1" applyFont="1" applyFill="1" applyBorder="1" applyAlignment="1" applyProtection="1">
      <alignment horizontal="right"/>
    </xf>
    <xf numFmtId="0" fontId="23" fillId="0" borderId="0" xfId="0" applyFont="1" applyAlignment="1">
      <alignment horizontal="center" vertical="center"/>
    </xf>
    <xf numFmtId="0" fontId="24" fillId="5" borderId="0" xfId="5" applyFont="1" applyFill="1"/>
    <xf numFmtId="0" fontId="9" fillId="0" borderId="0" xfId="0" applyFont="1" applyAlignment="1">
      <alignment horizontal="center" vertical="center"/>
    </xf>
    <xf numFmtId="0" fontId="25" fillId="0" borderId="0" xfId="0" applyFont="1" applyAlignment="1">
      <alignment horizontal="left" vertical="center"/>
    </xf>
    <xf numFmtId="0" fontId="26" fillId="0" borderId="0" xfId="0" applyFont="1" applyAlignment="1">
      <alignment horizontal="left" vertical="center"/>
    </xf>
    <xf numFmtId="0" fontId="12" fillId="0" borderId="0" xfId="0" applyFont="1" applyAlignment="1">
      <alignment horizontal="left"/>
    </xf>
    <xf numFmtId="0" fontId="4" fillId="0" borderId="2" xfId="0" applyFont="1" applyBorder="1" applyAlignment="1">
      <alignment horizontal="left"/>
    </xf>
    <xf numFmtId="0" fontId="4" fillId="0" borderId="2" xfId="0" applyFont="1" applyBorder="1" applyAlignment="1">
      <alignment horizontal="right"/>
    </xf>
    <xf numFmtId="0" fontId="9" fillId="0" borderId="14" xfId="0" applyFont="1" applyBorder="1" applyAlignment="1">
      <alignment horizontal="center" vertical="center"/>
    </xf>
    <xf numFmtId="0" fontId="27" fillId="0" borderId="0" xfId="0" applyFont="1" applyAlignment="1">
      <alignment vertical="center"/>
    </xf>
    <xf numFmtId="0" fontId="5" fillId="0" borderId="1" xfId="0" applyFont="1" applyBorder="1"/>
    <xf numFmtId="165" fontId="12" fillId="3" borderId="0" xfId="0" applyNumberFormat="1" applyFont="1" applyFill="1"/>
    <xf numFmtId="164" fontId="12" fillId="3" borderId="1" xfId="0" applyNumberFormat="1" applyFont="1" applyFill="1" applyBorder="1"/>
    <xf numFmtId="0" fontId="12" fillId="5" borderId="0" xfId="0" applyFont="1" applyFill="1" applyAlignment="1">
      <alignment horizontal="right"/>
    </xf>
    <xf numFmtId="166" fontId="16" fillId="0" borderId="0" xfId="1" applyNumberFormat="1" applyFont="1"/>
    <xf numFmtId="167" fontId="16" fillId="0" borderId="0" xfId="1" applyNumberFormat="1" applyFont="1"/>
    <xf numFmtId="166" fontId="16" fillId="0" borderId="0" xfId="0" applyNumberFormat="1" applyFont="1"/>
    <xf numFmtId="43" fontId="16" fillId="0" borderId="0" xfId="0" applyNumberFormat="1" applyFont="1"/>
    <xf numFmtId="166" fontId="2" fillId="0" borderId="0" xfId="0" applyNumberFormat="1" applyFont="1"/>
    <xf numFmtId="43" fontId="2" fillId="0" borderId="0" xfId="0" applyNumberFormat="1" applyFont="1"/>
    <xf numFmtId="167" fontId="2" fillId="0" borderId="0" xfId="1" applyNumberFormat="1" applyFont="1"/>
    <xf numFmtId="0" fontId="12" fillId="5" borderId="0" xfId="0" applyFont="1" applyFill="1" applyAlignment="1">
      <alignment vertical="top" wrapText="1"/>
    </xf>
    <xf numFmtId="0" fontId="19" fillId="2" borderId="18" xfId="6" applyFont="1" applyFill="1" applyBorder="1"/>
    <xf numFmtId="0" fontId="4" fillId="5" borderId="0" xfId="0" applyFont="1" applyFill="1" applyAlignment="1">
      <alignment vertical="top" wrapText="1"/>
    </xf>
    <xf numFmtId="0" fontId="18" fillId="4" borderId="19" xfId="4" applyFont="1" applyBorder="1" applyAlignment="1">
      <alignment wrapText="1"/>
    </xf>
    <xf numFmtId="0" fontId="20" fillId="2" borderId="0" xfId="0" applyFont="1" applyFill="1"/>
    <xf numFmtId="0" fontId="21" fillId="2" borderId="0" xfId="0" applyFont="1" applyFill="1"/>
    <xf numFmtId="0" fontId="4" fillId="0" borderId="2" xfId="0" applyFont="1" applyBorder="1"/>
    <xf numFmtId="0" fontId="20" fillId="2" borderId="0" xfId="0" applyFont="1" applyFill="1" applyAlignment="1">
      <alignment horizontal="left"/>
    </xf>
    <xf numFmtId="0" fontId="5" fillId="6" borderId="0" xfId="0" applyFont="1" applyFill="1"/>
    <xf numFmtId="0" fontId="9" fillId="2" borderId="14" xfId="0" applyFont="1" applyFill="1" applyBorder="1" applyAlignment="1">
      <alignment vertical="center"/>
    </xf>
    <xf numFmtId="0" fontId="9" fillId="2" borderId="2" xfId="0" applyFont="1" applyFill="1" applyBorder="1" applyAlignment="1">
      <alignment vertical="center"/>
    </xf>
    <xf numFmtId="0" fontId="9" fillId="2" borderId="3" xfId="0" applyFont="1" applyFill="1" applyBorder="1" applyAlignment="1">
      <alignment vertical="center"/>
    </xf>
    <xf numFmtId="0" fontId="16" fillId="3" borderId="0" xfId="0" applyFont="1" applyFill="1" applyAlignment="1">
      <alignment vertical="center" wrapText="1"/>
    </xf>
    <xf numFmtId="0" fontId="22" fillId="5" borderId="14" xfId="5" applyFont="1" applyFill="1" applyBorder="1"/>
    <xf numFmtId="0" fontId="14" fillId="0" borderId="0" xfId="0" applyFont="1"/>
    <xf numFmtId="0" fontId="9" fillId="2" borderId="14" xfId="0" applyFont="1" applyFill="1" applyBorder="1" applyAlignment="1">
      <alignment horizontal="left" vertical="center"/>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5" fontId="17" fillId="5" borderId="15" xfId="1" applyNumberFormat="1" applyFont="1" applyFill="1" applyBorder="1" applyAlignment="1" applyProtection="1">
      <alignment horizontal="right"/>
    </xf>
    <xf numFmtId="5" fontId="17" fillId="0" borderId="15" xfId="1" applyNumberFormat="1" applyFont="1" applyBorder="1" applyAlignment="1" applyProtection="1">
      <alignment horizontal="right"/>
    </xf>
    <xf numFmtId="5" fontId="17" fillId="5" borderId="17" xfId="1" applyNumberFormat="1" applyFont="1" applyFill="1" applyBorder="1" applyAlignment="1" applyProtection="1">
      <alignment horizontal="right"/>
    </xf>
    <xf numFmtId="0" fontId="0" fillId="0" borderId="0" xfId="0" applyAlignment="1">
      <alignment wrapText="1"/>
    </xf>
    <xf numFmtId="1" fontId="2" fillId="0" borderId="0" xfId="0" applyNumberFormat="1" applyFont="1"/>
    <xf numFmtId="1" fontId="2" fillId="0" borderId="0" xfId="0" applyNumberFormat="1" applyFont="1" applyAlignment="1">
      <alignment horizontal="right"/>
    </xf>
    <xf numFmtId="0" fontId="17" fillId="5" borderId="1" xfId="3" applyNumberFormat="1" applyFont="1" applyFill="1" applyBorder="1" applyAlignment="1" applyProtection="1">
      <alignment horizontal="right"/>
    </xf>
    <xf numFmtId="0" fontId="2" fillId="0" borderId="0" xfId="0" applyFont="1" applyAlignment="1">
      <alignment horizontal="right"/>
    </xf>
    <xf numFmtId="0" fontId="2" fillId="2" borderId="0" xfId="0" applyFont="1" applyFill="1"/>
    <xf numFmtId="0" fontId="21" fillId="0" borderId="0" xfId="0" applyFont="1" applyAlignment="1">
      <alignment horizontal="center"/>
    </xf>
    <xf numFmtId="0" fontId="21" fillId="2" borderId="0" xfId="0" applyFont="1" applyFill="1" applyAlignment="1">
      <alignment horizontal="left"/>
    </xf>
    <xf numFmtId="0" fontId="4" fillId="0" borderId="2" xfId="0" applyFont="1" applyBorder="1" applyAlignment="1">
      <alignment horizontal="center"/>
    </xf>
    <xf numFmtId="0" fontId="12" fillId="3" borderId="0" xfId="0" applyFont="1" applyFill="1" applyAlignment="1">
      <alignment wrapText="1"/>
    </xf>
    <xf numFmtId="3" fontId="12" fillId="0" borderId="0" xfId="1" applyNumberFormat="1" applyFont="1" applyFill="1"/>
    <xf numFmtId="0" fontId="12" fillId="0" borderId="0" xfId="0" applyFont="1" applyAlignment="1">
      <alignment horizontal="right"/>
    </xf>
    <xf numFmtId="8" fontId="12" fillId="3" borderId="0" xfId="0" applyNumberFormat="1" applyFont="1" applyFill="1" applyAlignment="1">
      <alignment horizontal="right"/>
    </xf>
    <xf numFmtId="167" fontId="12" fillId="3" borderId="0" xfId="1" applyNumberFormat="1" applyFont="1" applyFill="1" applyAlignment="1">
      <alignment horizontal="right"/>
    </xf>
    <xf numFmtId="165" fontId="12" fillId="0" borderId="0" xfId="0" applyNumberFormat="1" applyFont="1"/>
    <xf numFmtId="164" fontId="12" fillId="0" borderId="0" xfId="0" applyNumberFormat="1" applyFont="1"/>
    <xf numFmtId="3" fontId="12" fillId="3" borderId="0" xfId="0" applyNumberFormat="1" applyFont="1" applyFill="1"/>
    <xf numFmtId="8" fontId="12" fillId="0" borderId="0" xfId="0" applyNumberFormat="1" applyFont="1" applyAlignment="1">
      <alignment horizontal="right"/>
    </xf>
    <xf numFmtId="3" fontId="12" fillId="3" borderId="1" xfId="0" applyNumberFormat="1" applyFont="1" applyFill="1" applyBorder="1"/>
    <xf numFmtId="0" fontId="12" fillId="3" borderId="1" xfId="0" applyFont="1" applyFill="1" applyBorder="1" applyAlignment="1">
      <alignment horizontal="right"/>
    </xf>
    <xf numFmtId="8" fontId="12" fillId="3" borderId="1" xfId="0" applyNumberFormat="1" applyFont="1" applyFill="1" applyBorder="1" applyAlignment="1">
      <alignment horizontal="right"/>
    </xf>
    <xf numFmtId="167" fontId="12" fillId="3" borderId="1" xfId="1" applyNumberFormat="1" applyFont="1" applyFill="1" applyBorder="1" applyAlignment="1">
      <alignment horizontal="right"/>
    </xf>
    <xf numFmtId="165" fontId="12" fillId="0" borderId="1" xfId="0" applyNumberFormat="1" applyFont="1" applyBorder="1"/>
    <xf numFmtId="164" fontId="12" fillId="0" borderId="1" xfId="0" applyNumberFormat="1" applyFont="1" applyBorder="1"/>
    <xf numFmtId="0" fontId="12" fillId="0" borderId="2" xfId="0" applyFont="1" applyBorder="1"/>
    <xf numFmtId="3" fontId="12" fillId="0" borderId="2" xfId="0" applyNumberFormat="1" applyFont="1" applyBorder="1"/>
    <xf numFmtId="0" fontId="12" fillId="0" borderId="2" xfId="0" applyFont="1" applyBorder="1" applyAlignment="1">
      <alignment horizontal="right"/>
    </xf>
    <xf numFmtId="8" fontId="12" fillId="0" borderId="2" xfId="0" applyNumberFormat="1" applyFont="1" applyBorder="1" applyAlignment="1">
      <alignment horizontal="right"/>
    </xf>
    <xf numFmtId="167" fontId="12" fillId="0" borderId="2" xfId="1" applyNumberFormat="1" applyFont="1" applyFill="1" applyBorder="1" applyAlignment="1">
      <alignment horizontal="right"/>
    </xf>
    <xf numFmtId="165" fontId="12" fillId="3" borderId="1" xfId="0" applyNumberFormat="1" applyFont="1" applyFill="1" applyBorder="1"/>
    <xf numFmtId="0" fontId="4" fillId="0" borderId="1" xfId="0" applyFont="1" applyBorder="1" applyAlignment="1">
      <alignment horizontal="right"/>
    </xf>
    <xf numFmtId="3" fontId="12" fillId="3" borderId="0" xfId="1" applyNumberFormat="1" applyFont="1" applyFill="1"/>
    <xf numFmtId="3" fontId="12" fillId="0" borderId="0" xfId="0" applyNumberFormat="1" applyFont="1"/>
    <xf numFmtId="164" fontId="12" fillId="3" borderId="0" xfId="0" applyNumberFormat="1" applyFont="1" applyFill="1" applyAlignment="1">
      <alignment horizontal="right"/>
    </xf>
    <xf numFmtId="164" fontId="12" fillId="3" borderId="1" xfId="0" applyNumberFormat="1" applyFont="1" applyFill="1" applyBorder="1" applyAlignment="1">
      <alignment horizontal="right"/>
    </xf>
    <xf numFmtId="165" fontId="12" fillId="0" borderId="2" xfId="0" applyNumberFormat="1" applyFont="1" applyBorder="1"/>
    <xf numFmtId="164" fontId="12" fillId="0" borderId="2" xfId="0" applyNumberFormat="1" applyFont="1" applyBorder="1"/>
    <xf numFmtId="0" fontId="4" fillId="0" borderId="20" xfId="0" applyFont="1" applyBorder="1"/>
    <xf numFmtId="0" fontId="4" fillId="0" borderId="0" xfId="0" applyFont="1" applyAlignment="1">
      <alignment horizontal="center"/>
    </xf>
    <xf numFmtId="0" fontId="4" fillId="0" borderId="21" xfId="0" applyFont="1" applyBorder="1" applyAlignment="1">
      <alignment horizontal="right"/>
    </xf>
    <xf numFmtId="0" fontId="12" fillId="0" borderId="4" xfId="0" applyFont="1" applyBorder="1"/>
    <xf numFmtId="5" fontId="12" fillId="0" borderId="0" xfId="0" applyNumberFormat="1" applyFont="1"/>
    <xf numFmtId="5" fontId="12" fillId="0" borderId="5" xfId="0" applyNumberFormat="1" applyFont="1" applyBorder="1"/>
    <xf numFmtId="0" fontId="12" fillId="0" borderId="4" xfId="0" applyFont="1" applyBorder="1" applyAlignment="1">
      <alignment horizontal="left"/>
    </xf>
    <xf numFmtId="5" fontId="12" fillId="3" borderId="0" xfId="0" applyNumberFormat="1" applyFont="1" applyFill="1"/>
    <xf numFmtId="0" fontId="12" fillId="3" borderId="4" xfId="0" applyFont="1" applyFill="1" applyBorder="1" applyAlignment="1">
      <alignment horizontal="left"/>
    </xf>
    <xf numFmtId="5" fontId="12" fillId="3" borderId="1" xfId="0" applyNumberFormat="1" applyFont="1" applyFill="1" applyBorder="1"/>
    <xf numFmtId="0" fontId="4" fillId="0" borderId="4" xfId="0" applyFont="1" applyBorder="1" applyAlignment="1">
      <alignment horizontal="right"/>
    </xf>
    <xf numFmtId="5" fontId="12" fillId="3" borderId="5" xfId="0" applyNumberFormat="1" applyFont="1" applyFill="1" applyBorder="1"/>
    <xf numFmtId="0" fontId="4" fillId="0" borderId="4" xfId="0" applyFont="1" applyBorder="1" applyAlignment="1">
      <alignment horizontal="center"/>
    </xf>
    <xf numFmtId="0" fontId="12" fillId="3" borderId="0" xfId="0" applyFont="1" applyFill="1" applyAlignment="1">
      <alignment horizontal="left"/>
    </xf>
    <xf numFmtId="5" fontId="12" fillId="3" borderId="12" xfId="0" applyNumberFormat="1" applyFont="1" applyFill="1" applyBorder="1"/>
    <xf numFmtId="0" fontId="4" fillId="0" borderId="0" xfId="0" applyFont="1" applyAlignment="1">
      <alignment horizontal="right"/>
    </xf>
    <xf numFmtId="0" fontId="12" fillId="3" borderId="14" xfId="0" applyFont="1" applyFill="1" applyBorder="1" applyAlignment="1">
      <alignment horizontal="left"/>
    </xf>
    <xf numFmtId="0" fontId="4" fillId="3" borderId="0" xfId="0" applyFont="1" applyFill="1" applyAlignment="1">
      <alignment horizontal="left"/>
    </xf>
    <xf numFmtId="44" fontId="12" fillId="0" borderId="0" xfId="0" applyNumberFormat="1" applyFont="1"/>
    <xf numFmtId="0" fontId="12" fillId="0" borderId="6" xfId="0" applyFont="1" applyBorder="1"/>
    <xf numFmtId="0" fontId="12" fillId="0" borderId="8" xfId="0" applyFont="1" applyBorder="1"/>
    <xf numFmtId="0" fontId="12" fillId="0" borderId="7" xfId="0" applyFont="1" applyBorder="1"/>
    <xf numFmtId="0" fontId="4" fillId="0" borderId="9" xfId="0" applyFont="1" applyBorder="1" applyAlignment="1">
      <alignment horizontal="left"/>
    </xf>
    <xf numFmtId="0" fontId="12" fillId="0" borderId="10" xfId="0" applyFont="1" applyBorder="1"/>
    <xf numFmtId="0" fontId="4" fillId="0" borderId="6" xfId="0" applyFont="1" applyBorder="1" applyAlignment="1">
      <alignment horizontal="left"/>
    </xf>
    <xf numFmtId="0" fontId="4" fillId="0" borderId="10" xfId="0" applyFont="1" applyBorder="1" applyAlignment="1">
      <alignment horizontal="left"/>
    </xf>
    <xf numFmtId="0" fontId="4" fillId="0" borderId="11" xfId="0" applyFont="1" applyBorder="1" applyAlignment="1">
      <alignment horizontal="left"/>
    </xf>
    <xf numFmtId="5" fontId="12" fillId="3" borderId="22" xfId="0" applyNumberFormat="1" applyFont="1" applyFill="1" applyBorder="1"/>
    <xf numFmtId="0" fontId="9" fillId="2" borderId="0" xfId="0" applyFont="1" applyFill="1" applyAlignment="1">
      <alignment vertical="center"/>
    </xf>
    <xf numFmtId="0" fontId="17" fillId="0" borderId="0" xfId="0" applyFont="1" applyAlignment="1">
      <alignment vertical="center"/>
    </xf>
    <xf numFmtId="0" fontId="17" fillId="0" borderId="1" xfId="0" applyFont="1" applyBorder="1" applyAlignment="1">
      <alignment vertical="center"/>
    </xf>
    <xf numFmtId="0" fontId="24" fillId="0" borderId="0" xfId="0" applyFont="1" applyAlignment="1">
      <alignment horizontal="right" vertical="center"/>
    </xf>
    <xf numFmtId="164" fontId="4" fillId="0" borderId="0" xfId="0" applyNumberFormat="1" applyFont="1"/>
    <xf numFmtId="164" fontId="4" fillId="0" borderId="1" xfId="0" applyNumberFormat="1" applyFont="1" applyBorder="1"/>
    <xf numFmtId="0" fontId="28" fillId="0" borderId="0" xfId="0" applyFont="1" applyAlignment="1">
      <alignment vertical="center"/>
    </xf>
    <xf numFmtId="0" fontId="29" fillId="0" borderId="0" xfId="0" applyFont="1"/>
    <xf numFmtId="0" fontId="30" fillId="0" borderId="0" xfId="0" applyFont="1" applyAlignment="1">
      <alignment vertical="center"/>
    </xf>
    <xf numFmtId="0" fontId="30" fillId="0" borderId="0" xfId="0" applyFont="1"/>
    <xf numFmtId="0" fontId="4" fillId="0" borderId="25" xfId="0" applyFont="1" applyBorder="1" applyAlignment="1">
      <alignment horizontal="right"/>
    </xf>
    <xf numFmtId="0" fontId="4" fillId="0" borderId="26" xfId="0" applyFont="1" applyBorder="1" applyAlignment="1">
      <alignment horizontal="right"/>
    </xf>
    <xf numFmtId="0" fontId="2" fillId="0" borderId="0" xfId="0" applyFont="1" applyAlignment="1">
      <alignment horizontal="left" wrapText="1"/>
    </xf>
    <xf numFmtId="0" fontId="12" fillId="0" borderId="0" xfId="0" applyFont="1" applyAlignment="1">
      <alignment vertical="center" wrapText="1"/>
    </xf>
    <xf numFmtId="0" fontId="31" fillId="0" borderId="0" xfId="0" applyFont="1" applyAlignment="1">
      <alignment horizontal="left" vertical="center" wrapText="1" indent="5"/>
    </xf>
    <xf numFmtId="0" fontId="13" fillId="2" borderId="23" xfId="0" applyFont="1" applyFill="1" applyBorder="1" applyAlignment="1">
      <alignment vertical="center"/>
    </xf>
    <xf numFmtId="167" fontId="12" fillId="3" borderId="0" xfId="1" applyNumberFormat="1" applyFont="1" applyFill="1"/>
    <xf numFmtId="0" fontId="8" fillId="0" borderId="1" xfId="0" applyFont="1" applyBorder="1"/>
    <xf numFmtId="5" fontId="4" fillId="0" borderId="27" xfId="0" applyNumberFormat="1" applyFont="1" applyBorder="1"/>
    <xf numFmtId="7" fontId="4" fillId="0" borderId="15" xfId="0" applyNumberFormat="1" applyFont="1" applyBorder="1"/>
    <xf numFmtId="7" fontId="4" fillId="0" borderId="17" xfId="0" applyNumberFormat="1" applyFont="1" applyBorder="1"/>
    <xf numFmtId="0" fontId="12" fillId="0" borderId="1" xfId="0" applyFont="1" applyBorder="1" applyAlignment="1">
      <alignment horizontal="right"/>
    </xf>
    <xf numFmtId="6" fontId="17" fillId="5" borderId="24" xfId="2" applyNumberFormat="1" applyFont="1" applyFill="1" applyBorder="1" applyProtection="1"/>
    <xf numFmtId="6" fontId="17" fillId="5" borderId="3" xfId="2" applyNumberFormat="1" applyFont="1" applyFill="1" applyBorder="1" applyProtection="1"/>
    <xf numFmtId="6" fontId="17" fillId="5" borderId="29" xfId="2" applyNumberFormat="1" applyFont="1" applyFill="1" applyBorder="1" applyProtection="1"/>
    <xf numFmtId="6" fontId="17" fillId="5" borderId="30" xfId="2" applyNumberFormat="1" applyFont="1" applyFill="1" applyBorder="1" applyProtection="1"/>
    <xf numFmtId="6" fontId="17" fillId="0" borderId="28" xfId="2" applyNumberFormat="1" applyFont="1" applyFill="1" applyBorder="1" applyProtection="1"/>
    <xf numFmtId="0" fontId="10" fillId="0" borderId="0" xfId="0" applyFont="1" applyAlignment="1">
      <alignment horizontal="left" wrapText="1"/>
    </xf>
    <xf numFmtId="9" fontId="4" fillId="0" borderId="7" xfId="3" applyFont="1" applyBorder="1"/>
    <xf numFmtId="0" fontId="17" fillId="0" borderId="0" xfId="0" applyFont="1" applyAlignment="1">
      <alignment horizontal="left" vertical="center" wrapText="1"/>
    </xf>
    <xf numFmtId="0" fontId="25" fillId="0" borderId="1" xfId="0" applyFont="1" applyBorder="1" applyAlignment="1">
      <alignment horizontal="left" vertical="center"/>
    </xf>
    <xf numFmtId="0" fontId="13" fillId="2" borderId="24" xfId="0" applyFont="1" applyFill="1" applyBorder="1" applyAlignment="1">
      <alignment horizontal="center"/>
    </xf>
    <xf numFmtId="0" fontId="13" fillId="2" borderId="3" xfId="0" applyFont="1" applyFill="1" applyBorder="1" applyAlignment="1">
      <alignment horizontal="center"/>
    </xf>
    <xf numFmtId="0" fontId="2" fillId="0" borderId="0" xfId="0" applyFont="1" applyAlignment="1">
      <alignment horizontal="left" wrapText="1"/>
    </xf>
  </cellXfs>
  <cellStyles count="7">
    <cellStyle name="Comma" xfId="1" builtinId="3"/>
    <cellStyle name="Currency" xfId="2" builtinId="4"/>
    <cellStyle name="Normal" xfId="0" builtinId="0"/>
    <cellStyle name="Normal 2 2" xfId="6" xr:uid="{54F84737-8F30-41EE-B2E9-E79969F6626F}"/>
    <cellStyle name="Normal 2 3" xfId="5" xr:uid="{6B19F111-84DB-4EDD-BAD4-1120655BD9D5}"/>
    <cellStyle name="Output" xfId="4" builtinId="21"/>
    <cellStyle name="Percent" xfId="3" builtinId="5"/>
  </cellStyles>
  <dxfs count="5">
    <dxf>
      <font>
        <color rgb="FFFF0000"/>
      </font>
    </dxf>
    <dxf>
      <numFmt numFmtId="13" formatCode="0%"/>
    </dxf>
    <dxf>
      <font>
        <color rgb="FFFF0000"/>
      </font>
    </dxf>
    <dxf>
      <numFmt numFmtId="13" formatCode="0%"/>
    </dxf>
    <dxf>
      <font>
        <color rgb="FFFF0000"/>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4048125</xdr:colOff>
      <xdr:row>3</xdr:row>
      <xdr:rowOff>85725</xdr:rowOff>
    </xdr:from>
    <xdr:to>
      <xdr:col>1</xdr:col>
      <xdr:colOff>6115050</xdr:colOff>
      <xdr:row>6</xdr:row>
      <xdr:rowOff>6477</xdr:rowOff>
    </xdr:to>
    <xdr:pic>
      <xdr:nvPicPr>
        <xdr:cNvPr id="3" name="Picture 2" descr="University of Missouri Extension">
          <a:extLst>
            <a:ext uri="{FF2B5EF4-FFF2-40B4-BE49-F238E27FC236}">
              <a16:creationId xmlns:a16="http://schemas.microsoft.com/office/drawing/2014/main" id="{40BDB82C-D015-4716-A4CF-2E0406A8D3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67200" y="561975"/>
          <a:ext cx="2066925" cy="5303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A867D-8D2E-4E0F-A04D-EED313044632}">
  <sheetPr codeName="Sheet1"/>
  <dimension ref="A2:E20"/>
  <sheetViews>
    <sheetView showGridLines="0" topLeftCell="A2" workbookViewId="0">
      <selection activeCell="B8" sqref="B8"/>
    </sheetView>
  </sheetViews>
  <sheetFormatPr defaultColWidth="0" defaultRowHeight="15" zeroHeight="1"/>
  <cols>
    <col min="1" max="1" width="3.28515625" customWidth="1"/>
    <col min="2" max="2" width="92.5703125" customWidth="1"/>
    <col min="3" max="3" width="3.28515625" customWidth="1"/>
    <col min="4" max="5" width="0" hidden="1" customWidth="1"/>
    <col min="6" max="16384" width="9.140625" hidden="1"/>
  </cols>
  <sheetData>
    <row r="2" spans="2:2" ht="21.75" thickBot="1">
      <c r="B2" s="76" t="s">
        <v>134</v>
      </c>
    </row>
    <row r="3" spans="2:2" ht="15.75">
      <c r="B3" s="67" t="s">
        <v>182</v>
      </c>
    </row>
    <row r="4" spans="2:2" ht="15.75">
      <c r="B4" s="22"/>
    </row>
    <row r="5" spans="2:2" ht="15.75">
      <c r="B5" s="23" t="s">
        <v>0</v>
      </c>
    </row>
    <row r="6" spans="2:2" ht="16.5" customHeight="1">
      <c r="B6" s="77" t="s">
        <v>1</v>
      </c>
    </row>
    <row r="7" spans="2:2" ht="15.75">
      <c r="B7" s="24"/>
    </row>
    <row r="8" spans="2:2" ht="66.75" customHeight="1">
      <c r="B8" s="75" t="s">
        <v>148</v>
      </c>
    </row>
    <row r="9" spans="2:2" ht="6.75" customHeight="1">
      <c r="B9" s="21"/>
    </row>
    <row r="10" spans="2:2" ht="31.5">
      <c r="B10" s="174" t="s">
        <v>149</v>
      </c>
    </row>
    <row r="11" spans="2:2" ht="6.75" customHeight="1">
      <c r="B11" s="21"/>
    </row>
    <row r="12" spans="2:2" ht="31.5">
      <c r="B12" s="175" t="s">
        <v>150</v>
      </c>
    </row>
    <row r="13" spans="2:2" ht="31.5">
      <c r="B13" s="175" t="s">
        <v>151</v>
      </c>
    </row>
    <row r="14" spans="2:2" s="96" customFormat="1" ht="78.75">
      <c r="B14" s="175" t="s">
        <v>171</v>
      </c>
    </row>
    <row r="15" spans="2:2" ht="31.5">
      <c r="B15" s="175" t="s">
        <v>152</v>
      </c>
    </row>
    <row r="16" spans="2:2" ht="9" customHeight="1">
      <c r="B16" s="175"/>
    </row>
    <row r="17" spans="2:2" ht="47.25">
      <c r="B17" s="174" t="s">
        <v>153</v>
      </c>
    </row>
    <row r="18" spans="2:2" ht="15.75">
      <c r="B18" s="175"/>
    </row>
    <row r="19" spans="2:2" ht="39.75" customHeight="1">
      <c r="B19" s="78" t="s">
        <v>2</v>
      </c>
    </row>
    <row r="20" spans="2:2" ht="15.75">
      <c r="B20" s="25"/>
    </row>
  </sheetData>
  <sheetProtection sheet="1" objects="1" scenario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AA2E9-F8E2-4DC9-9D41-2640201C5F63}">
  <sheetPr codeName="Sheet2"/>
  <dimension ref="A1:E26"/>
  <sheetViews>
    <sheetView showGridLines="0" workbookViewId="0">
      <selection activeCell="B19" sqref="B19"/>
    </sheetView>
  </sheetViews>
  <sheetFormatPr defaultColWidth="0" defaultRowHeight="15.75" zeroHeight="1"/>
  <cols>
    <col min="1" max="1" width="3.28515625" style="14" customWidth="1"/>
    <col min="2" max="2" width="46" style="14" bestFit="1" customWidth="1"/>
    <col min="3" max="3" width="14.28515625" style="7" customWidth="1"/>
    <col min="4" max="4" width="11.7109375" style="14" bestFit="1" customWidth="1"/>
    <col min="5" max="5" width="3.28515625" style="14" customWidth="1"/>
    <col min="6" max="16384" width="9.140625" style="14" hidden="1"/>
  </cols>
  <sheetData>
    <row r="1" spans="2:4" ht="18.75">
      <c r="B1" s="79" t="s">
        <v>3</v>
      </c>
      <c r="C1" s="80"/>
      <c r="D1" s="80"/>
    </row>
    <row r="2" spans="2:4">
      <c r="B2" s="33" t="s">
        <v>4</v>
      </c>
      <c r="C2" s="33" t="s">
        <v>5</v>
      </c>
      <c r="D2" s="33" t="s">
        <v>6</v>
      </c>
    </row>
    <row r="3" spans="2:4">
      <c r="B3" s="81" t="s">
        <v>7</v>
      </c>
      <c r="C3" s="81"/>
      <c r="D3" s="81"/>
    </row>
    <row r="4" spans="2:4">
      <c r="B4" s="14" t="s">
        <v>8</v>
      </c>
      <c r="C4" s="7" t="s">
        <v>9</v>
      </c>
      <c r="D4" s="27">
        <v>50</v>
      </c>
    </row>
    <row r="5" spans="2:4">
      <c r="B5" s="14" t="s">
        <v>10</v>
      </c>
      <c r="C5" s="7" t="s">
        <v>11</v>
      </c>
      <c r="D5" s="28">
        <v>0.12</v>
      </c>
    </row>
    <row r="6" spans="2:4">
      <c r="B6" s="14" t="s">
        <v>12</v>
      </c>
      <c r="C6" s="7" t="s">
        <v>11</v>
      </c>
      <c r="D6" s="28">
        <v>0.92</v>
      </c>
    </row>
    <row r="7" spans="2:4">
      <c r="B7" s="14" t="s">
        <v>13</v>
      </c>
      <c r="C7" s="7" t="s">
        <v>14</v>
      </c>
      <c r="D7" s="30">
        <v>150</v>
      </c>
    </row>
    <row r="8" spans="2:4">
      <c r="B8" s="14" t="s">
        <v>15</v>
      </c>
      <c r="C8" s="7" t="s">
        <v>16</v>
      </c>
      <c r="D8" s="32">
        <v>4000</v>
      </c>
    </row>
    <row r="9" spans="2:4">
      <c r="B9" s="14" t="s">
        <v>17</v>
      </c>
      <c r="C9" s="7" t="s">
        <v>16</v>
      </c>
      <c r="D9" s="32">
        <v>2000</v>
      </c>
    </row>
    <row r="10" spans="2:4">
      <c r="B10" s="14" t="s">
        <v>18</v>
      </c>
      <c r="C10" s="7" t="s">
        <v>19</v>
      </c>
      <c r="D10" s="27">
        <v>570</v>
      </c>
    </row>
    <row r="11" spans="2:4">
      <c r="B11" s="14" t="s">
        <v>20</v>
      </c>
      <c r="C11" s="7" t="s">
        <v>21</v>
      </c>
      <c r="D11" s="32">
        <v>4.5</v>
      </c>
    </row>
    <row r="12" spans="2:4">
      <c r="B12" s="14" t="s">
        <v>22</v>
      </c>
      <c r="C12" s="7" t="s">
        <v>23</v>
      </c>
      <c r="D12" s="32">
        <v>950</v>
      </c>
    </row>
    <row r="13" spans="2:4">
      <c r="B13" s="14" t="s">
        <v>157</v>
      </c>
      <c r="C13" s="7" t="s">
        <v>24</v>
      </c>
      <c r="D13" s="32">
        <v>90</v>
      </c>
    </row>
    <row r="14" spans="2:4">
      <c r="B14" s="14" t="s">
        <v>158</v>
      </c>
      <c r="C14" s="7" t="s">
        <v>111</v>
      </c>
      <c r="D14" s="27">
        <v>1.5</v>
      </c>
    </row>
    <row r="15" spans="2:4">
      <c r="B15" s="81" t="s">
        <v>25</v>
      </c>
      <c r="C15" s="81"/>
      <c r="D15" s="81"/>
    </row>
    <row r="16" spans="2:4">
      <c r="B16" s="14" t="s">
        <v>26</v>
      </c>
      <c r="C16" s="7" t="s">
        <v>27</v>
      </c>
      <c r="D16" s="31">
        <v>7.2499999999999995E-2</v>
      </c>
    </row>
    <row r="17" spans="2:4">
      <c r="B17" s="29" t="s">
        <v>28</v>
      </c>
      <c r="C17" s="178" t="s">
        <v>29</v>
      </c>
      <c r="D17" s="66">
        <v>22.5</v>
      </c>
    </row>
    <row r="19" spans="2:4"/>
    <row r="26" spans="2:4"/>
  </sheetData>
  <sheetProtection sheet="1" objects="1" scenarios="1"/>
  <protectedRanges>
    <protectedRange sqref="D4:D14 D16:D17" name="Edit cells"/>
  </protectedRanges>
  <dataValidations disablePrompts="1" count="3">
    <dataValidation allowBlank="1" showInputMessage="1" showErrorMessage="1" prompt="Enter the annual cost associated with  feeding, and managing an additional cow. Do not include pasture costs or ownership costs like interest and depreciation." sqref="D12" xr:uid="{0682BF12-5A5B-4603-82F8-01D3F7A7C06E}"/>
    <dataValidation allowBlank="1" showInputMessage="1" showErrorMessage="1" prompt="Include the hay used by your herd daily when hay is being used for the primary feed. The quantity entered should include both hay consumed and wasted." sqref="D14" xr:uid="{C9C51418-9269-4E30-81D3-986518F541F5}"/>
    <dataValidation allowBlank="1" showInputMessage="1" showErrorMessage="1" prompt="Enter the interest rate paid if financing additional investments with borrowed capital. If not using a loan, enter the annual return of your preferred alternative investment as an opportunity cost of investing in your operation" sqref="D16" xr:uid="{5036C18F-D9A4-446A-8120-EAA940E90515}"/>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7F00F-7E35-4772-912C-7AABBF6A7BA7}">
  <sheetPr codeName="Sheet3"/>
  <dimension ref="A1:S23"/>
  <sheetViews>
    <sheetView showGridLines="0" workbookViewId="0">
      <selection activeCell="A24" sqref="A24:XFD24"/>
    </sheetView>
  </sheetViews>
  <sheetFormatPr defaultColWidth="0" defaultRowHeight="15" customHeight="1" zeroHeight="1"/>
  <cols>
    <col min="1" max="1" width="3.28515625" style="2" customWidth="1"/>
    <col min="2" max="2" width="39" style="2" customWidth="1"/>
    <col min="3" max="3" width="9.5703125" style="2" bestFit="1" customWidth="1"/>
    <col min="4" max="4" width="11.7109375" style="2" customWidth="1"/>
    <col min="5" max="5" width="13.140625" style="2" customWidth="1"/>
    <col min="6" max="6" width="17.85546875" style="2" bestFit="1" customWidth="1"/>
    <col min="7" max="7" width="11" style="2" bestFit="1" customWidth="1"/>
    <col min="8" max="8" width="11" style="2" customWidth="1"/>
    <col min="9" max="9" width="18.28515625" style="2" customWidth="1"/>
    <col min="10" max="10" width="3.28515625" style="2" customWidth="1"/>
    <col min="11" max="11" width="28.7109375" style="2" hidden="1" customWidth="1"/>
    <col min="12" max="12" width="9.140625" style="2" hidden="1" customWidth="1"/>
    <col min="13" max="13" width="12.7109375" style="2" hidden="1" customWidth="1"/>
    <col min="14" max="14" width="9.140625" style="2" hidden="1" customWidth="1"/>
    <col min="15" max="15" width="10.7109375" style="2" hidden="1" customWidth="1"/>
    <col min="16" max="16" width="10.5703125" style="2" hidden="1" customWidth="1"/>
    <col min="17" max="17" width="10.7109375" style="2" hidden="1" customWidth="1"/>
    <col min="18" max="18" width="18.140625" style="2" hidden="1" customWidth="1"/>
    <col min="19" max="19" width="3.28515625" style="2" hidden="1" customWidth="1"/>
    <col min="20" max="16384" width="9.140625" style="2" hidden="1"/>
  </cols>
  <sheetData>
    <row r="1" spans="2:9" ht="18.75" customHeight="1">
      <c r="B1" s="82" t="s">
        <v>102</v>
      </c>
      <c r="C1" s="103"/>
      <c r="D1" s="103"/>
      <c r="E1" s="103"/>
      <c r="F1" s="103"/>
      <c r="G1" s="103"/>
      <c r="H1" s="103"/>
      <c r="I1" s="103"/>
    </row>
    <row r="2" spans="2:9" ht="18.75" customHeight="1">
      <c r="B2" s="102"/>
      <c r="C2" s="102"/>
      <c r="D2" s="102"/>
      <c r="E2" s="102"/>
      <c r="F2" s="102"/>
      <c r="G2" s="102"/>
      <c r="H2" s="102"/>
      <c r="I2" s="102"/>
    </row>
    <row r="3" spans="2:9" ht="15.75" customHeight="1">
      <c r="B3" s="83" t="s">
        <v>154</v>
      </c>
      <c r="C3" s="83"/>
      <c r="D3" s="83"/>
      <c r="E3" s="83"/>
      <c r="F3" s="83"/>
      <c r="G3" s="83"/>
      <c r="H3" s="83"/>
      <c r="I3" s="83"/>
    </row>
    <row r="4" spans="2:9" ht="15" customHeight="1">
      <c r="B4" s="104" t="s">
        <v>30</v>
      </c>
      <c r="C4" s="61" t="s">
        <v>6</v>
      </c>
      <c r="D4" s="61" t="s">
        <v>5</v>
      </c>
      <c r="E4" s="61" t="s">
        <v>31</v>
      </c>
      <c r="F4" s="61" t="s">
        <v>155</v>
      </c>
      <c r="G4" s="104" t="s">
        <v>32</v>
      </c>
      <c r="H4" s="104" t="s">
        <v>33</v>
      </c>
      <c r="I4" s="104" t="s">
        <v>34</v>
      </c>
    </row>
    <row r="5" spans="2:9" ht="15" customHeight="1">
      <c r="B5" s="105" t="s">
        <v>35</v>
      </c>
      <c r="C5" s="106">
        <f>'General assumptions'!D4</f>
        <v>50</v>
      </c>
      <c r="D5" s="107" t="s">
        <v>36</v>
      </c>
      <c r="E5" s="108">
        <v>300</v>
      </c>
      <c r="F5" s="109">
        <v>6</v>
      </c>
      <c r="G5" s="110">
        <f>C5*E5</f>
        <v>15000</v>
      </c>
      <c r="H5" s="110">
        <f>(G5+G5/2*'General assumptions'!$D$16)/F5*(1-$G$10/$G$11)</f>
        <v>2590.625</v>
      </c>
      <c r="I5" s="111">
        <f>H5/'General assumptions'!$D$7</f>
        <v>17.270833333333332</v>
      </c>
    </row>
    <row r="6" spans="2:9" ht="15" customHeight="1">
      <c r="B6" s="27" t="s">
        <v>37</v>
      </c>
      <c r="C6" s="112">
        <v>0</v>
      </c>
      <c r="D6" s="107" t="s">
        <v>38</v>
      </c>
      <c r="E6" s="108">
        <v>3000</v>
      </c>
      <c r="F6" s="109">
        <v>8</v>
      </c>
      <c r="G6" s="110">
        <f>C6*E6</f>
        <v>0</v>
      </c>
      <c r="H6" s="110">
        <f>(G6+G6/2*'General assumptions'!$D$16)/F6*(1-$G$10/$G$11)</f>
        <v>0</v>
      </c>
      <c r="I6" s="111">
        <f>H6/'General assumptions'!$D$7</f>
        <v>0</v>
      </c>
    </row>
    <row r="7" spans="2:9" ht="15" customHeight="1">
      <c r="B7" s="27" t="s">
        <v>39</v>
      </c>
      <c r="C7" s="112">
        <v>1</v>
      </c>
      <c r="D7" s="107" t="s">
        <v>36</v>
      </c>
      <c r="E7" s="113">
        <f>E5</f>
        <v>300</v>
      </c>
      <c r="F7" s="109">
        <v>6</v>
      </c>
      <c r="G7" s="110">
        <f>C7*E7</f>
        <v>300</v>
      </c>
      <c r="H7" s="110">
        <f>(G7+G7/2*'General assumptions'!$D$16)/F7*(1-$G$10/$G$11)</f>
        <v>51.8125</v>
      </c>
      <c r="I7" s="111">
        <f>H7/'General assumptions'!$D$7</f>
        <v>0.34541666666666665</v>
      </c>
    </row>
    <row r="8" spans="2:9" ht="15" customHeight="1">
      <c r="B8" s="27" t="s">
        <v>40</v>
      </c>
      <c r="C8" s="112">
        <v>8</v>
      </c>
      <c r="D8" s="107" t="s">
        <v>41</v>
      </c>
      <c r="E8" s="113">
        <f>'General assumptions'!D17</f>
        <v>22.5</v>
      </c>
      <c r="F8" s="109">
        <v>6</v>
      </c>
      <c r="G8" s="110">
        <f t="shared" ref="G8" si="0">C8*E8</f>
        <v>180</v>
      </c>
      <c r="H8" s="110">
        <f>(G8+G8/2*'General assumptions'!$D$16)/F8*(1-$G$10/$G$11)</f>
        <v>31.087500000000002</v>
      </c>
      <c r="I8" s="111">
        <f>H8/'General assumptions'!$D$7</f>
        <v>0.20725000000000002</v>
      </c>
    </row>
    <row r="9" spans="2:9" ht="15" customHeight="1">
      <c r="B9" s="34" t="s">
        <v>43</v>
      </c>
      <c r="C9" s="114">
        <v>0</v>
      </c>
      <c r="D9" s="115" t="s">
        <v>156</v>
      </c>
      <c r="E9" s="116">
        <v>0</v>
      </c>
      <c r="F9" s="117">
        <v>1</v>
      </c>
      <c r="G9" s="118">
        <f>C9*E9</f>
        <v>0</v>
      </c>
      <c r="H9" s="118">
        <f>(G9+G9/2*'General assumptions'!$D$16)/F9*(1-$G$10/$G$11)</f>
        <v>0</v>
      </c>
      <c r="I9" s="119">
        <f>H9/'General assumptions'!$D$7</f>
        <v>0</v>
      </c>
    </row>
    <row r="10" spans="2:9" ht="15" customHeight="1">
      <c r="B10" s="120" t="s">
        <v>44</v>
      </c>
      <c r="C10" s="121"/>
      <c r="D10" s="122"/>
      <c r="E10" s="123"/>
      <c r="F10" s="124"/>
      <c r="G10" s="125">
        <v>0</v>
      </c>
      <c r="H10" s="118"/>
      <c r="I10" s="119"/>
    </row>
    <row r="11" spans="2:9" ht="15.75">
      <c r="B11" s="29"/>
      <c r="C11" s="29"/>
      <c r="D11" s="29"/>
      <c r="E11" s="126" t="s">
        <v>45</v>
      </c>
      <c r="F11" s="126"/>
      <c r="G11" s="118">
        <f>SUM(G5:G9)-G10</f>
        <v>15480</v>
      </c>
      <c r="H11" s="118">
        <f>SUM(H5:H9)</f>
        <v>2673.5250000000001</v>
      </c>
      <c r="I11" s="119">
        <f>SUM(I5:I9)</f>
        <v>17.823499999999996</v>
      </c>
    </row>
    <row r="12" spans="2:9" ht="18" customHeight="1"/>
    <row r="13" spans="2:9" ht="15" customHeight="1">
      <c r="B13" s="40" t="s">
        <v>96</v>
      </c>
      <c r="C13" s="41"/>
      <c r="D13" s="41"/>
      <c r="E13" s="39" t="s">
        <v>46</v>
      </c>
      <c r="F13" s="42"/>
      <c r="G13" s="43"/>
      <c r="H13" s="43"/>
      <c r="I13" s="44"/>
    </row>
    <row r="14" spans="2:9" ht="15" customHeight="1">
      <c r="B14" s="104" t="s">
        <v>47</v>
      </c>
      <c r="C14" s="104" t="s">
        <v>6</v>
      </c>
      <c r="D14" s="61" t="s">
        <v>5</v>
      </c>
      <c r="E14" s="61" t="s">
        <v>31</v>
      </c>
      <c r="F14" s="61" t="s">
        <v>155</v>
      </c>
      <c r="G14" s="104" t="s">
        <v>32</v>
      </c>
      <c r="H14" s="104" t="s">
        <v>33</v>
      </c>
      <c r="I14" s="104" t="s">
        <v>34</v>
      </c>
    </row>
    <row r="15" spans="2:9" ht="15" customHeight="1">
      <c r="B15" s="27" t="s">
        <v>106</v>
      </c>
      <c r="C15" s="127">
        <v>3000</v>
      </c>
      <c r="D15" s="107" t="s">
        <v>42</v>
      </c>
      <c r="E15" s="32">
        <v>1.25</v>
      </c>
      <c r="F15" s="177">
        <v>40</v>
      </c>
      <c r="G15" s="110">
        <f>C15*E15</f>
        <v>3750</v>
      </c>
      <c r="H15" s="110">
        <f>(G15+G15/2*'General assumptions'!$D$16)/F15*(1-$G$21/$G$22)</f>
        <v>97.1484375</v>
      </c>
      <c r="I15" s="111">
        <f>IFERROR(H15/'General assumptions'!$D$7,0)</f>
        <v>0.64765625000000004</v>
      </c>
    </row>
    <row r="16" spans="2:9" ht="15" customHeight="1">
      <c r="B16" s="14" t="s">
        <v>48</v>
      </c>
      <c r="C16" s="128">
        <f>C15</f>
        <v>3000</v>
      </c>
      <c r="D16" s="107" t="s">
        <v>42</v>
      </c>
      <c r="E16" s="32">
        <v>1.25</v>
      </c>
      <c r="F16" s="177">
        <v>40</v>
      </c>
      <c r="G16" s="110">
        <f t="shared" ref="G16:G20" si="1">C16*E16</f>
        <v>3750</v>
      </c>
      <c r="H16" s="110">
        <f>(G16+G16/2*'General assumptions'!$D$16)/F16*(1-$G$21/$G$22)</f>
        <v>97.1484375</v>
      </c>
      <c r="I16" s="111">
        <f>IFERROR(H16/'General assumptions'!$D$7,0)</f>
        <v>0.64765625000000004</v>
      </c>
    </row>
    <row r="17" spans="2:9" ht="15" customHeight="1">
      <c r="B17" s="27" t="s">
        <v>49</v>
      </c>
      <c r="C17" s="112">
        <v>12</v>
      </c>
      <c r="D17" s="107" t="s">
        <v>50</v>
      </c>
      <c r="E17" s="129">
        <v>500</v>
      </c>
      <c r="F17" s="109">
        <v>40</v>
      </c>
      <c r="G17" s="110">
        <f t="shared" si="1"/>
        <v>6000</v>
      </c>
      <c r="H17" s="110">
        <f>(G17+G17/2*'General assumptions'!$D$16)/F17*(1-$G$21/$G$22)</f>
        <v>155.4375</v>
      </c>
      <c r="I17" s="111">
        <f>IFERROR(H17/'General assumptions'!$D$7,0)</f>
        <v>1.0362499999999999</v>
      </c>
    </row>
    <row r="18" spans="2:9" ht="15" customHeight="1">
      <c r="B18" s="27" t="s">
        <v>51</v>
      </c>
      <c r="C18" s="112">
        <v>2</v>
      </c>
      <c r="D18" s="107" t="s">
        <v>52</v>
      </c>
      <c r="E18" s="129">
        <v>715</v>
      </c>
      <c r="F18" s="109">
        <v>10</v>
      </c>
      <c r="G18" s="110">
        <f t="shared" si="1"/>
        <v>1430</v>
      </c>
      <c r="H18" s="110">
        <f>(G18+G18/2*'General assumptions'!$D$16)/F18*(1-$G$21/$G$22)</f>
        <v>148.18375</v>
      </c>
      <c r="I18" s="111">
        <f>IFERROR(H18/'General assumptions'!$D$7,0)</f>
        <v>0.98789166666666672</v>
      </c>
    </row>
    <row r="19" spans="2:9" ht="15" customHeight="1">
      <c r="B19" s="27" t="s">
        <v>53</v>
      </c>
      <c r="C19" s="127">
        <v>0</v>
      </c>
      <c r="D19" s="107" t="s">
        <v>54</v>
      </c>
      <c r="E19" s="129">
        <v>25000</v>
      </c>
      <c r="F19" s="109">
        <v>40</v>
      </c>
      <c r="G19" s="110">
        <f t="shared" si="1"/>
        <v>0</v>
      </c>
      <c r="H19" s="110">
        <f>(G19+G19/2*'General assumptions'!$D$16)/F19*(1-$G$21/$G$22)</f>
        <v>0</v>
      </c>
      <c r="I19" s="111">
        <f>IFERROR(H19/'General assumptions'!$D$7,0)</f>
        <v>0</v>
      </c>
    </row>
    <row r="20" spans="2:9" ht="15" customHeight="1">
      <c r="B20" s="34" t="s">
        <v>43</v>
      </c>
      <c r="C20" s="114">
        <v>0</v>
      </c>
      <c r="D20" s="115" t="s">
        <v>156</v>
      </c>
      <c r="E20" s="130">
        <v>0</v>
      </c>
      <c r="F20" s="117">
        <v>1</v>
      </c>
      <c r="G20" s="118">
        <f t="shared" si="1"/>
        <v>0</v>
      </c>
      <c r="H20" s="118">
        <f>(G20+G20/2*'General assumptions'!$D$16)/F20*(1-$G$21/$G$22)</f>
        <v>0</v>
      </c>
      <c r="I20" s="119">
        <f>IFERROR(H20/'General assumptions'!$D$7,0)</f>
        <v>0</v>
      </c>
    </row>
    <row r="21" spans="2:9" ht="15" customHeight="1">
      <c r="B21" s="120" t="s">
        <v>44</v>
      </c>
      <c r="C21" s="121"/>
      <c r="D21" s="122"/>
      <c r="E21" s="123"/>
      <c r="F21" s="124"/>
      <c r="G21" s="125">
        <v>0</v>
      </c>
      <c r="H21" s="118"/>
      <c r="I21" s="119"/>
    </row>
    <row r="22" spans="2:9" ht="15" customHeight="1">
      <c r="B22" s="29"/>
      <c r="C22" s="29"/>
      <c r="D22" s="29"/>
      <c r="E22" s="126" t="s">
        <v>55</v>
      </c>
      <c r="F22" s="126"/>
      <c r="G22" s="131">
        <f>SUM(G15:G20)-G21</f>
        <v>14930</v>
      </c>
      <c r="H22" s="131">
        <f>SUM(H15:H20)</f>
        <v>497.91812500000003</v>
      </c>
      <c r="I22" s="132">
        <f>SUM(I15:I20)</f>
        <v>3.3194541666666666</v>
      </c>
    </row>
    <row r="23" spans="2:9" ht="15" customHeight="1"/>
  </sheetData>
  <sheetProtection sheet="1" objects="1" scenarios="1"/>
  <protectedRanges>
    <protectedRange sqref="B5:B9 C6:C9 D9:F9 F5:F8 E5:E6 G10 B15:C15 B17:C20 D20:F20 E15:F19 G21" name="Edit cells"/>
  </protectedRange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EDDE9-DAFE-45AE-A683-E2D306DD6DA5}">
  <sheetPr codeName="Sheet4"/>
  <dimension ref="A1:X35"/>
  <sheetViews>
    <sheetView showGridLines="0" topLeftCell="A15" workbookViewId="0">
      <selection activeCell="G32" sqref="G32"/>
    </sheetView>
  </sheetViews>
  <sheetFormatPr defaultColWidth="0" defaultRowHeight="15" zeroHeight="1"/>
  <cols>
    <col min="1" max="1" width="3.140625" style="2" customWidth="1"/>
    <col min="2" max="2" width="40.28515625" style="2" customWidth="1"/>
    <col min="3" max="3" width="12.7109375" style="2" bestFit="1" customWidth="1"/>
    <col min="4" max="4" width="9.85546875" style="2" bestFit="1" customWidth="1"/>
    <col min="5" max="5" width="38" style="2" customWidth="1"/>
    <col min="6" max="6" width="16.85546875" style="2" customWidth="1"/>
    <col min="7" max="7" width="14.140625" style="2" customWidth="1"/>
    <col min="8" max="8" width="0.140625" style="2" customWidth="1"/>
    <col min="9" max="9" width="3.140625" style="2" customWidth="1"/>
    <col min="10" max="10" width="27.42578125" style="2" customWidth="1"/>
    <col min="11" max="11" width="21.140625" style="2" bestFit="1" customWidth="1"/>
    <col min="12" max="13" width="9.140625" style="2" customWidth="1"/>
    <col min="14" max="14" width="11.7109375" style="2" bestFit="1" customWidth="1"/>
    <col min="15" max="16" width="9.140625" style="2" customWidth="1"/>
    <col min="17" max="17" width="3.28515625" style="2" customWidth="1"/>
    <col min="18" max="16384" width="9.140625" style="2" hidden="1"/>
  </cols>
  <sheetData>
    <row r="1" spans="2:24" ht="24">
      <c r="B1" s="176" t="s">
        <v>159</v>
      </c>
      <c r="C1" s="90"/>
      <c r="D1" s="91"/>
      <c r="E1" s="91"/>
      <c r="F1" s="91"/>
      <c r="G1" s="92"/>
      <c r="I1" s="89"/>
      <c r="J1" s="15" t="s">
        <v>97</v>
      </c>
      <c r="K1" s="16"/>
      <c r="L1" s="16"/>
      <c r="M1" s="16"/>
      <c r="N1" s="16"/>
      <c r="O1" s="17"/>
      <c r="P1" s="18"/>
    </row>
    <row r="2" spans="2:24" ht="17.100000000000001" customHeight="1">
      <c r="B2" s="56"/>
      <c r="C2" s="56"/>
      <c r="D2" s="56"/>
      <c r="E2" s="56"/>
      <c r="F2" s="56"/>
      <c r="G2" s="56"/>
      <c r="I2" s="19"/>
      <c r="J2" s="55" t="s">
        <v>56</v>
      </c>
      <c r="L2" s="88"/>
      <c r="M2" s="88" t="str">
        <f>IF(J3=S14,U8,V6)</f>
        <v>Change in cow-days per acre</v>
      </c>
      <c r="N2" s="88"/>
      <c r="O2" s="88"/>
      <c r="P2" s="88"/>
    </row>
    <row r="3" spans="2:24" ht="43.5" customHeight="1">
      <c r="B3" s="190" t="s">
        <v>179</v>
      </c>
      <c r="C3" s="190"/>
      <c r="D3" s="190"/>
      <c r="E3" s="190"/>
      <c r="F3" s="190"/>
      <c r="G3" s="190"/>
      <c r="J3" s="87" t="s">
        <v>70</v>
      </c>
      <c r="K3" s="98">
        <f t="shared" ref="K3:P3" si="0">IF($J$3=$S$14,S9,"$"&amp;S7*100)</f>
        <v>-5</v>
      </c>
      <c r="L3" s="98">
        <f t="shared" si="0"/>
        <v>0</v>
      </c>
      <c r="M3" s="98">
        <f t="shared" si="0"/>
        <v>5</v>
      </c>
      <c r="N3" s="98">
        <f t="shared" si="0"/>
        <v>10</v>
      </c>
      <c r="O3" s="98">
        <f t="shared" si="0"/>
        <v>15</v>
      </c>
      <c r="P3" s="98">
        <f t="shared" si="0"/>
        <v>20</v>
      </c>
    </row>
    <row r="4" spans="2:24" ht="17.100000000000001" customHeight="1">
      <c r="B4" s="58"/>
      <c r="C4" s="54"/>
      <c r="D4" s="54"/>
      <c r="E4" s="54"/>
      <c r="F4" s="54"/>
      <c r="G4" s="54"/>
      <c r="J4" s="93">
        <f>IF($J$3=$S$15,$J$7*100-15&amp;"%",$J$7-150)</f>
        <v>-50.321137500000006</v>
      </c>
      <c r="K4" s="51">
        <f>IF($J$3=$S$14,S$9*('General assumptions'!$D$7/'General assumptions'!$D$4)*('General assumptions'!$D$13*'General assumptions'!$D$14)/$W19-$J4-($G$28+$C$20)/$W19,$V19*'General assumptions'!$D$6*S$7*'General assumptions'!$D$10/($W19)-(SUM($G$14,$G$18,$G$20,$G$15,$G$21,$G$28,-SUM($C$24:$C$26),'General assumptions'!$D$12*$V19,('General assumptions'!$D$8-'General assumptions'!$D$9)*'General assumptions'!$D$5*$V19,('General assumptions'!$D$8+'General assumptions'!$D$9)/2*'General assumptions'!$D$16*$V19,-'General assumptions'!$D$13*'General assumptions'!$D$14*($C$8+$V19))/$W19))</f>
        <v>2.1068517857142908</v>
      </c>
      <c r="L4" s="51">
        <f>IF($J$3=$S$14,T$9*('General assumptions'!$D$7/'General assumptions'!$D$4)*('General assumptions'!$D$13*'General assumptions'!$D$14)/$W19-$J4-($G$28+$C$20)/$W19,$V19*'General assumptions'!$D$6*T$7*'General assumptions'!$D$10/($W19)-(SUM($G$14,$G$18,$G$20,$G$15,$G$21,$G$28,-SUM($C$24:$C$26),'General assumptions'!$D$12*$V19,('General assumptions'!$D$8-'General assumptions'!$D$9)*'General assumptions'!$D$5*$V19,('General assumptions'!$D$8+'General assumptions'!$D$9)/2*'General assumptions'!$D$16*$V19,-'General assumptions'!$D$13*'General assumptions'!$D$14*($C$8+$V19))/$W19))</f>
        <v>50.321137500000006</v>
      </c>
      <c r="M4" s="51">
        <f>IF($J$3=$S$14,U$9*('General assumptions'!$D$7/'General assumptions'!$D$4)*('General assumptions'!$D$13*'General assumptions'!$D$14)/$W19-$J4-($G$28+$C$20)/$W19,$V19*'General assumptions'!$D$6*U$7*'General assumptions'!$D$10/($W19)-(SUM($G$14,$G$18,$G$20,$G$15,$G$21,$G$28,-SUM($C$24:$C$26),'General assumptions'!$D$12*$V19,('General assumptions'!$D$8-'General assumptions'!$D$9)*'General assumptions'!$D$5*$V19,('General assumptions'!$D$8+'General assumptions'!$D$9)/2*'General assumptions'!$D$16*$V19,-'General assumptions'!$D$13*'General assumptions'!$D$14*($C$8+$V19))/$W19))</f>
        <v>98.535423214285714</v>
      </c>
      <c r="N4" s="51">
        <f>IF($J$3=$S$14,V$9*('General assumptions'!$D$7/'General assumptions'!$D$4)*('General assumptions'!$D$13*'General assumptions'!$D$14)/$W19-$J4-($G$28+$C$20)/$W19,$V19*'General assumptions'!$D$6*V$7*'General assumptions'!$D$10/($W19)-(SUM($G$14,$G$18,$G$20,$G$15,$G$21,$G$28,-SUM($C$24:$C$26),'General assumptions'!$D$12*$V19,('General assumptions'!$D$8-'General assumptions'!$D$9)*'General assumptions'!$D$5*$V19,('General assumptions'!$D$8+'General assumptions'!$D$9)/2*'General assumptions'!$D$16*$V19,-'General assumptions'!$D$13*'General assumptions'!$D$14*($C$8+$V19))/$W19))</f>
        <v>146.74970892857144</v>
      </c>
      <c r="O4" s="51">
        <f>IF($J$3=$S$14,W$9*('General assumptions'!$D$7/'General assumptions'!$D$4)*('General assumptions'!$D$13*'General assumptions'!$D$14)/$W19-$J4-($G$28+$C$20)/$W19,$V19*'General assumptions'!$D$6*W$7*'General assumptions'!$D$10/($W19)-(SUM($G$14,$G$18,$G$20,$G$15,$G$21,$G$28,-SUM($C$24:$C$26),'General assumptions'!$D$12*$V19,('General assumptions'!$D$8-'General assumptions'!$D$9)*'General assumptions'!$D$5*$V19,('General assumptions'!$D$8+'General assumptions'!$D$9)/2*'General assumptions'!$D$16*$V19,-'General assumptions'!$D$13*'General assumptions'!$D$14*($C$8+$V19))/$W19))</f>
        <v>194.96399464285713</v>
      </c>
      <c r="P4" s="51">
        <f>IF($J$3=$S$14,X$9*('General assumptions'!$D$7/'General assumptions'!$D$4)*('General assumptions'!$D$13*'General assumptions'!$D$14)/$W19-$J4-($G$28+$C$20)/$W19,$V19*'General assumptions'!$D$6*X$7*'General assumptions'!$D$10/($W19)-(SUM($G$14,$G$18,$G$20,$G$15,$G$21,$G$28,-SUM($C$24:$C$26),'General assumptions'!$D$12*$V19,('General assumptions'!$D$8-'General assumptions'!$D$9)*'General assumptions'!$D$5*$V19,('General assumptions'!$D$8+'General assumptions'!$D$9)/2*'General assumptions'!$D$16*$V19,-'General assumptions'!$D$13*'General assumptions'!$D$14*($C$8+$V19))/$W19))</f>
        <v>243.17828035714285</v>
      </c>
    </row>
    <row r="5" spans="2:24" ht="17.100000000000001" customHeight="1">
      <c r="B5" s="57" t="s">
        <v>58</v>
      </c>
      <c r="C5" s="54"/>
      <c r="D5" s="54"/>
      <c r="E5" s="54"/>
      <c r="F5" s="54"/>
      <c r="G5" s="54"/>
      <c r="J5" s="93">
        <f>IF($J$3=$S$15,$J$7*100-10&amp;"%",$J$7-100)</f>
        <v>-0.32113750000000607</v>
      </c>
      <c r="K5" s="51">
        <f>IF($J$3=$S$14,S$9*('General assumptions'!$D$7/'General assumptions'!$D$4)*('General assumptions'!$D$13*'General assumptions'!$D$14)/$W20-$J5-($G$28+$C$20)/$W20,$V20*'General assumptions'!$D$6*S$7*'General assumptions'!$D$10/($W20)-(SUM($G$14,$G$18,$G$20,$G$15,$G$21,$G$28,-SUM($C$24:$C$26),'General assumptions'!$D$12*$V20,('General assumptions'!$D$8-'General assumptions'!$D$9)*'General assumptions'!$D$5*$V20,('General assumptions'!$D$8+'General assumptions'!$D$9)/2*'General assumptions'!$D$16*$V20,-'General assumptions'!$D$13*'General assumptions'!$D$14*($C$8+$V20))/$W20))</f>
        <v>-44.678862499999994</v>
      </c>
      <c r="L5" s="51">
        <f>IF($J$3=$S$14,T$9*('General assumptions'!$D$7/'General assumptions'!$D$4)*('General assumptions'!$D$13*'General assumptions'!$D$14)/$W20-$J5-($G$28+$C$20)/$W20,$V20*'General assumptions'!$D$6*T$7*'General assumptions'!$D$10/($W20)-(SUM($G$14,$G$18,$G$20,$G$15,$G$21,$G$28,-SUM($C$24:$C$26),'General assumptions'!$D$12*$V20,('General assumptions'!$D$8-'General assumptions'!$D$9)*'General assumptions'!$D$5*$V20,('General assumptions'!$D$8+'General assumptions'!$D$9)/2*'General assumptions'!$D$16*$V20,-'General assumptions'!$D$13*'General assumptions'!$D$14*($C$8+$V20))/$W20))</f>
        <v>0.32113750000000607</v>
      </c>
      <c r="M5" s="51">
        <f>IF($J$3=$S$14,U$9*('General assumptions'!$D$7/'General assumptions'!$D$4)*('General assumptions'!$D$13*'General assumptions'!$D$14)/$W20-$J5-($G$28+$C$20)/$W20,$V20*'General assumptions'!$D$6*U$7*'General assumptions'!$D$10/($W20)-(SUM($G$14,$G$18,$G$20,$G$15,$G$21,$G$28,-SUM($C$24:$C$26),'General assumptions'!$D$12*$V20,('General assumptions'!$D$8-'General assumptions'!$D$9)*'General assumptions'!$D$5*$V20,('General assumptions'!$D$8+'General assumptions'!$D$9)/2*'General assumptions'!$D$16*$V20,-'General assumptions'!$D$13*'General assumptions'!$D$14*($C$8+$V20))/$W20))</f>
        <v>45.321137500000006</v>
      </c>
      <c r="N5" s="51">
        <f>IF($J$3=$S$14,V$9*('General assumptions'!$D$7/'General assumptions'!$D$4)*('General assumptions'!$D$13*'General assumptions'!$D$14)/$W20-$J5-($G$28+$C$20)/$W20,$V20*'General assumptions'!$D$6*V$7*'General assumptions'!$D$10/($W20)-(SUM($G$14,$G$18,$G$20,$G$15,$G$21,$G$28,-SUM($C$24:$C$26),'General assumptions'!$D$12*$V20,('General assumptions'!$D$8-'General assumptions'!$D$9)*'General assumptions'!$D$5*$V20,('General assumptions'!$D$8+'General assumptions'!$D$9)/2*'General assumptions'!$D$16*$V20,-'General assumptions'!$D$13*'General assumptions'!$D$14*($C$8+$V20))/$W20))</f>
        <v>90.321137500000006</v>
      </c>
      <c r="O5" s="51">
        <f>IF($J$3=$S$14,W$9*('General assumptions'!$D$7/'General assumptions'!$D$4)*('General assumptions'!$D$13*'General assumptions'!$D$14)/$W20-$J5-($G$28+$C$20)/$W20,$V20*'General assumptions'!$D$6*W$7*'General assumptions'!$D$10/($W20)-(SUM($G$14,$G$18,$G$20,$G$15,$G$21,$G$28,-SUM($C$24:$C$26),'General assumptions'!$D$12*$V20,('General assumptions'!$D$8-'General assumptions'!$D$9)*'General assumptions'!$D$5*$V20,('General assumptions'!$D$8+'General assumptions'!$D$9)/2*'General assumptions'!$D$16*$V20,-'General assumptions'!$D$13*'General assumptions'!$D$14*($C$8+$V20))/$W20))</f>
        <v>135.32113750000002</v>
      </c>
      <c r="P5" s="51">
        <f>IF($J$3=$S$14,X$9*('General assumptions'!$D$7/'General assumptions'!$D$4)*('General assumptions'!$D$13*'General assumptions'!$D$14)/$W20-$J5-($G$28+$C$20)/$W20,$V20*'General assumptions'!$D$6*X$7*'General assumptions'!$D$10/($W20)-(SUM($G$14,$G$18,$G$20,$G$15,$G$21,$G$28,-SUM($C$24:$C$26),'General assumptions'!$D$12*$V20,('General assumptions'!$D$8-'General assumptions'!$D$9)*'General assumptions'!$D$5*$V20,('General assumptions'!$D$8+'General assumptions'!$D$9)/2*'General assumptions'!$D$16*$V20,-'General assumptions'!$D$13*'General assumptions'!$D$14*($C$8+$V20))/$W20))</f>
        <v>180.32113750000002</v>
      </c>
    </row>
    <row r="6" spans="2:24" ht="17.100000000000001" customHeight="1" thickBot="1">
      <c r="B6" s="60" t="s">
        <v>92</v>
      </c>
      <c r="C6" s="61" t="s">
        <v>59</v>
      </c>
      <c r="D6" s="60" t="s">
        <v>5</v>
      </c>
      <c r="E6" s="60" t="s">
        <v>60</v>
      </c>
      <c r="F6" s="61" t="s">
        <v>59</v>
      </c>
      <c r="G6" s="60" t="s">
        <v>5</v>
      </c>
      <c r="J6" s="93">
        <f>IF($J$3=$S$15,$J$7*100-5&amp;"%",$J$7-50)</f>
        <v>49.678862499999994</v>
      </c>
      <c r="K6" s="51">
        <f>IF($J$3=$S$14,S$9*('General assumptions'!$D$7/'General assumptions'!$D$4)*('General assumptions'!$D$13*'General assumptions'!$D$14)/$W21-$J6-($G$28+$C$20)/$W21,$V21*'General assumptions'!$D$6*S$7*'General assumptions'!$D$10/($W21)-(SUM($G$14,$G$18,$G$20,$G$15,$G$21,$G$28,-SUM($C$24:$C$26),'General assumptions'!$D$12*$V21,('General assumptions'!$D$8-'General assumptions'!$D$9)*'General assumptions'!$D$5*$V21,('General assumptions'!$D$8+'General assumptions'!$D$9)/2*'General assumptions'!$D$16*$V21,-'General assumptions'!$D$13*'General assumptions'!$D$14*($C$8+$V21))/$W21))</f>
        <v>-92.763968882978716</v>
      </c>
      <c r="L6" s="51">
        <f>IF($J$3=$S$14,T$9*('General assumptions'!$D$7/'General assumptions'!$D$4)*('General assumptions'!$D$13*'General assumptions'!$D$14)/$W21-$J6-($G$28+$C$20)/$W21,$V21*'General assumptions'!$D$6*T$7*'General assumptions'!$D$10/($W21)-(SUM($G$14,$G$18,$G$20,$G$15,$G$21,$G$28,-SUM($C$24:$C$26),'General assumptions'!$D$12*$V21,('General assumptions'!$D$8-'General assumptions'!$D$9)*'General assumptions'!$D$5*$V21,('General assumptions'!$D$8+'General assumptions'!$D$9)/2*'General assumptions'!$D$16*$V21,-'General assumptions'!$D$13*'General assumptions'!$D$14*($C$8+$V21))/$W21))</f>
        <v>-49.678862499999994</v>
      </c>
      <c r="M6" s="51">
        <f>IF($J$3=$S$14,U$9*('General assumptions'!$D$7/'General assumptions'!$D$4)*('General assumptions'!$D$13*'General assumptions'!$D$14)/$W21-$J6-($G$28+$C$20)/$W21,$V21*'General assumptions'!$D$6*U$7*'General assumptions'!$D$10/($W21)-(SUM($G$14,$G$18,$G$20,$G$15,$G$21,$G$28,-SUM($C$24:$C$26),'General assumptions'!$D$12*$V21,('General assumptions'!$D$8-'General assumptions'!$D$9)*'General assumptions'!$D$5*$V21,('General assumptions'!$D$8+'General assumptions'!$D$9)/2*'General assumptions'!$D$16*$V21,-'General assumptions'!$D$13*'General assumptions'!$D$14*($C$8+$V21))/$W21))</f>
        <v>-6.5937561170212717</v>
      </c>
      <c r="N6" s="185">
        <f>IF($J$3=$S$14,V$9*('General assumptions'!$D$7/'General assumptions'!$D$4)*('General assumptions'!$D$13*'General assumptions'!$D$14)/$W21-$J6-($G$28+$C$20)/$W21,$V21*'General assumptions'!$D$6*V$7*'General assumptions'!$D$10/($W21)-(SUM($G$14,$G$18,$G$20,$G$15,$G$21,$G$28,-SUM($C$24:$C$26),'General assumptions'!$D$12*$V21,('General assumptions'!$D$8-'General assumptions'!$D$9)*'General assumptions'!$D$5*$V21,('General assumptions'!$D$8+'General assumptions'!$D$9)/2*'General assumptions'!$D$16*$V21,-'General assumptions'!$D$13*'General assumptions'!$D$14*($C$8+$V21))/$W21))</f>
        <v>36.49135026595745</v>
      </c>
      <c r="O6" s="51">
        <f>IF($J$3=$S$14,W$9*('General assumptions'!$D$7/'General assumptions'!$D$4)*('General assumptions'!$D$13*'General assumptions'!$D$14)/$W21-$J6-($G$28+$C$20)/$W21,$V21*'General assumptions'!$D$6*W$7*'General assumptions'!$D$10/($W21)-(SUM($G$14,$G$18,$G$20,$G$15,$G$21,$G$28,-SUM($C$24:$C$26),'General assumptions'!$D$12*$V21,('General assumptions'!$D$8-'General assumptions'!$D$9)*'General assumptions'!$D$5*$V21,('General assumptions'!$D$8+'General assumptions'!$D$9)/2*'General assumptions'!$D$16*$V21,-'General assumptions'!$D$13*'General assumptions'!$D$14*($C$8+$V21))/$W21))</f>
        <v>79.576456648936173</v>
      </c>
      <c r="P6" s="51">
        <f>IF($J$3=$S$14,X$9*('General assumptions'!$D$7/'General assumptions'!$D$4)*('General assumptions'!$D$13*'General assumptions'!$D$14)/$W21-$J6-($G$28+$C$20)/$W21,$V21*'General assumptions'!$D$6*X$7*'General assumptions'!$D$10/($W21)-(SUM($G$14,$G$18,$G$20,$G$15,$G$21,$G$28,-SUM($C$24:$C$26),'General assumptions'!$D$12*$V21,('General assumptions'!$D$8-'General assumptions'!$D$9)*'General assumptions'!$D$5*$V21,('General assumptions'!$D$8+'General assumptions'!$D$9)/2*'General assumptions'!$D$16*$V21,-'General assumptions'!$D$13*'General assumptions'!$D$14*($C$8+$V21))/$W21))</f>
        <v>122.66156303191489</v>
      </c>
      <c r="T6" s="19"/>
      <c r="U6" s="19"/>
      <c r="V6" s="19" t="s">
        <v>110</v>
      </c>
      <c r="W6" s="19"/>
      <c r="X6" s="19"/>
    </row>
    <row r="7" spans="2:24" ht="17.100000000000001" customHeight="1" thickBot="1">
      <c r="B7" s="59" t="s">
        <v>61</v>
      </c>
      <c r="C7" s="28">
        <v>0</v>
      </c>
      <c r="D7" s="46" t="s">
        <v>11</v>
      </c>
      <c r="E7" s="14" t="s">
        <v>100</v>
      </c>
      <c r="F7" s="65">
        <v>47.5</v>
      </c>
      <c r="G7" s="46" t="s">
        <v>62</v>
      </c>
      <c r="J7" s="94">
        <f>IF(J3=S14,(G22-C28+C23)/(ROUNDDOWN('General assumptions'!$D$4*(1+$C$7),0)),ROUND($C$7*100,0)&amp;"%")</f>
        <v>99.678862499999994</v>
      </c>
      <c r="K7" s="51">
        <f>IF($J$3=$S$14,S$9*('General assumptions'!$D$7/'General assumptions'!$D$4)*('General assumptions'!$D$13*'General assumptions'!$D$14)/$W22-$J7-($G$28+$C$20)/$W22,$V22*'General assumptions'!$D$6*S$7*'General assumptions'!$D$10/($W22)-(SUM($G$14,$G$18,$G$20,$G$15,$G$21,$G$28,-SUM($C$24:$C$26),'General assumptions'!$D$12*$V22,('General assumptions'!$D$8-'General assumptions'!$D$9)*'General assumptions'!$D$5*$V22,('General assumptions'!$D$8+'General assumptions'!$D$9)/2*'General assumptions'!$D$16*$V22,-'General assumptions'!$D$13*'General assumptions'!$D$14*($C$8+$V22))/$W22))</f>
        <v>-140.17886249999998</v>
      </c>
      <c r="L7" s="51">
        <f>IF($J$3=$S$14,T$9*('General assumptions'!$D$7/'General assumptions'!$D$4)*('General assumptions'!$D$13*'General assumptions'!$D$14)/$W22-$J7-($G$28+$C$20)/$W22,$V22*'General assumptions'!$D$6*T$7*'General assumptions'!$D$10/($W22)-(SUM($G$14,$G$18,$G$20,$G$15,$G$21,$G$28,-SUM($C$24:$C$26),'General assumptions'!$D$12*$V22,('General assumptions'!$D$8-'General assumptions'!$D$9)*'General assumptions'!$D$5*$V22,('General assumptions'!$D$8+'General assumptions'!$D$9)/2*'General assumptions'!$D$16*$V22,-'General assumptions'!$D$13*'General assumptions'!$D$14*($C$8+$V22))/$W22))</f>
        <v>-99.678862499999994</v>
      </c>
      <c r="M7" s="183">
        <f>IF($J$3=$S$14,U$9*('General assumptions'!$D$7/'General assumptions'!$D$4)*('General assumptions'!$D$13*'General assumptions'!$D$14)/$W22-$J7-($G$28+$C$20)/$W22,$V22*'General assumptions'!$D$6*U$7*'General assumptions'!$D$10/($W22)-(SUM($G$14,$G$18,$G$20,$G$15,$G$21,$G$28,-SUM($C$24:$C$26),'General assumptions'!$D$12*$V22,('General assumptions'!$D$8-'General assumptions'!$D$9)*'General assumptions'!$D$5*$V22,('General assumptions'!$D$8+'General assumptions'!$D$9)/2*'General assumptions'!$D$16*$V22,-'General assumptions'!$D$13*'General assumptions'!$D$14*($C$8+$V22))/$W22))</f>
        <v>-59.178862499999994</v>
      </c>
      <c r="N7" s="187">
        <f>IF($J$3=$S$14,V$9*('General assumptions'!$D$7/'General assumptions'!$D$4)*('General assumptions'!$D$13*'General assumptions'!$D$14)/$W22-$J7-($G$28+$C$20)/$W22,$V22*'General assumptions'!$D$6*V$7*'General assumptions'!$D$10/($W22)-(SUM($G$14,$G$18,$G$20,$G$15,$G$21,$G$28,-SUM($C$24:$C$26),'General assumptions'!$D$12*$V22,('General assumptions'!$D$8-'General assumptions'!$D$9)*'General assumptions'!$D$5*$V22,('General assumptions'!$D$8+'General assumptions'!$D$9)/2*'General assumptions'!$D$16*$V22,-'General assumptions'!$D$13*'General assumptions'!$D$14*($C$8+$V22))/$W22))</f>
        <v>-18.678862499999994</v>
      </c>
      <c r="O7" s="184">
        <f>IF($J$3=$S$14,W$9*('General assumptions'!$D$7/'General assumptions'!$D$4)*('General assumptions'!$D$13*'General assumptions'!$D$14)/$W22-$J7-($G$28+$C$20)/$W22,$V22*'General assumptions'!$D$6*W$7*'General assumptions'!$D$10/($W22)-(SUM($G$14,$G$18,$G$20,$G$15,$G$21,$G$28,-SUM($C$24:$C$26),'General assumptions'!$D$12*$V22,('General assumptions'!$D$8-'General assumptions'!$D$9)*'General assumptions'!$D$5*$V22,('General assumptions'!$D$8+'General assumptions'!$D$9)/2*'General assumptions'!$D$16*$V22,-'General assumptions'!$D$13*'General assumptions'!$D$14*($C$8+$V22))/$W22))</f>
        <v>21.821137500000006</v>
      </c>
      <c r="P7" s="51">
        <f>IF($J$3=$S$14,X$9*('General assumptions'!$D$7/'General assumptions'!$D$4)*('General assumptions'!$D$13*'General assumptions'!$D$14)/$W22-$J7-($G$28+$C$20)/$W22,$V22*'General assumptions'!$D$6*X$7*'General assumptions'!$D$10/($W22)-(SUM($G$14,$G$18,$G$20,$G$15,$G$21,$G$28,-SUM($C$24:$C$26),'General assumptions'!$D$12*$V22,('General assumptions'!$D$8-'General assumptions'!$D$9)*'General assumptions'!$D$5*$V22,('General assumptions'!$D$8+'General assumptions'!$D$9)/2*'General assumptions'!$D$16*$V22,-'General assumptions'!$D$13*'General assumptions'!$D$14*($C$8+$V22))/$W22))</f>
        <v>62.321137500000006</v>
      </c>
      <c r="S7" s="48">
        <f>ROUND(V7*0.85,2)</f>
        <v>3.83</v>
      </c>
      <c r="T7" s="48">
        <f>ROUND(V7*0.9,2)</f>
        <v>4.05</v>
      </c>
      <c r="U7" s="48">
        <f>ROUND(V7*0.95,2)</f>
        <v>4.28</v>
      </c>
      <c r="V7" s="49">
        <f>'General assumptions'!D11</f>
        <v>4.5</v>
      </c>
      <c r="W7" s="48">
        <f>ROUND(V7/0.95,2)</f>
        <v>4.74</v>
      </c>
      <c r="X7" s="48">
        <f>ROUND(V7*1.1,2)</f>
        <v>4.95</v>
      </c>
    </row>
    <row r="8" spans="2:24" ht="17.100000000000001" customHeight="1">
      <c r="B8" s="14" t="s">
        <v>161</v>
      </c>
      <c r="C8" s="27">
        <v>30</v>
      </c>
      <c r="D8" s="46" t="s">
        <v>63</v>
      </c>
      <c r="E8" s="59" t="s">
        <v>101</v>
      </c>
      <c r="F8" s="27">
        <v>55</v>
      </c>
      <c r="G8" s="46" t="s">
        <v>41</v>
      </c>
      <c r="J8" s="93">
        <f>IF($J$3=$S$15,$J$7*100+5&amp;"%",$J$7+50)</f>
        <v>149.67886249999998</v>
      </c>
      <c r="K8" s="51">
        <f>IF($J$3=$S$14,S$9*('General assumptions'!$D$7/'General assumptions'!$D$4)*('General assumptions'!$D$13*'General assumptions'!$D$14)/$W23-$J8-($G$28+$C$20)/$W23,$V23*'General assumptions'!$D$6*S$7*'General assumptions'!$D$10/($W23)-(SUM($G$14,$G$18,$G$20,$G$15,$G$21,$G$28,-SUM($C$24:$C$26),'General assumptions'!$D$12*$V23,('General assumptions'!$D$8-'General assumptions'!$D$9)*'General assumptions'!$D$5*$V23,('General assumptions'!$D$8+'General assumptions'!$D$9)/2*'General assumptions'!$D$16*$V23,-'General assumptions'!$D$13*'General assumptions'!$D$14*($C$8+$V23))/$W23))</f>
        <v>-188.62117019230766</v>
      </c>
      <c r="L8" s="51">
        <f>IF($J$3=$S$14,T$9*('General assumptions'!$D$7/'General assumptions'!$D$4)*('General assumptions'!$D$13*'General assumptions'!$D$14)/$W23-$J8-($G$28+$C$20)/$W23,$V23*'General assumptions'!$D$6*T$7*'General assumptions'!$D$10/($W23)-(SUM($G$14,$G$18,$G$20,$G$15,$G$21,$G$28,-SUM($C$24:$C$26),'General assumptions'!$D$12*$V23,('General assumptions'!$D$8-'General assumptions'!$D$9)*'General assumptions'!$D$5*$V23,('General assumptions'!$D$8+'General assumptions'!$D$9)/2*'General assumptions'!$D$16*$V23,-'General assumptions'!$D$13*'General assumptions'!$D$14*($C$8+$V23))/$W23))</f>
        <v>-149.67886249999998</v>
      </c>
      <c r="M8" s="51">
        <f>IF($J$3=$S$14,U$9*('General assumptions'!$D$7/'General assumptions'!$D$4)*('General assumptions'!$D$13*'General assumptions'!$D$14)/$W23-$J8-($G$28+$C$20)/$W23,$V23*'General assumptions'!$D$6*U$7*'General assumptions'!$D$10/($W23)-(SUM($G$14,$G$18,$G$20,$G$15,$G$21,$G$28,-SUM($C$24:$C$26),'General assumptions'!$D$12*$V23,('General assumptions'!$D$8-'General assumptions'!$D$9)*'General assumptions'!$D$5*$V23,('General assumptions'!$D$8+'General assumptions'!$D$9)/2*'General assumptions'!$D$16*$V23,-'General assumptions'!$D$13*'General assumptions'!$D$14*($C$8+$V23))/$W23))</f>
        <v>-110.73655480769229</v>
      </c>
      <c r="N8" s="186">
        <f>IF($J$3=$S$14,V$9*('General assumptions'!$D$7/'General assumptions'!$D$4)*('General assumptions'!$D$13*'General assumptions'!$D$14)/$W23-$J8-($G$28+$C$20)/$W23,$V23*'General assumptions'!$D$6*V$7*'General assumptions'!$D$10/($W23)-(SUM($G$14,$G$18,$G$20,$G$15,$G$21,$G$28,-SUM($C$24:$C$26),'General assumptions'!$D$12*$V23,('General assumptions'!$D$8-'General assumptions'!$D$9)*'General assumptions'!$D$5*$V23,('General assumptions'!$D$8+'General assumptions'!$D$9)/2*'General assumptions'!$D$16*$V23,-'General assumptions'!$D$13*'General assumptions'!$D$14*($C$8+$V23))/$W23))</f>
        <v>-71.794247115384593</v>
      </c>
      <c r="O8" s="51">
        <f>IF($J$3=$S$14,W$9*('General assumptions'!$D$7/'General assumptions'!$D$4)*('General assumptions'!$D$13*'General assumptions'!$D$14)/$W23-$J8-($G$28+$C$20)/$W23,$V23*'General assumptions'!$D$6*W$7*'General assumptions'!$D$10/($W23)-(SUM($G$14,$G$18,$G$20,$G$15,$G$21,$G$28,-SUM($C$24:$C$26),'General assumptions'!$D$12*$V23,('General assumptions'!$D$8-'General assumptions'!$D$9)*'General assumptions'!$D$5*$V23,('General assumptions'!$D$8+'General assumptions'!$D$9)/2*'General assumptions'!$D$16*$V23,-'General assumptions'!$D$13*'General assumptions'!$D$14*($C$8+$V23))/$W23))</f>
        <v>-32.8519394230769</v>
      </c>
      <c r="P8" s="51">
        <f>IF($J$3=$S$14,X$9*('General assumptions'!$D$7/'General assumptions'!$D$4)*('General assumptions'!$D$13*'General assumptions'!$D$14)/$W23-$J8-($G$28+$C$20)/$W23,$V23*'General assumptions'!$D$6*X$7*'General assumptions'!$D$10/($W23)-(SUM($G$14,$G$18,$G$20,$G$15,$G$21,$G$28,-SUM($C$24:$C$26),'General assumptions'!$D$12*$V23,('General assumptions'!$D$8-'General assumptions'!$D$9)*'General assumptions'!$D$5*$V23,('General assumptions'!$D$8+'General assumptions'!$D$9)/2*'General assumptions'!$D$16*$V23,-'General assumptions'!$D$13*'General assumptions'!$D$14*($C$8+$V23))/$W23))</f>
        <v>6.0903682692307939</v>
      </c>
      <c r="T8" s="19"/>
      <c r="U8" s="19" t="s">
        <v>109</v>
      </c>
      <c r="V8" s="19"/>
      <c r="W8" s="19"/>
      <c r="X8" s="19"/>
    </row>
    <row r="9" spans="2:24" ht="17.100000000000001" customHeight="1">
      <c r="B9" s="29" t="s">
        <v>91</v>
      </c>
      <c r="C9" s="66">
        <v>10</v>
      </c>
      <c r="D9" s="47" t="s">
        <v>64</v>
      </c>
      <c r="E9" s="26"/>
      <c r="F9" s="26"/>
      <c r="G9" s="8"/>
      <c r="J9" s="93">
        <f>IF($J$3=$S$15,$J$7*100+10&amp;"%",$J$7+100)</f>
        <v>199.67886249999998</v>
      </c>
      <c r="K9" s="51">
        <f>IF($J$3=$S$14,S$9*('General assumptions'!$D$7/'General assumptions'!$D$4)*('General assumptions'!$D$13*'General assumptions'!$D$14)/$W24-$J9-($G$28+$C$20)/$W24,$V24*'General assumptions'!$D$6*S$7*'General assumptions'!$D$10/($W24)-(SUM($G$14,$G$18,$G$20,$G$15,$G$21,$G$28,-SUM($C$24:$C$26),'General assumptions'!$D$12*$V24,('General assumptions'!$D$8-'General assumptions'!$D$9)*'General assumptions'!$D$5*$V24,('General assumptions'!$D$8+'General assumptions'!$D$9)/2*'General assumptions'!$D$16*$V24,-'General assumptions'!$D$13*'General assumptions'!$D$14*($C$8+$V24))/$W24))</f>
        <v>-236.49704431818179</v>
      </c>
      <c r="L9" s="51">
        <f>IF($J$3=$S$14,T$9*('General assumptions'!$D$7/'General assumptions'!$D$4)*('General assumptions'!$D$13*'General assumptions'!$D$14)/$W24-$J9-($G$28+$C$20)/$W24,$V24*'General assumptions'!$D$6*T$7*'General assumptions'!$D$10/($W24)-(SUM($G$14,$G$18,$G$20,$G$15,$G$21,$G$28,-SUM($C$24:$C$26),'General assumptions'!$D$12*$V24,('General assumptions'!$D$8-'General assumptions'!$D$9)*'General assumptions'!$D$5*$V24,('General assumptions'!$D$8+'General assumptions'!$D$9)/2*'General assumptions'!$D$16*$V24,-'General assumptions'!$D$13*'General assumptions'!$D$14*($C$8+$V24))/$W24))</f>
        <v>-199.67886249999998</v>
      </c>
      <c r="M9" s="51">
        <f>IF($J$3=$S$14,U$9*('General assumptions'!$D$7/'General assumptions'!$D$4)*('General assumptions'!$D$13*'General assumptions'!$D$14)/$W24-$J9-($G$28+$C$20)/$W24,$V24*'General assumptions'!$D$6*U$7*'General assumptions'!$D$10/($W24)-(SUM($G$14,$G$18,$G$20,$G$15,$G$21,$G$28,-SUM($C$24:$C$26),'General assumptions'!$D$12*$V24,('General assumptions'!$D$8-'General assumptions'!$D$9)*'General assumptions'!$D$5*$V24,('General assumptions'!$D$8+'General assumptions'!$D$9)/2*'General assumptions'!$D$16*$V24,-'General assumptions'!$D$13*'General assumptions'!$D$14*($C$8+$V24))/$W24))</f>
        <v>-162.86068068181817</v>
      </c>
      <c r="N9" s="51">
        <f>IF($J$3=$S$14,V$9*('General assumptions'!$D$7/'General assumptions'!$D$4)*('General assumptions'!$D$13*'General assumptions'!$D$14)/$W24-$J9-($G$28+$C$20)/$W24,$V24*'General assumptions'!$D$6*V$7*'General assumptions'!$D$10/($W24)-(SUM($G$14,$G$18,$G$20,$G$15,$G$21,$G$28,-SUM($C$24:$C$26),'General assumptions'!$D$12*$V24,('General assumptions'!$D$8-'General assumptions'!$D$9)*'General assumptions'!$D$5*$V24,('General assumptions'!$D$8+'General assumptions'!$D$9)/2*'General assumptions'!$D$16*$V24,-'General assumptions'!$D$13*'General assumptions'!$D$14*($C$8+$V24))/$W24))</f>
        <v>-126.04249886363634</v>
      </c>
      <c r="O9" s="51">
        <f>IF($J$3=$S$14,W$9*('General assumptions'!$D$7/'General assumptions'!$D$4)*('General assumptions'!$D$13*'General assumptions'!$D$14)/$W24-$J9-($G$28+$C$20)/$W24,$V24*'General assumptions'!$D$6*W$7*'General assumptions'!$D$10/($W24)-(SUM($G$14,$G$18,$G$20,$G$15,$G$21,$G$28,-SUM($C$24:$C$26),'General assumptions'!$D$12*$V24,('General assumptions'!$D$8-'General assumptions'!$D$9)*'General assumptions'!$D$5*$V24,('General assumptions'!$D$8+'General assumptions'!$D$9)/2*'General assumptions'!$D$16*$V24,-'General assumptions'!$D$13*'General assumptions'!$D$14*($C$8+$V24))/$W24))</f>
        <v>-89.224317045454526</v>
      </c>
      <c r="P9" s="51">
        <f>IF($J$3=$S$14,X$9*('General assumptions'!$D$7/'General assumptions'!$D$4)*('General assumptions'!$D$13*'General assumptions'!$D$14)/$W24-$J9-($G$28+$C$20)/$W24,$V24*'General assumptions'!$D$6*X$7*'General assumptions'!$D$10/($W24)-(SUM($G$14,$G$18,$G$20,$G$15,$G$21,$G$28,-SUM($C$24:$C$26),'General assumptions'!$D$12*$V24,('General assumptions'!$D$8-'General assumptions'!$D$9)*'General assumptions'!$D$5*$V24,('General assumptions'!$D$8+'General assumptions'!$D$9)/2*'General assumptions'!$D$16*$V24,-'General assumptions'!$D$13*'General assumptions'!$D$14*($C$8+$V24))/$W24))</f>
        <v>-52.406135227272699</v>
      </c>
      <c r="S9" s="97">
        <f t="shared" ref="S9:T9" si="1">T9-5</f>
        <v>-5</v>
      </c>
      <c r="T9" s="97">
        <f t="shared" si="1"/>
        <v>0</v>
      </c>
      <c r="U9" s="97">
        <f>V9-5</f>
        <v>5</v>
      </c>
      <c r="V9" s="97">
        <f>C8*('General assumptions'!D4*(1+$C$7))/'General assumptions'!$D$7</f>
        <v>10</v>
      </c>
      <c r="W9" s="97">
        <f>V9+5</f>
        <v>15</v>
      </c>
      <c r="X9" s="97">
        <f>W9+5</f>
        <v>20</v>
      </c>
    </row>
    <row r="10" spans="2:24" ht="17.100000000000001" customHeight="1">
      <c r="G10" s="5"/>
      <c r="J10" s="95">
        <f>IF($J$3=$S$15,$J$7*100+15&amp;"%",$J$7+150)</f>
        <v>249.67886249999998</v>
      </c>
      <c r="K10" s="51">
        <f>IF($J$3=$S$14,S$9*('General assumptions'!$D$7/'General assumptions'!$D$4)*('General assumptions'!$D$13*'General assumptions'!$D$14)/$W25-$J10-($G$28+$C$20)/$W25,$V25*'General assumptions'!$D$6*S$7*'General assumptions'!$D$10/($W25)-(SUM($G$14,$G$18,$G$20,$G$15,$G$21,$G$28,-SUM($C$24:$C$26),'General assumptions'!$D$12*$V25,('General assumptions'!$D$8-'General assumptions'!$D$9)*'General assumptions'!$D$5*$V25,('General assumptions'!$D$8+'General assumptions'!$D$9)/2*'General assumptions'!$D$16*$V25,-'General assumptions'!$D$13*'General assumptions'!$D$14*($C$8+$V25))/$W25))</f>
        <v>-285.20517828947368</v>
      </c>
      <c r="L10" s="51">
        <f>IF($J$3=$S$14,T$9*('General assumptions'!$D$7/'General assumptions'!$D$4)*('General assumptions'!$D$13*'General assumptions'!$D$14)/$W25-$J10-($G$28+$C$20)/$W25,$V25*'General assumptions'!$D$6*T$7*'General assumptions'!$D$10/($W25)-(SUM($G$14,$G$18,$G$20,$G$15,$G$21,$G$28,-SUM($C$24:$C$26),'General assumptions'!$D$12*$V25,('General assumptions'!$D$8-'General assumptions'!$D$9)*'General assumptions'!$D$5*$V25,('General assumptions'!$D$8+'General assumptions'!$D$9)/2*'General assumptions'!$D$16*$V25,-'General assumptions'!$D$13*'General assumptions'!$D$14*($C$8+$V25))/$W25))</f>
        <v>-249.67886249999998</v>
      </c>
      <c r="M10" s="51">
        <f>IF($J$3=$S$14,U$9*('General assumptions'!$D$7/'General assumptions'!$D$4)*('General assumptions'!$D$13*'General assumptions'!$D$14)/$W25-$J10-($G$28+$C$20)/$W25,$V25*'General assumptions'!$D$6*U$7*'General assumptions'!$D$10/($W25)-(SUM($G$14,$G$18,$G$20,$G$15,$G$21,$G$28,-SUM($C$24:$C$26),'General assumptions'!$D$12*$V25,('General assumptions'!$D$8-'General assumptions'!$D$9)*'General assumptions'!$D$5*$V25,('General assumptions'!$D$8+'General assumptions'!$D$9)/2*'General assumptions'!$D$16*$V25,-'General assumptions'!$D$13*'General assumptions'!$D$14*($C$8+$V25))/$W25))</f>
        <v>-214.15254671052628</v>
      </c>
      <c r="N10" s="51">
        <f>IF($J$3=$S$14,V$9*('General assumptions'!$D$7/'General assumptions'!$D$4)*('General assumptions'!$D$13*'General assumptions'!$D$14)/$W25-$J10-($G$28+$C$20)/$W25,$V25*'General assumptions'!$D$6*V$7*'General assumptions'!$D$10/($W25)-(SUM($G$14,$G$18,$G$20,$G$15,$G$21,$G$28,-SUM($C$24:$C$26),'General assumptions'!$D$12*$V25,('General assumptions'!$D$8-'General assumptions'!$D$9)*'General assumptions'!$D$5*$V25,('General assumptions'!$D$8+'General assumptions'!$D$9)/2*'General assumptions'!$D$16*$V25,-'General assumptions'!$D$13*'General assumptions'!$D$14*($C$8+$V25))/$W25))</f>
        <v>-178.62623092105261</v>
      </c>
      <c r="O10" s="51">
        <f>IF($J$3=$S$14,W$9*('General assumptions'!$D$7/'General assumptions'!$D$4)*('General assumptions'!$D$13*'General assumptions'!$D$14)/$W25-$J10-($G$28+$C$20)/$W25,$V25*'General assumptions'!$D$6*W$7*'General assumptions'!$D$10/($W25)-(SUM($G$14,$G$18,$G$20,$G$15,$G$21,$G$28,-SUM($C$24:$C$26),'General assumptions'!$D$12*$V25,('General assumptions'!$D$8-'General assumptions'!$D$9)*'General assumptions'!$D$5*$V25,('General assumptions'!$D$8+'General assumptions'!$D$9)/2*'General assumptions'!$D$16*$V25,-'General assumptions'!$D$13*'General assumptions'!$D$14*($C$8+$V25))/$W25))</f>
        <v>-143.09991513157894</v>
      </c>
      <c r="P10" s="51">
        <f>IF($J$3=$S$14,X$9*('General assumptions'!$D$7/'General assumptions'!$D$4)*('General assumptions'!$D$13*'General assumptions'!$D$14)/$W25-$J10-($G$28+$C$20)/$W25,$V25*'General assumptions'!$D$6*X$7*'General assumptions'!$D$10/($W25)-(SUM($G$14,$G$18,$G$20,$G$15,$G$21,$G$28,-SUM($C$24:$C$26),'General assumptions'!$D$12*$V25,('General assumptions'!$D$8-'General assumptions'!$D$9)*'General assumptions'!$D$5*$V25,('General assumptions'!$D$8+'General assumptions'!$D$9)/2*'General assumptions'!$D$16*$V25,-'General assumptions'!$D$13*'General assumptions'!$D$14*($C$8+$V25))/$W25))</f>
        <v>-107.57359934210524</v>
      </c>
    </row>
    <row r="11" spans="2:24" ht="17.100000000000001" customHeight="1" thickBot="1">
      <c r="B11" s="6" t="s">
        <v>65</v>
      </c>
      <c r="C11" s="6"/>
      <c r="D11" s="6"/>
      <c r="E11" s="6"/>
      <c r="F11" s="6"/>
      <c r="G11" s="6"/>
    </row>
    <row r="12" spans="2:24" ht="17.100000000000001" customHeight="1">
      <c r="B12" s="35"/>
      <c r="C12" s="36"/>
      <c r="D12" s="36"/>
      <c r="E12" s="36"/>
      <c r="F12" s="36"/>
      <c r="G12" s="37"/>
    </row>
    <row r="13" spans="2:24" ht="17.100000000000001" customHeight="1">
      <c r="B13" s="133" t="s">
        <v>66</v>
      </c>
      <c r="C13" s="61" t="s">
        <v>67</v>
      </c>
      <c r="D13" s="134"/>
      <c r="E13" s="81" t="s">
        <v>68</v>
      </c>
      <c r="F13" s="120"/>
      <c r="G13" s="135" t="s">
        <v>67</v>
      </c>
    </row>
    <row r="14" spans="2:24" ht="17.100000000000001" customHeight="1">
      <c r="B14" s="136" t="s">
        <v>160</v>
      </c>
      <c r="C14" s="137">
        <f>T25*'General assumptions'!D6*'General assumptions'!D10*'General assumptions'!D11</f>
        <v>0</v>
      </c>
      <c r="D14" s="14"/>
      <c r="E14" s="14" t="s">
        <v>107</v>
      </c>
      <c r="F14" s="14"/>
      <c r="G14" s="138">
        <f>'Fence and water system details'!H11+F7*'General assumptions'!D4*(1+$C$7)</f>
        <v>5048.5249999999996</v>
      </c>
      <c r="S14" s="20" t="s">
        <v>70</v>
      </c>
    </row>
    <row r="15" spans="2:24" ht="17.100000000000001" customHeight="1">
      <c r="B15" s="139" t="s">
        <v>88</v>
      </c>
      <c r="C15" s="140">
        <v>0</v>
      </c>
      <c r="D15" s="134"/>
      <c r="E15" s="14" t="s">
        <v>108</v>
      </c>
      <c r="F15" s="14"/>
      <c r="G15" s="138">
        <f>'Fence and water system details'!H22</f>
        <v>497.91812500000003</v>
      </c>
      <c r="L15" s="19"/>
      <c r="M15" s="19"/>
      <c r="N15" s="19"/>
      <c r="O15" s="19"/>
      <c r="P15" s="19"/>
      <c r="S15" s="20" t="s">
        <v>57</v>
      </c>
    </row>
    <row r="16" spans="2:24" ht="17.100000000000001" customHeight="1">
      <c r="B16" s="141" t="s">
        <v>71</v>
      </c>
      <c r="C16" s="140">
        <v>0</v>
      </c>
      <c r="D16" s="134"/>
      <c r="E16" s="14" t="s">
        <v>166</v>
      </c>
      <c r="F16" s="14"/>
      <c r="G16" s="138">
        <f>$T$25*('General assumptions'!D8-'General assumptions'!D9)/(1/'General assumptions'!D5)</f>
        <v>0</v>
      </c>
      <c r="L16" s="19"/>
      <c r="M16" s="19"/>
      <c r="N16" s="19"/>
      <c r="O16" s="19"/>
      <c r="P16" s="19"/>
    </row>
    <row r="17" spans="2:23" ht="17.100000000000001" customHeight="1">
      <c r="B17" s="141" t="s">
        <v>71</v>
      </c>
      <c r="C17" s="140">
        <v>0</v>
      </c>
      <c r="D17" s="134"/>
      <c r="E17" s="14" t="s">
        <v>167</v>
      </c>
      <c r="F17" s="14"/>
      <c r="G17" s="138">
        <f>'General assumptions'!D16*T25*('General assumptions'!D8+'General assumptions'!D9)/2</f>
        <v>0</v>
      </c>
      <c r="L17" s="19"/>
      <c r="M17" s="19"/>
      <c r="N17" s="19"/>
      <c r="O17" s="19"/>
      <c r="P17" s="19"/>
    </row>
    <row r="18" spans="2:23" ht="17.100000000000001" customHeight="1">
      <c r="B18" s="141" t="s">
        <v>71</v>
      </c>
      <c r="C18" s="140">
        <v>0</v>
      </c>
      <c r="D18" s="134"/>
      <c r="E18" s="14" t="s">
        <v>168</v>
      </c>
      <c r="F18" s="14"/>
      <c r="G18" s="138">
        <f>F8*'General assumptions'!D17</f>
        <v>1237.5</v>
      </c>
      <c r="L18" s="19"/>
      <c r="M18" s="19"/>
      <c r="N18" s="19"/>
      <c r="O18" s="19"/>
      <c r="P18" s="19"/>
      <c r="T18" s="19"/>
      <c r="U18" s="19"/>
      <c r="V18" s="19" t="s">
        <v>94</v>
      </c>
      <c r="W18" s="19" t="s">
        <v>95</v>
      </c>
    </row>
    <row r="19" spans="2:23" ht="17.100000000000001" customHeight="1">
      <c r="B19" s="141" t="s">
        <v>71</v>
      </c>
      <c r="C19" s="142">
        <v>0</v>
      </c>
      <c r="D19" s="134"/>
      <c r="E19" s="14" t="s">
        <v>169</v>
      </c>
      <c r="F19" s="14"/>
      <c r="G19" s="138">
        <f>'General assumptions'!D12*T25</f>
        <v>0</v>
      </c>
      <c r="J19" s="19"/>
      <c r="K19" s="19"/>
      <c r="L19" s="19"/>
      <c r="M19" s="19"/>
      <c r="N19" s="19"/>
      <c r="O19" s="19"/>
      <c r="P19" s="19"/>
      <c r="T19" s="70"/>
      <c r="U19" s="71"/>
      <c r="V19" s="68">
        <f>W19-'General assumptions'!$D$4</f>
        <v>-8</v>
      </c>
      <c r="W19" s="68">
        <f>ROUNDDOWN(('Continuous to VF'!$T$25/'General assumptions'!$D$4-0.15+1)*'General assumptions'!$D$4,0)</f>
        <v>42</v>
      </c>
    </row>
    <row r="20" spans="2:23" ht="17.100000000000001" customHeight="1">
      <c r="B20" s="143" t="s">
        <v>72</v>
      </c>
      <c r="C20" s="3">
        <f>SUM(C14:C19)</f>
        <v>0</v>
      </c>
      <c r="D20" s="134"/>
      <c r="E20" s="14" t="s">
        <v>164</v>
      </c>
      <c r="F20" s="59"/>
      <c r="G20" s="144">
        <v>500</v>
      </c>
      <c r="J20" s="19"/>
      <c r="K20" s="19"/>
      <c r="L20" s="19"/>
      <c r="M20" s="19"/>
      <c r="N20" s="19"/>
      <c r="O20" s="19"/>
      <c r="P20" s="19"/>
      <c r="T20" s="19"/>
      <c r="U20" s="19"/>
      <c r="V20" s="68">
        <f>W20-'General assumptions'!$D$4</f>
        <v>-5</v>
      </c>
      <c r="W20" s="68">
        <f>ROUNDDOWN(('Continuous to VF'!$T$25/'General assumptions'!$D$4-0.1+1)*'General assumptions'!$D$4,0)</f>
        <v>45</v>
      </c>
    </row>
    <row r="21" spans="2:23" ht="17.100000000000001" customHeight="1">
      <c r="B21" s="145"/>
      <c r="C21" s="137"/>
      <c r="D21" s="134"/>
      <c r="E21" s="146" t="s">
        <v>71</v>
      </c>
      <c r="F21" s="146"/>
      <c r="G21" s="147">
        <v>0</v>
      </c>
      <c r="J21" s="19"/>
      <c r="K21" s="19"/>
      <c r="L21" s="19"/>
      <c r="M21" s="19"/>
      <c r="N21" s="19"/>
      <c r="O21" s="19"/>
      <c r="P21" s="19"/>
      <c r="T21" s="19"/>
      <c r="U21" s="19"/>
      <c r="V21" s="68">
        <f>W21-'General assumptions'!$D$4</f>
        <v>-3</v>
      </c>
      <c r="W21" s="68">
        <f>ROUNDDOWN(('Continuous to VF'!$T$25/'General assumptions'!$D$4-0.05+1)*'General assumptions'!$D$4,0)</f>
        <v>47</v>
      </c>
    </row>
    <row r="22" spans="2:23" ht="17.100000000000001" customHeight="1">
      <c r="B22" s="133" t="s">
        <v>73</v>
      </c>
      <c r="C22" s="61" t="s">
        <v>67</v>
      </c>
      <c r="D22" s="134"/>
      <c r="E22" s="134"/>
      <c r="F22" s="148" t="s">
        <v>72</v>
      </c>
      <c r="G22" s="4">
        <f>SUM(G14:G21)</f>
        <v>7283.9431249999998</v>
      </c>
      <c r="J22" s="19"/>
      <c r="K22" s="19"/>
      <c r="L22" s="19"/>
      <c r="M22" s="19"/>
      <c r="N22" s="19"/>
      <c r="O22" s="19"/>
      <c r="P22" s="19"/>
      <c r="T22" s="70"/>
      <c r="U22" s="71"/>
      <c r="V22" s="68">
        <f>W22-'General assumptions'!$D$4</f>
        <v>0</v>
      </c>
      <c r="W22" s="69">
        <f>ROUNDDOWN('General assumptions'!$D$4+$T$25,0)</f>
        <v>50</v>
      </c>
    </row>
    <row r="23" spans="2:23" ht="17.100000000000001" customHeight="1">
      <c r="B23" s="136" t="s">
        <v>162</v>
      </c>
      <c r="C23" s="137">
        <f>(C8+V22)*'General assumptions'!D14*'General assumptions'!D13</f>
        <v>4050</v>
      </c>
      <c r="D23" s="134"/>
      <c r="E23" s="134"/>
      <c r="F23" s="148"/>
      <c r="G23" s="4"/>
      <c r="J23" s="19"/>
      <c r="K23" s="19"/>
      <c r="L23" s="19"/>
      <c r="M23" s="19"/>
      <c r="N23" s="19"/>
      <c r="O23" s="19"/>
      <c r="P23" s="19"/>
      <c r="T23" s="70"/>
      <c r="U23" s="71"/>
      <c r="V23" s="68">
        <f>W23-'General assumptions'!$D$4</f>
        <v>2</v>
      </c>
      <c r="W23" s="68">
        <f>ROUNDDOWN(('Continuous to VF'!$T$25/'General assumptions'!$D$4+1.05)*'General assumptions'!$D$4,0)</f>
        <v>52</v>
      </c>
    </row>
    <row r="24" spans="2:23" ht="17.100000000000001" customHeight="1">
      <c r="B24" s="136" t="s">
        <v>75</v>
      </c>
      <c r="C24" s="137">
        <f>C9*'General assumptions'!D7</f>
        <v>1500</v>
      </c>
      <c r="D24" s="134"/>
      <c r="E24" s="81" t="s">
        <v>74</v>
      </c>
      <c r="F24" s="120"/>
      <c r="G24" s="135" t="s">
        <v>67</v>
      </c>
      <c r="J24" s="19"/>
      <c r="K24" s="19"/>
      <c r="L24" s="19"/>
      <c r="M24" s="19"/>
      <c r="N24" s="19"/>
      <c r="O24" s="19"/>
      <c r="P24" s="19"/>
      <c r="T24" s="19"/>
      <c r="U24" s="19"/>
      <c r="V24" s="68">
        <f>W24-'General assumptions'!$D$4</f>
        <v>5</v>
      </c>
      <c r="W24" s="68">
        <f>ROUNDDOWN(('Continuous to VF'!$T$25/'General assumptions'!$D$4+1.1)*'General assumptions'!$D$4,0)</f>
        <v>55</v>
      </c>
    </row>
    <row r="25" spans="2:23" ht="17.100000000000001" customHeight="1">
      <c r="B25" s="141" t="s">
        <v>76</v>
      </c>
      <c r="C25" s="140">
        <v>800</v>
      </c>
      <c r="D25" s="14"/>
      <c r="E25" s="149" t="s">
        <v>71</v>
      </c>
      <c r="F25" s="149"/>
      <c r="G25" s="144"/>
      <c r="J25" s="19"/>
      <c r="K25" s="19"/>
      <c r="L25" s="19"/>
      <c r="M25" s="19"/>
      <c r="N25" s="19"/>
      <c r="O25" s="19"/>
      <c r="P25" s="19"/>
      <c r="T25" s="19">
        <f>ROUNDDOWN(C7*'General assumptions'!D4,0)</f>
        <v>0</v>
      </c>
      <c r="U25" s="19"/>
      <c r="V25" s="68">
        <f>W25-'General assumptions'!$D$4</f>
        <v>7</v>
      </c>
      <c r="W25" s="68">
        <f>ROUNDDOWN(('Continuous to VF'!$T$25/'General assumptions'!$D$4+1.15)*'General assumptions'!$D$4,0)</f>
        <v>57</v>
      </c>
    </row>
    <row r="26" spans="2:23" ht="17.100000000000001" customHeight="1">
      <c r="B26" s="141" t="s">
        <v>163</v>
      </c>
      <c r="C26" s="140">
        <v>0</v>
      </c>
      <c r="D26" s="134"/>
      <c r="E26" s="146" t="s">
        <v>71</v>
      </c>
      <c r="F26" s="150"/>
      <c r="G26" s="144">
        <v>0</v>
      </c>
      <c r="J26" s="19"/>
      <c r="K26" s="19"/>
      <c r="L26" s="19"/>
      <c r="M26" s="19"/>
      <c r="N26" s="19"/>
      <c r="O26" s="19"/>
      <c r="P26" s="19"/>
    </row>
    <row r="27" spans="2:23" ht="17.100000000000001" customHeight="1">
      <c r="B27" s="141" t="s">
        <v>71</v>
      </c>
      <c r="C27" s="140">
        <v>0</v>
      </c>
      <c r="D27" s="134"/>
      <c r="E27" s="27" t="s">
        <v>71</v>
      </c>
      <c r="F27" s="27"/>
      <c r="G27" s="144">
        <v>0</v>
      </c>
    </row>
    <row r="28" spans="2:23" ht="17.100000000000001" customHeight="1">
      <c r="B28" s="143" t="s">
        <v>72</v>
      </c>
      <c r="C28" s="3">
        <f>SUM(C23:C27)</f>
        <v>6350</v>
      </c>
      <c r="D28" s="151"/>
      <c r="E28" s="14"/>
      <c r="F28" s="148" t="s">
        <v>72</v>
      </c>
      <c r="G28" s="4">
        <f>SUM(G25:G27)</f>
        <v>0</v>
      </c>
    </row>
    <row r="29" spans="2:23" ht="17.100000000000001" customHeight="1" thickBot="1">
      <c r="B29" s="152"/>
      <c r="C29" s="153"/>
      <c r="D29" s="153"/>
      <c r="E29" s="153"/>
      <c r="F29" s="153"/>
      <c r="G29" s="154"/>
    </row>
    <row r="30" spans="2:23" ht="17.100000000000001" customHeight="1">
      <c r="B30" s="155" t="s">
        <v>77</v>
      </c>
      <c r="C30" s="156"/>
      <c r="D30" s="156"/>
      <c r="E30" s="156"/>
      <c r="F30" s="11" t="s">
        <v>78</v>
      </c>
      <c r="G30" s="12">
        <f>C20+C28-G22-G28</f>
        <v>-933.94312499999978</v>
      </c>
    </row>
    <row r="31" spans="2:23" ht="17.100000000000001" customHeight="1">
      <c r="B31" s="136" t="s">
        <v>79</v>
      </c>
      <c r="C31" s="14"/>
      <c r="D31" s="14"/>
      <c r="E31" s="14"/>
      <c r="F31" s="10" t="s">
        <v>144</v>
      </c>
      <c r="G31" s="13">
        <f>G30/ROUNDDOWN(('General assumptions'!D4*(1+$C$7)),0)</f>
        <v>-18.678862499999994</v>
      </c>
    </row>
    <row r="32" spans="2:23" ht="17.100000000000001" customHeight="1">
      <c r="B32" s="136"/>
      <c r="C32" s="14"/>
      <c r="D32" s="14"/>
      <c r="E32" s="14"/>
      <c r="F32" s="10" t="s">
        <v>145</v>
      </c>
      <c r="G32" s="13">
        <f>G30/'General assumptions'!D7</f>
        <v>-6.2262874999999989</v>
      </c>
    </row>
    <row r="33" spans="2:7" ht="16.5" thickBot="1">
      <c r="B33" s="157"/>
      <c r="C33" s="153"/>
      <c r="D33" s="153"/>
      <c r="E33" s="153"/>
      <c r="F33" s="38" t="s">
        <v>181</v>
      </c>
      <c r="G33" s="189">
        <f>G30/('Fence and water system details'!G11+'Fence and water system details'!G22)</f>
        <v>-3.0711710785925675E-2</v>
      </c>
    </row>
    <row r="34" spans="2:7"/>
    <row r="35" spans="2:7"/>
  </sheetData>
  <sheetProtection sheet="1" objects="1" scenarios="1"/>
  <protectedRanges>
    <protectedRange sqref="C7:C9 F7:F8 J3 B16:C19 C15 G20:G21 E21:F21 B25:C25 E25:G27 C26" name="Edit cells"/>
    <protectedRange sqref="B26" name="Grey cells"/>
  </protectedRanges>
  <mergeCells count="1">
    <mergeCell ref="B3:G3"/>
  </mergeCells>
  <conditionalFormatting sqref="G30:G33">
    <cfRule type="cellIs" dxfId="4" priority="1" operator="lessThan">
      <formula>0</formula>
    </cfRule>
  </conditionalFormatting>
  <conditionalFormatting sqref="J4:J10">
    <cfRule type="expression" dxfId="3" priority="2">
      <formula>J4&amp;"&lt;"&amp;"1"</formula>
    </cfRule>
  </conditionalFormatting>
  <dataValidations count="6">
    <dataValidation allowBlank="1" showInputMessage="1" showErrorMessage="1" promptTitle="When to change stocking rate" prompt="Virtual fence can change stocking rates in a number of ways including accessing poorly fenced areas, improving forage utilization, and strip grazing annual forages. Enter your goal for stocking rate change here, as a percent." sqref="C7" xr:uid="{3E7BBDEF-F130-4944-851F-60E8C2797978}"/>
    <dataValidation type="list" allowBlank="1" showInputMessage="1" showErrorMessage="1" sqref="J3" xr:uid="{174DB707-0225-40F7-9A16-AB7F92D499D3}">
      <formula1>$S$14:$S$16</formula1>
    </dataValidation>
    <dataValidation allowBlank="1" showInputMessage="1" showErrorMessage="1" promptTitle="What's Virtual Fence Labor?" prompt="VF labor includes all activities associated with the management of the VF system. Collar maintenance, training new animals, and managing your herd in the app are all included in this category. " sqref="F8" xr:uid="{0240B55F-7926-42B6-843A-3E7C6C376A67}"/>
    <dataValidation allowBlank="1" showInputMessage="1" showErrorMessage="1" promptTitle="Changing the hay feeding season" prompt="If Virtual Fence allows you to feed less hay or other stored forage through access to more forages or improved utilization on existing pastures, enter the number of additional grazing days you expect each year here. " sqref="C8" xr:uid="{F0987F32-9831-4DCF-8D46-66A20D57655C}"/>
    <dataValidation allowBlank="1" showInputMessage="1" showErrorMessage="1" prompt="If Virtual Fence improves manure distribution to a degree that fertilization can be reduced, enter the reduction in fertilizer expense you expect on a per acre basis. " sqref="C9" xr:uid="{399B4E82-C6C3-4859-9630-5987D9B12E4F}"/>
    <dataValidation allowBlank="1" showInputMessage="1" showErrorMessage="1" prompt="Enter the annual cost of any additional maintenance to grazing systems as a result of adopting virtual fencing. " sqref="G20" xr:uid="{5AAE2949-E023-47BA-A4F3-AD6CE6E71C74}"/>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9D456-CCEF-49A2-AB5F-367A7E2039A9}">
  <sheetPr codeName="Sheet5"/>
  <dimension ref="A1:W36"/>
  <sheetViews>
    <sheetView showGridLines="0" workbookViewId="0"/>
  </sheetViews>
  <sheetFormatPr defaultColWidth="0" defaultRowHeight="15" zeroHeight="1"/>
  <cols>
    <col min="1" max="1" width="3.140625" style="2" customWidth="1"/>
    <col min="2" max="2" width="40.28515625" style="2" customWidth="1"/>
    <col min="3" max="3" width="12.7109375" style="2" bestFit="1" customWidth="1"/>
    <col min="4" max="4" width="9.85546875" style="2" bestFit="1" customWidth="1"/>
    <col min="5" max="5" width="39.5703125" style="2" customWidth="1"/>
    <col min="6" max="6" width="16.85546875" style="2" customWidth="1"/>
    <col min="7" max="7" width="14.140625" style="2" customWidth="1"/>
    <col min="8" max="8" width="3.28515625" style="2" customWidth="1"/>
    <col min="9" max="9" width="34.7109375" style="2" customWidth="1"/>
    <col min="10" max="11" width="11.140625" style="2" bestFit="1" customWidth="1"/>
    <col min="12" max="12" width="14.140625" style="2" customWidth="1"/>
    <col min="13" max="15" width="11.140625" style="2" bestFit="1" customWidth="1"/>
    <col min="16" max="16" width="3.28515625" style="2" customWidth="1"/>
    <col min="17" max="19" width="9.140625" style="2" hidden="1" customWidth="1"/>
    <col min="20" max="20" width="9.5703125" style="2" hidden="1" customWidth="1"/>
    <col min="21" max="16384" width="9.140625" style="2" hidden="1"/>
  </cols>
  <sheetData>
    <row r="1" spans="2:23" ht="24">
      <c r="B1" s="176" t="s">
        <v>172</v>
      </c>
      <c r="C1" s="84"/>
      <c r="D1" s="85"/>
      <c r="E1" s="85"/>
      <c r="F1" s="85"/>
      <c r="G1" s="86"/>
      <c r="H1" s="1"/>
      <c r="I1" s="15" t="s">
        <v>97</v>
      </c>
      <c r="J1" s="16"/>
      <c r="K1" s="16"/>
      <c r="L1" s="16"/>
      <c r="M1" s="16"/>
      <c r="N1" s="17"/>
      <c r="O1" s="18"/>
    </row>
    <row r="2" spans="2:23" ht="17.100000000000001" customHeight="1">
      <c r="B2" s="62"/>
      <c r="C2" s="62"/>
      <c r="D2" s="62"/>
      <c r="E2" s="62"/>
      <c r="F2" s="62"/>
      <c r="G2" s="62"/>
      <c r="H2" s="1"/>
      <c r="I2" s="55" t="s">
        <v>56</v>
      </c>
      <c r="K2" s="88"/>
      <c r="L2" s="88" t="str">
        <f>IF(I3=R14,T7,U5)</f>
        <v>Weaned calf price, $ per cwt.</v>
      </c>
      <c r="N2" s="88"/>
      <c r="O2" s="88"/>
    </row>
    <row r="3" spans="2:23" ht="79.5" customHeight="1">
      <c r="B3" s="190" t="s">
        <v>180</v>
      </c>
      <c r="C3" s="190"/>
      <c r="D3" s="190"/>
      <c r="E3" s="190"/>
      <c r="F3" s="190"/>
      <c r="G3" s="190"/>
      <c r="H3" s="1"/>
      <c r="I3" s="87" t="s">
        <v>57</v>
      </c>
      <c r="J3" s="99" t="str">
        <f t="shared" ref="J3:L3" si="0">IF($I$3=$R$14,ROUND(R8,0),"$"&amp;R6*100)</f>
        <v>$383</v>
      </c>
      <c r="K3" s="99" t="str">
        <f t="shared" si="0"/>
        <v>$405</v>
      </c>
      <c r="L3" s="99" t="str">
        <f t="shared" si="0"/>
        <v>$428</v>
      </c>
      <c r="M3" s="100" t="str">
        <f>IF($I$3=$R$14,ROUND(U8,0),"$"&amp;U6*100)</f>
        <v>$450</v>
      </c>
      <c r="N3" s="99" t="str">
        <f t="shared" ref="N3:O3" si="1">IF($I$3=$R$14,ROUND(V8,0),"$"&amp;V6*100)</f>
        <v>$474</v>
      </c>
      <c r="O3" s="99" t="str">
        <f t="shared" si="1"/>
        <v>$495</v>
      </c>
    </row>
    <row r="4" spans="2:23" ht="17.100000000000001" customHeight="1">
      <c r="B4" s="63" t="s">
        <v>98</v>
      </c>
      <c r="C4" s="63"/>
      <c r="D4" s="63"/>
      <c r="E4" s="63"/>
      <c r="F4" s="63"/>
      <c r="G4" s="63"/>
      <c r="H4" s="1"/>
      <c r="I4" s="50" t="str">
        <f>IF($I$3=$R$15,$I$5*100-5&amp;"%",$I$7-150)</f>
        <v>-15%</v>
      </c>
      <c r="J4" s="51">
        <f>IF($I$3=$R$14,R$8*('General assumptions'!$D$7/'General assumptions'!$D$4)*('General assumptions'!$D$13*'General assumptions'!$D$14)/$U18-$I4-$G$30+$C$20/($U18),$T18*'General assumptions'!$D$6*J$3/100*'General assumptions'!$D$10/($U18)-(SUM($G$16,$G$19,$G$21,$G$22,$G$30,-SUM($C$25:$C$29),'General assumptions'!$D$12*$T18,('General assumptions'!$D$8-'General assumptions'!$D$9)*'General assumptions'!$D$5*$T18,('General assumptions'!$D$8+'General assumptions'!$D$9)/2*'General assumptions'!$D$16*$T18,-'General assumptions'!$D$13/2000*'General assumptions'!$D$14*$C$9*$U18)/$U18))</f>
        <v>-167.06093154761908</v>
      </c>
      <c r="K4" s="51">
        <f>IF($I$3=$R$14,S$8*('General assumptions'!$D$7/'General assumptions'!$D$4)*('General assumptions'!$D$13*'General assumptions'!$D$14)/$U18-$I4-$G$30+$C$20/($U18),$T18*'General assumptions'!$D$6*K$3/100*'General assumptions'!$D$10/($U18)-(SUM($G$16,$G$19,$G$21,$G$22,$G$30,-SUM($C$25:$C$29),'General assumptions'!$D$12*$T18,('General assumptions'!$D$8-'General assumptions'!$D$9)*'General assumptions'!$D$5*$T18,('General assumptions'!$D$8+'General assumptions'!$D$9)/2*'General assumptions'!$D$16*$T18,-'General assumptions'!$D$13/2000*'General assumptions'!$D$14*$C$9*$U18)/$U18))</f>
        <v>-189.03578869047624</v>
      </c>
      <c r="L4" s="51">
        <f>IF($I$3=$R$14,T$8*('General assumptions'!$D$7/'General assumptions'!$D$4)*('General assumptions'!$D$13*'General assumptions'!$D$14)/$U18-$I4-$G$30+$C$20/($U18),$T18*'General assumptions'!$D$6*L$3/100*'General assumptions'!$D$10/($U18)-(SUM($G$16,$G$19,$G$21,$G$22,$G$30,-SUM($C$25:$C$29),'General assumptions'!$D$12*$T18,('General assumptions'!$D$8-'General assumptions'!$D$9)*'General assumptions'!$D$5*$T18,('General assumptions'!$D$8+'General assumptions'!$D$9)/2*'General assumptions'!$D$16*$T18,-'General assumptions'!$D$13/2000*'General assumptions'!$D$14*$C$9*$U18)/$U18))</f>
        <v>-212.00950297619045</v>
      </c>
      <c r="M4" s="51">
        <f>IF($I$3=$R$14,U$8*('General assumptions'!$D$7/'General assumptions'!$D$4)*('General assumptions'!$D$13*'General assumptions'!$D$14)/$U18-$I4-$G$30+$C$20/($U18),$T18*'General assumptions'!$D$6*M$3/100*'General assumptions'!$D$10/($U18)-(SUM($G$16,$G$19,$G$21,$G$22,$G$30,-SUM($C$25:$C$29),'General assumptions'!$D$12*$T18,('General assumptions'!$D$8-'General assumptions'!$D$9)*'General assumptions'!$D$5*$T18,('General assumptions'!$D$8+'General assumptions'!$D$9)/2*'General assumptions'!$D$16*$T18,-'General assumptions'!$D$13/2000*'General assumptions'!$D$14*$C$9*$U18)/$U18))</f>
        <v>-233.98436011904755</v>
      </c>
      <c r="N4" s="51">
        <f>IF($I$3=$R$14,V$8*('General assumptions'!$D$7/'General assumptions'!$D$4)*('General assumptions'!$D$13*'General assumptions'!$D$14)/$U18-$I4-$G$30+$C$20/($U18),$T18*'General assumptions'!$D$6*N$3/100*'General assumptions'!$D$10/($U18)-(SUM($G$16,$G$19,$G$21,$G$22,$G$30,-SUM($C$25:$C$29),'General assumptions'!$D$12*$T18,('General assumptions'!$D$8-'General assumptions'!$D$9)*'General assumptions'!$D$5*$T18,('General assumptions'!$D$8+'General assumptions'!$D$9)/2*'General assumptions'!$D$16*$T18,-'General assumptions'!$D$13/2000*'General assumptions'!$D$14*$C$9*$U18)/$U18))</f>
        <v>-257.95693154761904</v>
      </c>
      <c r="O4" s="51">
        <f>IF($I$3=$R$14,W$8*('General assumptions'!$D$7/'General assumptions'!$D$4)*('General assumptions'!$D$13*'General assumptions'!$D$14)/$U18-$I4-$G$30+$C$20/($U18),$T18*'General assumptions'!$D$6*O$3/100*'General assumptions'!$D$10/($U18)-(SUM($G$16,$G$19,$G$21,$G$22,$G$30,-SUM($C$25:$C$29),'General assumptions'!$D$12*$T18,('General assumptions'!$D$8-'General assumptions'!$D$9)*'General assumptions'!$D$5*$T18,('General assumptions'!$D$8+'General assumptions'!$D$9)/2*'General assumptions'!$D$16*$T18,-'General assumptions'!$D$13/2000*'General assumptions'!$D$14*$C$9*$U18)/$U18))</f>
        <v>-278.93293154761909</v>
      </c>
    </row>
    <row r="5" spans="2:23" ht="17.100000000000001" customHeight="1">
      <c r="B5" s="63"/>
      <c r="C5" s="63"/>
      <c r="D5" s="63"/>
      <c r="E5" s="63"/>
      <c r="F5" s="63"/>
      <c r="G5" s="63"/>
      <c r="H5" s="1"/>
      <c r="I5" s="50" t="str">
        <f>IF($I$3=$R$15,$I$6*100-5&amp;"%",$I$7-100)</f>
        <v>-10%</v>
      </c>
      <c r="J5" s="51">
        <f>IF($I$3=$R$14,R$8*('General assumptions'!$D$7/'General assumptions'!$D$4)*('General assumptions'!$D$13*'General assumptions'!$D$14)/$U19-$I5-$G$30+$C$20/($U19),$T19*'General assumptions'!$D$6*J$3/100*'General assumptions'!$D$10/($U19)-(SUM($G$16,$G$19,$G$21,$G$22,$G$30,-SUM($C$25:$C$29),'General assumptions'!$D$12*$T19,('General assumptions'!$D$8-'General assumptions'!$D$9)*'General assumptions'!$D$5*$T19,('General assumptions'!$D$8+'General assumptions'!$D$9)/2*'General assumptions'!$D$16*$T19,-'General assumptions'!$D$13/2000*'General assumptions'!$D$14*$C$9*$U19)/$U19))</f>
        <v>-115.86006944444448</v>
      </c>
      <c r="K5" s="51">
        <f>IF($I$3=$R$14,S$8*('General assumptions'!$D$7/'General assumptions'!$D$4)*('General assumptions'!$D$13*'General assumptions'!$D$14)/$U19-$I5-$G$30+$C$20/($U19),$T19*'General assumptions'!$D$6*K$3/100*'General assumptions'!$D$10/($U19)-(SUM($G$16,$G$19,$G$21,$G$22,$G$30,-SUM($C$25:$C$29),'General assumptions'!$D$12*$T19,('General assumptions'!$D$8-'General assumptions'!$D$9)*'General assumptions'!$D$5*$T19,('General assumptions'!$D$8+'General assumptions'!$D$9)/2*'General assumptions'!$D$16*$T19,-'General assumptions'!$D$13/2000*'General assumptions'!$D$14*$C$9*$U19)/$U19))</f>
        <v>-128.67873611111116</v>
      </c>
      <c r="L5" s="51">
        <f>IF($I$3=$R$14,T$8*('General assumptions'!$D$7/'General assumptions'!$D$4)*('General assumptions'!$D$13*'General assumptions'!$D$14)/$U19-$I5-$G$30+$C$20/($U19),$T19*'General assumptions'!$D$6*L$3/100*'General assumptions'!$D$10/($U19)-(SUM($G$16,$G$19,$G$21,$G$22,$G$30,-SUM($C$25:$C$29),'General assumptions'!$D$12*$T19,('General assumptions'!$D$8-'General assumptions'!$D$9)*'General assumptions'!$D$5*$T19,('General assumptions'!$D$8+'General assumptions'!$D$9)/2*'General assumptions'!$D$16*$T19,-'General assumptions'!$D$13/2000*'General assumptions'!$D$14*$C$9*$U19)/$U19))</f>
        <v>-142.08006944444446</v>
      </c>
      <c r="M5" s="51">
        <f>IF($I$3=$R$14,U$8*('General assumptions'!$D$7/'General assumptions'!$D$4)*('General assumptions'!$D$13*'General assumptions'!$D$14)/$U19-$I5-$G$30+$C$20/($U19),$T19*'General assumptions'!$D$6*M$3/100*'General assumptions'!$D$10/($U19)-(SUM($G$16,$G$19,$G$21,$G$22,$G$30,-SUM($C$25:$C$29),'General assumptions'!$D$12*$T19,('General assumptions'!$D$8-'General assumptions'!$D$9)*'General assumptions'!$D$5*$T19,('General assumptions'!$D$8+'General assumptions'!$D$9)/2*'General assumptions'!$D$16*$T19,-'General assumptions'!$D$13/2000*'General assumptions'!$D$14*$C$9*$U19)/$U19))</f>
        <v>-154.89873611111113</v>
      </c>
      <c r="N5" s="51">
        <f>IF($I$3=$R$14,V$8*('General assumptions'!$D$7/'General assumptions'!$D$4)*('General assumptions'!$D$13*'General assumptions'!$D$14)/$U19-$I5-$G$30+$C$20/($U19),$T19*'General assumptions'!$D$6*N$3/100*'General assumptions'!$D$10/($U19)-(SUM($G$16,$G$19,$G$21,$G$22,$G$30,-SUM($C$25:$C$29),'General assumptions'!$D$12*$T19,('General assumptions'!$D$8-'General assumptions'!$D$9)*'General assumptions'!$D$5*$T19,('General assumptions'!$D$8+'General assumptions'!$D$9)/2*'General assumptions'!$D$16*$T19,-'General assumptions'!$D$13/2000*'General assumptions'!$D$14*$C$9*$U19)/$U19))</f>
        <v>-168.88273611111111</v>
      </c>
      <c r="O5" s="51">
        <f>IF($I$3=$R$14,W$8*('General assumptions'!$D$7/'General assumptions'!$D$4)*('General assumptions'!$D$13*'General assumptions'!$D$14)/$U19-$I5-$G$30+$C$20/($U19),$T19*'General assumptions'!$D$6*O$3/100*'General assumptions'!$D$10/($U19)-(SUM($G$16,$G$19,$G$21,$G$22,$G$30,-SUM($C$25:$C$29),'General assumptions'!$D$12*$T19,('General assumptions'!$D$8-'General assumptions'!$D$9)*'General assumptions'!$D$5*$T19,('General assumptions'!$D$8+'General assumptions'!$D$9)/2*'General assumptions'!$D$16*$T19,-'General assumptions'!$D$13/2000*'General assumptions'!$D$14*$C$9*$U19)/$U19))</f>
        <v>-181.1187361111111</v>
      </c>
      <c r="S5" s="19"/>
      <c r="T5" s="19"/>
      <c r="U5" s="19" t="s">
        <v>110</v>
      </c>
      <c r="V5" s="19"/>
      <c r="W5" s="19"/>
    </row>
    <row r="6" spans="2:23" ht="17.100000000000001" customHeight="1" thickBot="1">
      <c r="B6" s="191" t="s">
        <v>58</v>
      </c>
      <c r="C6" s="191"/>
      <c r="D6" s="191"/>
      <c r="E6" s="191"/>
      <c r="F6" s="191"/>
      <c r="G6" s="191"/>
      <c r="H6" s="1"/>
      <c r="I6" s="50" t="str">
        <f>IF($I$3=$R$15,$I$7*100-5&amp;"%",$I$7-50)</f>
        <v>-5%</v>
      </c>
      <c r="J6" s="51">
        <f>IF($I$3=$R$14,R$8*('General assumptions'!$D$7/'General assumptions'!$D$4)*('General assumptions'!$D$13*'General assumptions'!$D$14)/$U20-$I6-$G$30+$C$20/($U20),$T20*'General assumptions'!$D$6*J$3/100*'General assumptions'!$D$10/($U20)-(SUM($G$16,$G$19,$G$21,$G$22,$G$30,-SUM($C$25:$C$29),'General assumptions'!$D$12*$T20,('General assumptions'!$D$8-'General assumptions'!$D$9)*'General assumptions'!$D$5*$T20,('General assumptions'!$D$8+'General assumptions'!$D$9)/2*'General assumptions'!$D$16*$T20,-'General assumptions'!$D$13/2000*'General assumptions'!$D$14*$C$9*$U20)/$U20))</f>
        <v>-85.357428191489362</v>
      </c>
      <c r="K6" s="51">
        <f>IF($I$3=$R$14,S$8*('General assumptions'!$D$7/'General assumptions'!$D$4)*('General assumptions'!$D$13*'General assumptions'!$D$14)/$U20-$I6-$G$30+$C$20/($U20),$T20*'General assumptions'!$D$6*K$3/100*'General assumptions'!$D$10/($U20)-(SUM($G$16,$G$19,$G$21,$G$22,$G$30,-SUM($C$25:$C$29),'General assumptions'!$D$12*$T20,('General assumptions'!$D$8-'General assumptions'!$D$9)*'General assumptions'!$D$5*$T20,('General assumptions'!$D$8+'General assumptions'!$D$9)/2*'General assumptions'!$D$16*$T20,-'General assumptions'!$D$13/2000*'General assumptions'!$D$14*$C$9*$U20)/$U20))</f>
        <v>-92.721343085106412</v>
      </c>
      <c r="L6" s="51">
        <f>IF($I$3=$R$14,T$8*('General assumptions'!$D$7/'General assumptions'!$D$4)*('General assumptions'!$D$13*'General assumptions'!$D$14)/$U20-$I6-$G$30+$C$20/($U20),$T20*'General assumptions'!$D$6*L$3/100*'General assumptions'!$D$10/($U20)-(SUM($G$16,$G$19,$G$21,$G$22,$G$30,-SUM($C$25:$C$29),'General assumptions'!$D$12*$T20,('General assumptions'!$D$8-'General assumptions'!$D$9)*'General assumptions'!$D$5*$T20,('General assumptions'!$D$8+'General assumptions'!$D$9)/2*'General assumptions'!$D$16*$T20,-'General assumptions'!$D$13/2000*'General assumptions'!$D$14*$C$9*$U20)/$U20))</f>
        <v>-100.41998138297876</v>
      </c>
      <c r="M6" s="185">
        <f>IF($I$3=$R$14,U$8*('General assumptions'!$D$7/'General assumptions'!$D$4)*('General assumptions'!$D$13*'General assumptions'!$D$14)/$U20-$I6-$G$30+$C$20/($U20),$T20*'General assumptions'!$D$6*M$3/100*'General assumptions'!$D$10/($U20)-(SUM($G$16,$G$19,$G$21,$G$22,$G$30,-SUM($C$25:$C$29),'General assumptions'!$D$12*$T20,('General assumptions'!$D$8-'General assumptions'!$D$9)*'General assumptions'!$D$5*$T20,('General assumptions'!$D$8+'General assumptions'!$D$9)/2*'General assumptions'!$D$16*$T20,-'General assumptions'!$D$13/2000*'General assumptions'!$D$14*$C$9*$U20)/$U20))</f>
        <v>-107.78389627659573</v>
      </c>
      <c r="N6" s="51">
        <f>IF($I$3=$R$14,V$8*('General assumptions'!$D$7/'General assumptions'!$D$4)*('General assumptions'!$D$13*'General assumptions'!$D$14)/$U20-$I6-$G$30+$C$20/($U20),$T20*'General assumptions'!$D$6*N$3/100*'General assumptions'!$D$10/($U20)-(SUM($G$16,$G$19,$G$21,$G$22,$G$30,-SUM($C$25:$C$29),'General assumptions'!$D$12*$T20,('General assumptions'!$D$8-'General assumptions'!$D$9)*'General assumptions'!$D$5*$T20,('General assumptions'!$D$8+'General assumptions'!$D$9)/2*'General assumptions'!$D$16*$T20,-'General assumptions'!$D$13/2000*'General assumptions'!$D$14*$C$9*$U20)/$U20))</f>
        <v>-115.8172579787234</v>
      </c>
      <c r="O6" s="51">
        <f>IF($I$3=$R$14,W$8*('General assumptions'!$D$7/'General assumptions'!$D$4)*('General assumptions'!$D$13*'General assumptions'!$D$14)/$U20-$I6-$G$30+$C$20/($U20),$T20*'General assumptions'!$D$6*O$3/100*'General assumptions'!$D$10/($U20)-(SUM($G$16,$G$19,$G$21,$G$22,$G$30,-SUM($C$25:$C$29),'General assumptions'!$D$12*$T20,('General assumptions'!$D$8-'General assumptions'!$D$9)*'General assumptions'!$D$5*$T20,('General assumptions'!$D$8+'General assumptions'!$D$9)/2*'General assumptions'!$D$16*$T20,-'General assumptions'!$D$13/2000*'General assumptions'!$D$14*$C$9*$U20)/$U20))</f>
        <v>-122.8464494680851</v>
      </c>
      <c r="R6" s="48">
        <f>ROUND(U6*0.85,2)</f>
        <v>3.83</v>
      </c>
      <c r="S6" s="48">
        <f>ROUND(U6*0.9,2)</f>
        <v>4.05</v>
      </c>
      <c r="T6" s="48">
        <f>ROUND(U6*0.95,2)</f>
        <v>4.28</v>
      </c>
      <c r="U6" s="49">
        <f>'General assumptions'!D11</f>
        <v>4.5</v>
      </c>
      <c r="V6" s="48">
        <f>ROUND(U6/0.95,2)</f>
        <v>4.74</v>
      </c>
      <c r="W6" s="48">
        <f>ROUND(U6*1.1,2)</f>
        <v>4.95</v>
      </c>
    </row>
    <row r="7" spans="2:23" ht="17.100000000000001" customHeight="1" thickBot="1">
      <c r="B7" s="60" t="s">
        <v>99</v>
      </c>
      <c r="C7" s="61" t="s">
        <v>59</v>
      </c>
      <c r="D7" s="60" t="s">
        <v>5</v>
      </c>
      <c r="E7" s="60" t="s">
        <v>99</v>
      </c>
      <c r="F7" s="64"/>
      <c r="G7" s="60" t="s">
        <v>5</v>
      </c>
      <c r="H7" s="1"/>
      <c r="I7" s="52" t="str">
        <f>IF(I3=R14,(G23-C30+C24)/('General assumptions'!$D$4*(1+$C$8)),ROUND($C$8*100,0)&amp;"%")</f>
        <v>0%</v>
      </c>
      <c r="J7" s="51">
        <f>IF($I$3=$R$14,R$8*('General assumptions'!$D$7/'General assumptions'!$D$4)*('General assumptions'!$D$13*'General assumptions'!$D$14)/$U21-$I7-$G$30+$C$20/($U21),$T21*'General assumptions'!$D$6*J$3/100*'General assumptions'!$D$10/($U21)-(SUM($G$16,$G$19,$G$21,$G$22,$G$30,-SUM($C$25:$C$29),'General assumptions'!$D$12*$T21,('General assumptions'!$D$8-'General assumptions'!$D$9)*'General assumptions'!$D$5*$T21,('General assumptions'!$D$8+'General assumptions'!$D$9)/2*'General assumptions'!$D$16*$T21,-'General assumptions'!$D$13/2000*'General assumptions'!$D$14*$C$9*$U21)/$U21))</f>
        <v>-44.178862499999994</v>
      </c>
      <c r="K7" s="51">
        <f>IF($I$3=$R$14,S$8*('General assumptions'!$D$7/'General assumptions'!$D$4)*('General assumptions'!$D$13*'General assumptions'!$D$14)/$U21-$I7-$G$30+$C$20/($U21),$T21*'General assumptions'!$D$6*K$3/100*'General assumptions'!$D$10/($U21)-(SUM($G$16,$G$19,$G$21,$G$22,$G$30,-SUM($C$25:$C$29),'General assumptions'!$D$12*$T21,('General assumptions'!$D$8-'General assumptions'!$D$9)*'General assumptions'!$D$5*$T21,('General assumptions'!$D$8+'General assumptions'!$D$9)/2*'General assumptions'!$D$16*$T21,-'General assumptions'!$D$13/2000*'General assumptions'!$D$14*$C$9*$U21)/$U21))</f>
        <v>-44.178862499999994</v>
      </c>
      <c r="L7" s="183">
        <f>IF($I$3=$R$14,T$8*('General assumptions'!$D$7/'General assumptions'!$D$4)*('General assumptions'!$D$13*'General assumptions'!$D$14)/$U21-$I7-$G$30+$C$20/($U21),$T21*'General assumptions'!$D$6*L$3/100*'General assumptions'!$D$10/($U21)-(SUM($G$16,$G$19,$G$21,$G$22,$G$30,-SUM($C$25:$C$29),'General assumptions'!$D$12*$T21,('General assumptions'!$D$8-'General assumptions'!$D$9)*'General assumptions'!$D$5*$T21,('General assumptions'!$D$8+'General assumptions'!$D$9)/2*'General assumptions'!$D$16*$T21,-'General assumptions'!$D$13/2000*'General assumptions'!$D$14*$C$9*$U21)/$U21))</f>
        <v>-44.178862499999994</v>
      </c>
      <c r="M7" s="187">
        <f>IF($I$3=$R$14,U$8*('General assumptions'!$D$7/'General assumptions'!$D$4)*('General assumptions'!$D$13*'General assumptions'!$D$14)/$U21-$I7-$G$30+$C$20/($U21),$T21*'General assumptions'!$D$6*M$3/100*'General assumptions'!$D$10/($U21)-(SUM($G$16,$G$19,$G$21,$G$22,$G$30,-SUM($C$25:$C$29),'General assumptions'!$D$12*$T21,('General assumptions'!$D$8-'General assumptions'!$D$9)*'General assumptions'!$D$5*$T21,('General assumptions'!$D$8+'General assumptions'!$D$9)/2*'General assumptions'!$D$16*$T21,-'General assumptions'!$D$13/2000*'General assumptions'!$D$14*$C$9*$U21)/$U21))</f>
        <v>-44.178862499999994</v>
      </c>
      <c r="N7" s="184">
        <f>IF($I$3=$R$14,V$8*('General assumptions'!$D$7/'General assumptions'!$D$4)*('General assumptions'!$D$13*'General assumptions'!$D$14)/$U21-$I7-$G$30+$C$20/($U21),$T21*'General assumptions'!$D$6*N$3/100*'General assumptions'!$D$10/($U21)-(SUM($G$16,$G$19,$G$21,$G$22,$G$30,-SUM($C$25:$C$29),'General assumptions'!$D$12*$T21,('General assumptions'!$D$8-'General assumptions'!$D$9)*'General assumptions'!$D$5*$T21,('General assumptions'!$D$8+'General assumptions'!$D$9)/2*'General assumptions'!$D$16*$T21,-'General assumptions'!$D$13/2000*'General assumptions'!$D$14*$C$9*$U21)/$U21))</f>
        <v>-44.178862499999994</v>
      </c>
      <c r="O7" s="51">
        <f>IF($I$3=$R$14,W$8*('General assumptions'!$D$7/'General assumptions'!$D$4)*('General assumptions'!$D$13*'General assumptions'!$D$14)/$U21-$I7-$G$30+$C$20/($U21),$T21*'General assumptions'!$D$6*O$3/100*'General assumptions'!$D$10/($U21)-(SUM($G$16,$G$19,$G$21,$G$22,$G$30,-SUM($C$25:$C$29),'General assumptions'!$D$12*$T21,('General assumptions'!$D$8-'General assumptions'!$D$9)*'General assumptions'!$D$5*$T21,('General assumptions'!$D$8+'General assumptions'!$D$9)/2*'General assumptions'!$D$16*$T21,-'General assumptions'!$D$13/2000*'General assumptions'!$D$14*$C$9*$U21)/$U21))</f>
        <v>-44.178862499999994</v>
      </c>
      <c r="S7" s="19"/>
      <c r="T7" s="19" t="s">
        <v>109</v>
      </c>
      <c r="U7" s="19"/>
      <c r="V7" s="19"/>
      <c r="W7" s="19"/>
    </row>
    <row r="8" spans="2:23" ht="17.100000000000001" customHeight="1">
      <c r="B8" s="59" t="s">
        <v>93</v>
      </c>
      <c r="C8" s="28">
        <v>0</v>
      </c>
      <c r="D8" s="46" t="s">
        <v>11</v>
      </c>
      <c r="E8" s="14" t="s">
        <v>80</v>
      </c>
      <c r="F8" s="65">
        <v>0</v>
      </c>
      <c r="G8" s="46" t="s">
        <v>81</v>
      </c>
      <c r="H8" s="1"/>
      <c r="I8" s="50" t="str">
        <f>IF($I$3=$R$15,$I$7*100+5&amp;"%",$I$7+50)</f>
        <v>5%</v>
      </c>
      <c r="J8" s="51">
        <f>IF($I$3=$R$14,R$8*('General assumptions'!$D$7/'General assumptions'!$D$4)*('General assumptions'!$D$13*'General assumptions'!$D$14)/$U22-$I8-$G$30+$C$20/($U22),$T22*'General assumptions'!$D$6*J$3/100*'General assumptions'!$D$10/($U22)-(SUM($G$16,$G$19,$G$21,$G$22,$G$30,-SUM($C$25:$C$29),'General assumptions'!$D$12*$T22,('General assumptions'!$D$8-'General assumptions'!$D$9)*'General assumptions'!$D$5*$T22,('General assumptions'!$D$8+'General assumptions'!$D$9)/2*'General assumptions'!$D$16*$T22,-'General assumptions'!$D$13/2000*'General assumptions'!$D$14*$C$9*$U22)/$U22))</f>
        <v>-19.366137019230777</v>
      </c>
      <c r="K8" s="51">
        <f>IF($I$3=$R$14,S$8*('General assumptions'!$D$7/'General assumptions'!$D$4)*('General assumptions'!$D$13*'General assumptions'!$D$14)/$U22-$I8-$G$30+$C$20/($U22),$T22*'General assumptions'!$D$6*K$3/100*'General assumptions'!$D$10/($U22)-(SUM($G$16,$G$19,$G$21,$G$22,$G$30,-SUM($C$25:$C$29),'General assumptions'!$D$12*$T22,('General assumptions'!$D$8-'General assumptions'!$D$9)*'General assumptions'!$D$5*$T22,('General assumptions'!$D$8+'General assumptions'!$D$9)/2*'General assumptions'!$D$16*$T22,-'General assumptions'!$D$13/2000*'General assumptions'!$D$14*$C$9*$U22)/$U22))</f>
        <v>-14.928906249999997</v>
      </c>
      <c r="L8" s="51">
        <f>IF($I$3=$R$14,T$8*('General assumptions'!$D$7/'General assumptions'!$D$4)*('General assumptions'!$D$13*'General assumptions'!$D$14)/$U22-$I8-$G$30+$C$20/($U22),$T22*'General assumptions'!$D$6*L$3/100*'General assumptions'!$D$10/($U22)-(SUM($G$16,$G$19,$G$21,$G$22,$G$30,-SUM($C$25:$C$29),'General assumptions'!$D$12*$T22,('General assumptions'!$D$8-'General assumptions'!$D$9)*'General assumptions'!$D$5*$T22,('General assumptions'!$D$8+'General assumptions'!$D$9)/2*'General assumptions'!$D$16*$T22,-'General assumptions'!$D$13/2000*'General assumptions'!$D$14*$C$9*$U22)/$U22))</f>
        <v>-10.289983173076934</v>
      </c>
      <c r="M8" s="186">
        <f>IF($I$3=$R$14,U$8*('General assumptions'!$D$7/'General assumptions'!$D$4)*('General assumptions'!$D$13*'General assumptions'!$D$14)/$U22-$I8-$G$30+$C$20/($U22),$T22*'General assumptions'!$D$6*M$3/100*'General assumptions'!$D$10/($U22)-(SUM($G$16,$G$19,$G$21,$G$22,$G$30,-SUM($C$25:$C$29),'General assumptions'!$D$12*$T22,('General assumptions'!$D$8-'General assumptions'!$D$9)*'General assumptions'!$D$5*$T22,('General assumptions'!$D$8+'General assumptions'!$D$9)/2*'General assumptions'!$D$16*$T22,-'General assumptions'!$D$13/2000*'General assumptions'!$D$14*$C$9*$U22)/$U22))</f>
        <v>-5.8527524038461678</v>
      </c>
      <c r="N8" s="51">
        <f>IF($I$3=$R$14,V$8*('General assumptions'!$D$7/'General assumptions'!$D$4)*('General assumptions'!$D$13*'General assumptions'!$D$14)/$U22-$I8-$G$30+$C$20/($U22),$T22*'General assumptions'!$D$6*N$3/100*'General assumptions'!$D$10/($U22)-(SUM($G$16,$G$19,$G$21,$G$22,$G$30,-SUM($C$25:$C$29),'General assumptions'!$D$12*$T22,('General assumptions'!$D$8-'General assumptions'!$D$9)*'General assumptions'!$D$5*$T22,('General assumptions'!$D$8+'General assumptions'!$D$9)/2*'General assumptions'!$D$16*$T22,-'General assumptions'!$D$13/2000*'General assumptions'!$D$14*$C$9*$U22)/$U22))</f>
        <v>-1.0121370192307779</v>
      </c>
      <c r="O8" s="51">
        <f>IF($I$3=$R$14,W$8*('General assumptions'!$D$7/'General assumptions'!$D$4)*('General assumptions'!$D$13*'General assumptions'!$D$14)/$U22-$I8-$G$30+$C$20/($U22),$T22*'General assumptions'!$D$6*O$3/100*'General assumptions'!$D$10/($U22)-(SUM($G$16,$G$19,$G$21,$G$22,$G$30,-SUM($C$25:$C$29),'General assumptions'!$D$12*$T22,('General assumptions'!$D$8-'General assumptions'!$D$9)*'General assumptions'!$D$5*$T22,('General assumptions'!$D$8+'General assumptions'!$D$9)/2*'General assumptions'!$D$16*$T22,-'General assumptions'!$D$13/2000*'General assumptions'!$D$14*$C$9*$U22)/$U22))</f>
        <v>3.2234014423077042</v>
      </c>
      <c r="R8" s="97">
        <f t="shared" ref="R8:S8" si="2">S8-5</f>
        <v>-15</v>
      </c>
      <c r="S8" s="97">
        <f t="shared" si="2"/>
        <v>-10</v>
      </c>
      <c r="T8" s="97">
        <f>U8-5</f>
        <v>-5</v>
      </c>
      <c r="U8" s="97">
        <f>C9*('General assumptions'!D4*(1+$C$8))/'General assumptions'!$D$7</f>
        <v>0</v>
      </c>
      <c r="V8" s="97">
        <f>U8+5</f>
        <v>5</v>
      </c>
      <c r="W8" s="97">
        <f>V8+5</f>
        <v>10</v>
      </c>
    </row>
    <row r="9" spans="2:23" ht="17.100000000000001" customHeight="1">
      <c r="B9" s="14" t="s">
        <v>161</v>
      </c>
      <c r="C9" s="27">
        <v>0</v>
      </c>
      <c r="D9" s="46" t="s">
        <v>63</v>
      </c>
      <c r="E9" s="14" t="s">
        <v>82</v>
      </c>
      <c r="F9" s="27">
        <v>12</v>
      </c>
      <c r="G9" s="46" t="s">
        <v>83</v>
      </c>
      <c r="H9" s="1"/>
      <c r="I9" s="50" t="str">
        <f>IF($I$3=$R$15,$I$8*100+5&amp;"%",$I$7+100)</f>
        <v>10%</v>
      </c>
      <c r="J9" s="51">
        <f>IF($I$3=$R$14,R$8*('General assumptions'!$D$7/'General assumptions'!$D$4)*('General assumptions'!$D$13*'General assumptions'!$D$14)/$U23-$I9-$G$30+$C$20/($U23),$T23*'General assumptions'!$D$6*J$3/100*'General assumptions'!$D$10/($U23)-(SUM($G$16,$G$19,$G$21,$G$22,$G$30,-SUM($C$25:$C$29),'General assumptions'!$D$12*$T23,('General assumptions'!$D$8-'General assumptions'!$D$9)*'General assumptions'!$D$5*$T23,('General assumptions'!$D$8+'General assumptions'!$D$9)/2*'General assumptions'!$D$16*$T23,-'General assumptions'!$D$13/2000*'General assumptions'!$D$14*$C$9*$U23)/$U23))</f>
        <v>14.469397727272764</v>
      </c>
      <c r="K9" s="51">
        <f>IF($I$3=$R$14,S$8*('General assumptions'!$D$7/'General assumptions'!$D$4)*('General assumptions'!$D$13*'General assumptions'!$D$14)/$U23-$I9-$G$30+$C$20/($U23),$T23*'General assumptions'!$D$6*K$3/100*'General assumptions'!$D$10/($U23)-(SUM($G$16,$G$19,$G$21,$G$22,$G$30,-SUM($C$25:$C$29),'General assumptions'!$D$12*$T23,('General assumptions'!$D$8-'General assumptions'!$D$9)*'General assumptions'!$D$5*$T23,('General assumptions'!$D$8+'General assumptions'!$D$9)/2*'General assumptions'!$D$16*$T23,-'General assumptions'!$D$13/2000*'General assumptions'!$D$14*$C$9*$U23)/$U23))</f>
        <v>24.957397727272763</v>
      </c>
      <c r="L9" s="51">
        <f>IF($I$3=$R$14,T$8*('General assumptions'!$D$7/'General assumptions'!$D$4)*('General assumptions'!$D$13*'General assumptions'!$D$14)/$U23-$I9-$G$30+$C$20/($U23),$T23*'General assumptions'!$D$6*L$3/100*'General assumptions'!$D$10/($U23)-(SUM($G$16,$G$19,$G$21,$G$22,$G$30,-SUM($C$25:$C$29),'General assumptions'!$D$12*$T23,('General assumptions'!$D$8-'General assumptions'!$D$9)*'General assumptions'!$D$5*$T23,('General assumptions'!$D$8+'General assumptions'!$D$9)/2*'General assumptions'!$D$16*$T23,-'General assumptions'!$D$13/2000*'General assumptions'!$D$14*$C$9*$U23)/$U23))</f>
        <v>35.922125000000023</v>
      </c>
      <c r="M9" s="51">
        <f>IF($I$3=$R$14,U$8*('General assumptions'!$D$7/'General assumptions'!$D$4)*('General assumptions'!$D$13*'General assumptions'!$D$14)/$U23-$I9-$G$30+$C$20/($U23),$T23*'General assumptions'!$D$6*M$3/100*'General assumptions'!$D$10/($U23)-(SUM($G$16,$G$19,$G$21,$G$22,$G$30,-SUM($C$25:$C$29),'General assumptions'!$D$12*$T23,('General assumptions'!$D$8-'General assumptions'!$D$9)*'General assumptions'!$D$5*$T23,('General assumptions'!$D$8+'General assumptions'!$D$9)/2*'General assumptions'!$D$16*$T23,-'General assumptions'!$D$13/2000*'General assumptions'!$D$14*$C$9*$U23)/$U23))</f>
        <v>46.410125000000022</v>
      </c>
      <c r="N9" s="51">
        <f>IF($I$3=$R$14,V$8*('General assumptions'!$D$7/'General assumptions'!$D$4)*('General assumptions'!$D$13*'General assumptions'!$D$14)/$U23-$I9-$G$30+$C$20/($U23),$T23*'General assumptions'!$D$6*N$3/100*'General assumptions'!$D$10/($U23)-(SUM($G$16,$G$19,$G$21,$G$22,$G$30,-SUM($C$25:$C$29),'General assumptions'!$D$12*$T23,('General assumptions'!$D$8-'General assumptions'!$D$9)*'General assumptions'!$D$5*$T23,('General assumptions'!$D$8+'General assumptions'!$D$9)/2*'General assumptions'!$D$16*$T23,-'General assumptions'!$D$13/2000*'General assumptions'!$D$14*$C$9*$U23)/$U23))</f>
        <v>57.851579545454541</v>
      </c>
      <c r="O9" s="51">
        <f>IF($I$3=$R$14,W$8*('General assumptions'!$D$7/'General assumptions'!$D$4)*('General assumptions'!$D$13*'General assumptions'!$D$14)/$U23-$I9-$G$30+$C$20/($U23),$T23*'General assumptions'!$D$6*O$3/100*'General assumptions'!$D$10/($U23)-(SUM($G$16,$G$19,$G$21,$G$22,$G$30,-SUM($C$25:$C$29),'General assumptions'!$D$12*$T23,('General assumptions'!$D$8-'General assumptions'!$D$9)*'General assumptions'!$D$5*$T23,('General assumptions'!$D$8+'General assumptions'!$D$9)/2*'General assumptions'!$D$16*$T23,-'General assumptions'!$D$13/2000*'General assumptions'!$D$14*$C$9*$U23)/$U23))</f>
        <v>67.862852272727281</v>
      </c>
    </row>
    <row r="10" spans="2:23" ht="17.100000000000001" customHeight="1">
      <c r="B10" s="14" t="s">
        <v>91</v>
      </c>
      <c r="C10" s="32">
        <v>0</v>
      </c>
      <c r="D10" s="46" t="s">
        <v>84</v>
      </c>
      <c r="E10" s="14" t="s">
        <v>100</v>
      </c>
      <c r="F10" s="65">
        <v>47.5</v>
      </c>
      <c r="G10" s="46" t="s">
        <v>62</v>
      </c>
      <c r="I10" s="53" t="str">
        <f>IF($I$3=$R$15,$I$9*100+5&amp;"%",$I$7+150)</f>
        <v>15%</v>
      </c>
      <c r="J10" s="51">
        <f>IF($I$3=$R$14,R$8*('General assumptions'!$D$7/'General assumptions'!$D$4)*('General assumptions'!$D$13*'General assumptions'!$D$14)/$U24-$I10-$G$30+$C$20/($U24),$T24*'General assumptions'!$D$6*J$3/100*'General assumptions'!$D$10/($U24)-(SUM($G$16,$G$19,$G$21,$G$22,$G$30,-SUM($C$25:$C$29),'General assumptions'!$D$12*$T24,('General assumptions'!$D$8-'General assumptions'!$D$9)*'General assumptions'!$D$5*$T24,('General assumptions'!$D$8+'General assumptions'!$D$9)/2*'General assumptions'!$D$16*$T24,-'General assumptions'!$D$13/2000*'General assumptions'!$D$14*$C$9*$U24)/$U24))</f>
        <v>35.047734649122788</v>
      </c>
      <c r="K10" s="51">
        <f>IF($I$3=$R$14,S$8*('General assumptions'!$D$7/'General assumptions'!$D$4)*('General assumptions'!$D$13*'General assumptions'!$D$14)/$U24-$I10-$G$30+$C$20/($U24),$T24*'General assumptions'!$D$6*K$3/100*'General assumptions'!$D$10/($U24)-(SUM($G$16,$G$19,$G$21,$G$22,$G$30,-SUM($C$25:$C$29),'General assumptions'!$D$12*$T24,('General assumptions'!$D$8-'General assumptions'!$D$9)*'General assumptions'!$D$5*$T24,('General assumptions'!$D$8+'General assumptions'!$D$9)/2*'General assumptions'!$D$16*$T24,-'General assumptions'!$D$13/2000*'General assumptions'!$D$14*$C$9*$U24)/$U24))</f>
        <v>49.215734649122851</v>
      </c>
      <c r="L10" s="51">
        <f>IF($I$3=$R$14,T$8*('General assumptions'!$D$7/'General assumptions'!$D$4)*('General assumptions'!$D$13*'General assumptions'!$D$14)/$U24-$I10-$G$30+$C$20/($U24),$T24*'General assumptions'!$D$6*L$3/100*'General assumptions'!$D$10/($U24)-(SUM($G$16,$G$19,$G$21,$G$22,$G$30,-SUM($C$25:$C$29),'General assumptions'!$D$12*$T24,('General assumptions'!$D$8-'General assumptions'!$D$9)*'General assumptions'!$D$5*$T24,('General assumptions'!$D$8+'General assumptions'!$D$9)/2*'General assumptions'!$D$16*$T24,-'General assumptions'!$D$13/2000*'General assumptions'!$D$14*$C$9*$U24)/$U24))</f>
        <v>64.027734649122806</v>
      </c>
      <c r="M10" s="51">
        <f>IF($I$3=$R$14,U$8*('General assumptions'!$D$7/'General assumptions'!$D$4)*('General assumptions'!$D$13*'General assumptions'!$D$14)/$U24-$I10-$G$30+$C$20/($U24),$T24*'General assumptions'!$D$6*M$3/100*'General assumptions'!$D$10/($U24)-(SUM($G$16,$G$19,$G$21,$G$22,$G$30,-SUM($C$25:$C$29),'General assumptions'!$D$12*$T24,('General assumptions'!$D$8-'General assumptions'!$D$9)*'General assumptions'!$D$5*$T24,('General assumptions'!$D$8+'General assumptions'!$D$9)/2*'General assumptions'!$D$16*$T24,-'General assumptions'!$D$13/2000*'General assumptions'!$D$14*$C$9*$U24)/$U24))</f>
        <v>78.195734649122755</v>
      </c>
      <c r="N10" s="51">
        <f>IF($I$3=$R$14,V$8*('General assumptions'!$D$7/'General assumptions'!$D$4)*('General assumptions'!$D$13*'General assumptions'!$D$14)/$U24-$I10-$G$30+$C$20/($U24),$T24*'General assumptions'!$D$6*N$3/100*'General assumptions'!$D$10/($U24)-(SUM($G$16,$G$19,$G$21,$G$22,$G$30,-SUM($C$25:$C$29),'General assumptions'!$D$12*$T24,('General assumptions'!$D$8-'General assumptions'!$D$9)*'General assumptions'!$D$5*$T24,('General assumptions'!$D$8+'General assumptions'!$D$9)/2*'General assumptions'!$D$16*$T24,-'General assumptions'!$D$13/2000*'General assumptions'!$D$14*$C$9*$U24)/$U24))</f>
        <v>93.651734649122886</v>
      </c>
      <c r="O10" s="51">
        <f>IF($I$3=$R$14,W$8*('General assumptions'!$D$7/'General assumptions'!$D$4)*('General assumptions'!$D$13*'General assumptions'!$D$14)/$U24-$I10-$G$30+$C$20/($U24),$T24*'General assumptions'!$D$6*O$3/100*'General assumptions'!$D$10/($U24)-(SUM($G$16,$G$19,$G$21,$G$22,$G$30,-SUM($C$25:$C$29),'General assumptions'!$D$12*$T24,('General assumptions'!$D$8-'General assumptions'!$D$9)*'General assumptions'!$D$5*$T24,('General assumptions'!$D$8+'General assumptions'!$D$9)/2*'General assumptions'!$D$16*$T24,-'General assumptions'!$D$13/2000*'General assumptions'!$D$14*$C$9*$U24)/$U24))</f>
        <v>107.17573464912277</v>
      </c>
    </row>
    <row r="11" spans="2:23" ht="17.100000000000001" customHeight="1">
      <c r="B11" s="29" t="s">
        <v>85</v>
      </c>
      <c r="C11" s="34">
        <v>150</v>
      </c>
      <c r="D11" s="47" t="s">
        <v>41</v>
      </c>
      <c r="E11" s="29" t="s">
        <v>86</v>
      </c>
      <c r="F11" s="34">
        <v>55</v>
      </c>
      <c r="G11" s="47" t="s">
        <v>41</v>
      </c>
      <c r="H11" s="1"/>
    </row>
    <row r="12" spans="2:23" ht="17.100000000000001" customHeight="1">
      <c r="G12" s="5"/>
      <c r="H12" s="1"/>
    </row>
    <row r="13" spans="2:23" ht="17.100000000000001" customHeight="1" thickBot="1">
      <c r="B13" s="6" t="s">
        <v>65</v>
      </c>
      <c r="C13" s="6"/>
      <c r="D13" s="6"/>
      <c r="E13" s="6"/>
      <c r="F13" s="6"/>
      <c r="G13" s="6"/>
      <c r="H13" s="1"/>
    </row>
    <row r="14" spans="2:23" ht="17.100000000000001" customHeight="1">
      <c r="B14" s="155"/>
      <c r="C14" s="158"/>
      <c r="D14" s="158"/>
      <c r="E14" s="158"/>
      <c r="F14" s="158"/>
      <c r="G14" s="159"/>
      <c r="H14" s="1"/>
      <c r="R14" s="20" t="s">
        <v>70</v>
      </c>
    </row>
    <row r="15" spans="2:23" ht="17.100000000000001" customHeight="1">
      <c r="B15" s="133" t="s">
        <v>87</v>
      </c>
      <c r="C15" s="61" t="s">
        <v>67</v>
      </c>
      <c r="D15" s="134"/>
      <c r="E15" s="81" t="s">
        <v>103</v>
      </c>
      <c r="F15" s="120"/>
      <c r="G15" s="135" t="s">
        <v>67</v>
      </c>
      <c r="H15" s="9"/>
      <c r="K15" s="45"/>
      <c r="R15" s="20" t="s">
        <v>57</v>
      </c>
    </row>
    <row r="16" spans="2:23" ht="17.100000000000001" customHeight="1">
      <c r="B16" s="136" t="s">
        <v>160</v>
      </c>
      <c r="C16" s="137">
        <f>R24*'General assumptions'!D6*'General assumptions'!D10*'General assumptions'!D11</f>
        <v>0</v>
      </c>
      <c r="D16" s="14"/>
      <c r="E16" s="14" t="s">
        <v>69</v>
      </c>
      <c r="F16" s="14"/>
      <c r="G16" s="138">
        <f>'Fence and water system details'!H11+'Fence and water system details'!H22+F10*'General assumptions'!D4*(1+$C$8)</f>
        <v>5546.4431249999998</v>
      </c>
      <c r="K16" s="45"/>
    </row>
    <row r="17" spans="2:21" ht="17.100000000000001" customHeight="1">
      <c r="B17" s="139" t="s">
        <v>88</v>
      </c>
      <c r="C17" s="140">
        <v>0</v>
      </c>
      <c r="D17" s="134"/>
      <c r="E17" s="14" t="s">
        <v>166</v>
      </c>
      <c r="F17" s="14"/>
      <c r="G17" s="138">
        <f>$R$24*('General assumptions'!D8-'General assumptions'!D9)/(1/'General assumptions'!D5)</f>
        <v>0</v>
      </c>
      <c r="T17" s="19" t="s">
        <v>94</v>
      </c>
      <c r="U17" s="19" t="s">
        <v>95</v>
      </c>
    </row>
    <row r="18" spans="2:21" ht="17.100000000000001" customHeight="1">
      <c r="B18" s="141" t="s">
        <v>71</v>
      </c>
      <c r="C18" s="140">
        <v>0</v>
      </c>
      <c r="D18" s="134"/>
      <c r="E18" s="14" t="s">
        <v>167</v>
      </c>
      <c r="F18" s="14"/>
      <c r="G18" s="138">
        <f>'General assumptions'!D16*R24*('General assumptions'!D8+'General assumptions'!D9)/2</f>
        <v>0</v>
      </c>
      <c r="R18" s="72"/>
      <c r="S18" s="73"/>
      <c r="T18" s="68">
        <f>U18-'General assumptions'!$D$4</f>
        <v>-8</v>
      </c>
      <c r="U18" s="74">
        <f>ROUNDDOWN(($R$24/'General assumptions'!$D$4-0.15+1)*'General assumptions'!$D$4,0)</f>
        <v>42</v>
      </c>
    </row>
    <row r="19" spans="2:21" ht="17.100000000000001" customHeight="1">
      <c r="B19" s="141" t="s">
        <v>71</v>
      </c>
      <c r="C19" s="140">
        <v>0</v>
      </c>
      <c r="D19" s="134"/>
      <c r="E19" s="14" t="s">
        <v>133</v>
      </c>
      <c r="F19" s="14"/>
      <c r="G19" s="138">
        <f>F11*'General assumptions'!D17</f>
        <v>1237.5</v>
      </c>
      <c r="T19" s="68">
        <f>U19-'General assumptions'!$D$4</f>
        <v>-5</v>
      </c>
      <c r="U19" s="74">
        <f>ROUNDDOWN(($R$24/'General assumptions'!$D$4-0.1+1)*'General assumptions'!$D$4,0)</f>
        <v>45</v>
      </c>
    </row>
    <row r="20" spans="2:21" ht="17.100000000000001" customHeight="1">
      <c r="B20" s="141" t="s">
        <v>71</v>
      </c>
      <c r="C20" s="142">
        <v>0</v>
      </c>
      <c r="D20" s="134"/>
      <c r="E20" s="14" t="s">
        <v>169</v>
      </c>
      <c r="F20" s="14"/>
      <c r="G20" s="138">
        <f>'General assumptions'!D12*R24</f>
        <v>0</v>
      </c>
      <c r="T20" s="68">
        <f>U20-'General assumptions'!$D$4</f>
        <v>-3</v>
      </c>
      <c r="U20" s="74">
        <f>ROUNDDOWN(($R$24/'General assumptions'!$D$4-0.05+1)*'General assumptions'!$D$4,0)</f>
        <v>47</v>
      </c>
    </row>
    <row r="21" spans="2:21" ht="17.100000000000001" customHeight="1">
      <c r="B21" s="143" t="s">
        <v>72</v>
      </c>
      <c r="C21" s="3">
        <f>SUM(C16:C20)</f>
        <v>0</v>
      </c>
      <c r="D21" s="134"/>
      <c r="E21" s="59" t="s">
        <v>170</v>
      </c>
      <c r="F21" s="59"/>
      <c r="G21" s="144">
        <v>0</v>
      </c>
      <c r="R21" s="72"/>
      <c r="S21" s="73"/>
      <c r="T21" s="68">
        <f>U21-'General assumptions'!$D$4</f>
        <v>0</v>
      </c>
      <c r="U21" s="74">
        <f>'General assumptions'!$D$4*(1+$C$8)</f>
        <v>50</v>
      </c>
    </row>
    <row r="22" spans="2:21" ht="17.100000000000001" customHeight="1">
      <c r="B22" s="136"/>
      <c r="C22" s="14"/>
      <c r="D22" s="134"/>
      <c r="E22" s="146" t="s">
        <v>71</v>
      </c>
      <c r="F22" s="146"/>
      <c r="G22" s="147">
        <v>0</v>
      </c>
      <c r="R22" s="72"/>
      <c r="S22" s="73"/>
      <c r="T22" s="68">
        <f>U22-'General assumptions'!$D$4</f>
        <v>2</v>
      </c>
      <c r="U22" s="74">
        <f>ROUNDDOWN(($R$24/'General assumptions'!$D$4+1.05)*'General assumptions'!$D$4,0)</f>
        <v>52</v>
      </c>
    </row>
    <row r="23" spans="2:21" ht="17.100000000000001" customHeight="1">
      <c r="B23" s="133" t="s">
        <v>104</v>
      </c>
      <c r="C23" s="61" t="s">
        <v>67</v>
      </c>
      <c r="D23" s="134"/>
      <c r="E23" s="134"/>
      <c r="F23" s="148" t="s">
        <v>72</v>
      </c>
      <c r="G23" s="4">
        <f>SUM(G16:G22)</f>
        <v>6783.9431249999998</v>
      </c>
      <c r="T23" s="68">
        <f>U23-'General assumptions'!$D$4</f>
        <v>5</v>
      </c>
      <c r="U23" s="74">
        <f>ROUNDDOWN(($R$24/'General assumptions'!$D$4+1.1)*'General assumptions'!$D$4,0)</f>
        <v>55</v>
      </c>
    </row>
    <row r="24" spans="2:21" ht="17.100000000000001" customHeight="1">
      <c r="B24" s="136" t="s">
        <v>162</v>
      </c>
      <c r="C24" s="137">
        <f>(C9+T21)*'General assumptions'!D14*'General assumptions'!D13</f>
        <v>0</v>
      </c>
      <c r="D24" s="134"/>
      <c r="E24" s="134"/>
      <c r="F24" s="148"/>
      <c r="G24" s="4"/>
      <c r="R24" s="2">
        <f>C8*'General assumptions'!D4</f>
        <v>0</v>
      </c>
      <c r="T24" s="68">
        <f>U24-'General assumptions'!$D$4</f>
        <v>7</v>
      </c>
      <c r="U24" s="74">
        <f>ROUNDDOWN(($R$24/'General assumptions'!$D$4+1.15)*'General assumptions'!$D$4,0)</f>
        <v>57</v>
      </c>
    </row>
    <row r="25" spans="2:21" ht="17.100000000000001" customHeight="1">
      <c r="B25" s="136" t="s">
        <v>75</v>
      </c>
      <c r="C25" s="137">
        <f>C10*'General assumptions'!D7</f>
        <v>0</v>
      </c>
      <c r="D25" s="134"/>
      <c r="E25" s="81" t="s">
        <v>105</v>
      </c>
      <c r="F25" s="120"/>
      <c r="G25" s="135" t="s">
        <v>67</v>
      </c>
    </row>
    <row r="26" spans="2:21" ht="17.100000000000001" customHeight="1">
      <c r="B26" s="136" t="s">
        <v>89</v>
      </c>
      <c r="C26" s="137">
        <f>F8/F9+F8/2*'General assumptions'!D16</f>
        <v>0</v>
      </c>
      <c r="D26" s="14"/>
      <c r="E26" s="59" t="s">
        <v>165</v>
      </c>
      <c r="F26" s="59"/>
      <c r="G26" s="160">
        <v>0</v>
      </c>
    </row>
    <row r="27" spans="2:21" ht="17.100000000000001" customHeight="1">
      <c r="B27" s="136" t="s">
        <v>173</v>
      </c>
      <c r="C27" s="137">
        <f>C11*'General assumptions'!D17</f>
        <v>3375</v>
      </c>
      <c r="D27" s="134"/>
      <c r="E27" s="146" t="s">
        <v>71</v>
      </c>
      <c r="F27" s="146"/>
      <c r="G27" s="144"/>
    </row>
    <row r="28" spans="2:21" ht="17.100000000000001" customHeight="1">
      <c r="B28" s="136" t="s">
        <v>90</v>
      </c>
      <c r="C28" s="140">
        <v>1200</v>
      </c>
      <c r="D28" s="134"/>
      <c r="E28" s="146" t="s">
        <v>71</v>
      </c>
      <c r="F28" s="146"/>
      <c r="G28" s="144">
        <v>0</v>
      </c>
    </row>
    <row r="29" spans="2:21" ht="17.100000000000001" customHeight="1">
      <c r="B29" s="141" t="s">
        <v>71</v>
      </c>
      <c r="C29" s="142">
        <v>0</v>
      </c>
      <c r="D29" s="14"/>
      <c r="E29" s="146" t="s">
        <v>71</v>
      </c>
      <c r="F29" s="146"/>
      <c r="G29" s="147">
        <v>0</v>
      </c>
    </row>
    <row r="30" spans="2:21" ht="17.100000000000001" customHeight="1">
      <c r="B30" s="143" t="s">
        <v>72</v>
      </c>
      <c r="C30" s="3">
        <f>SUM(C24:C29)</f>
        <v>4575</v>
      </c>
      <c r="D30" s="151"/>
      <c r="E30" s="14"/>
      <c r="F30" s="148" t="s">
        <v>72</v>
      </c>
      <c r="G30" s="4">
        <f>SUM(G26:G29)</f>
        <v>0</v>
      </c>
    </row>
    <row r="31" spans="2:21" ht="17.100000000000001" customHeight="1" thickBot="1">
      <c r="B31" s="152"/>
      <c r="C31" s="153"/>
      <c r="D31" s="153"/>
      <c r="E31" s="153"/>
      <c r="F31" s="153"/>
      <c r="G31" s="154"/>
    </row>
    <row r="32" spans="2:21" ht="17.100000000000001" customHeight="1">
      <c r="B32" s="155" t="s">
        <v>77</v>
      </c>
      <c r="C32" s="156"/>
      <c r="D32" s="156"/>
      <c r="E32" s="156"/>
      <c r="F32" s="11" t="s">
        <v>78</v>
      </c>
      <c r="G32" s="12">
        <f>C21+C30-G23-G30</f>
        <v>-2208.9431249999998</v>
      </c>
    </row>
    <row r="33" spans="2:7" ht="17.100000000000001" customHeight="1">
      <c r="B33" s="136" t="s">
        <v>79</v>
      </c>
      <c r="C33" s="14"/>
      <c r="D33" s="14"/>
      <c r="E33" s="14"/>
      <c r="F33" s="10" t="s">
        <v>144</v>
      </c>
      <c r="G33" s="13">
        <f>G32/('General assumptions'!D4*(1+$C$8))</f>
        <v>-44.178862499999994</v>
      </c>
    </row>
    <row r="34" spans="2:7" ht="17.100000000000001" customHeight="1">
      <c r="B34" s="136"/>
      <c r="C34" s="14"/>
      <c r="D34" s="14"/>
      <c r="E34" s="14"/>
      <c r="F34" s="10" t="s">
        <v>145</v>
      </c>
      <c r="G34" s="13">
        <f>G32/'General assumptions'!D7</f>
        <v>-14.726287499999998</v>
      </c>
    </row>
    <row r="35" spans="2:7" ht="17.100000000000001" customHeight="1" thickBot="1">
      <c r="B35" s="157"/>
      <c r="C35" s="153"/>
      <c r="D35" s="153"/>
      <c r="E35" s="153"/>
      <c r="F35" s="38" t="s">
        <v>181</v>
      </c>
      <c r="G35" s="189">
        <f>G32/('Fence and water system details'!G11+'Fence and water system details'!G22)</f>
        <v>-7.2638708484051295E-2</v>
      </c>
    </row>
    <row r="36" spans="2:7"/>
  </sheetData>
  <sheetProtection sheet="1" objects="1" scenarios="1"/>
  <mergeCells count="2">
    <mergeCell ref="B6:G6"/>
    <mergeCell ref="B3:G3"/>
  </mergeCells>
  <conditionalFormatting sqref="G32:G35">
    <cfRule type="cellIs" dxfId="2" priority="1" operator="lessThan">
      <formula>0</formula>
    </cfRule>
  </conditionalFormatting>
  <conditionalFormatting sqref="I4:I10">
    <cfRule type="expression" dxfId="1" priority="3">
      <formula>I4&amp;"&lt;"&amp;"1"</formula>
    </cfRule>
  </conditionalFormatting>
  <dataValidations count="7">
    <dataValidation allowBlank="1" showInputMessage="1" showErrorMessage="1" promptTitle="When to change stocking rate" prompt="Virtual fence can change stocking rates in a number of ways including accessing poorly fenced areas, improving forage utilization, and strip grazing annual forages. Enter your goal for stocking rate change here, as a percent." sqref="C8" xr:uid="{3FEA4F14-3330-4F46-B9FC-E71A942F9848}"/>
    <dataValidation allowBlank="1" showInputMessage="1" showErrorMessage="1" prompt="Do not enter an investment in electric fence if you already own electric fence materials for an existing management intensive grazing system. " sqref="F8" xr:uid="{DF2F6207-AEE4-470D-AA3C-CB2F17EA1AD9}"/>
    <dataValidation type="list" allowBlank="1" showInputMessage="1" showErrorMessage="1" sqref="I3" xr:uid="{9EDDEFAB-FA06-4993-91F3-A7AA8136DC06}">
      <formula1>$R$14:$R$16</formula1>
    </dataValidation>
    <dataValidation allowBlank="1" showInputMessage="1" showErrorMessage="1" prompt="If Virtual Fence improves manure distribution to a degree that fertilization can be reduced, enter the reduction in fertilizer expense you expect on a per acre basis. " sqref="C10" xr:uid="{323BFF72-B9B4-424C-9217-B661A70E91EB}"/>
    <dataValidation allowBlank="1" showInputMessage="1" showErrorMessage="1" promptTitle="Changing the hay feeding season" prompt="If Virtual Fence allows you to feed less hay or other stored forage through access to more forages or improved utilization on existing pastures, enter the number of additional grazing days you expect each year here. " sqref="C9" xr:uid="{75A8D7BF-75CB-4419-952C-BF8C139AD6D4}"/>
    <dataValidation allowBlank="1" showInputMessage="1" showErrorMessage="1" promptTitle="What's Virtual Fence Labor?" prompt="VF labor includes all activities associated with the management of the VF system. Collar maintenance, training new animals, and managing your herd in the app are all included in this category. " sqref="F11" xr:uid="{74A66A55-4D62-42B7-A9D1-D53D676372A5}"/>
    <dataValidation allowBlank="1" showInputMessage="1" showErrorMessage="1" prompt="Enter the annual cost of any additional maintenance to grazing systems as a result of adopting virtual fencing. " sqref="G21" xr:uid="{83F27F3A-C821-4ECB-B96D-38645AB1B3A9}"/>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05742-F6EF-4B99-A7A8-7C1C5492D8D1}">
  <sheetPr codeName="Sheet6"/>
  <dimension ref="A1:I24"/>
  <sheetViews>
    <sheetView showGridLines="0" tabSelected="1" topLeftCell="A6" workbookViewId="0">
      <selection activeCell="F20" sqref="F20:F22"/>
    </sheetView>
  </sheetViews>
  <sheetFormatPr defaultColWidth="0" defaultRowHeight="15" customHeight="1" zeroHeight="1"/>
  <cols>
    <col min="1" max="1" width="3.140625" style="2" customWidth="1"/>
    <col min="2" max="2" width="39.42578125" style="2" customWidth="1"/>
    <col min="3" max="3" width="8.5703125" style="2" customWidth="1"/>
    <col min="4" max="4" width="16.85546875" style="2" customWidth="1"/>
    <col min="5" max="5" width="9.140625" style="2" customWidth="1"/>
    <col min="6" max="6" width="30" style="2" customWidth="1"/>
    <col min="7" max="7" width="13.140625" style="2" customWidth="1"/>
    <col min="8" max="8" width="13" style="2" bestFit="1" customWidth="1"/>
    <col min="9" max="9" width="3.140625" style="2" customWidth="1"/>
    <col min="10" max="16384" width="9.140625" style="2" hidden="1"/>
  </cols>
  <sheetData>
    <row r="1" spans="2:8" ht="24">
      <c r="B1" s="176" t="s">
        <v>112</v>
      </c>
      <c r="C1" s="161"/>
      <c r="D1" s="101"/>
      <c r="E1" s="101"/>
      <c r="F1" s="101"/>
      <c r="G1" s="101"/>
      <c r="H1" s="101"/>
    </row>
    <row r="2" spans="2:8" ht="15.75" customHeight="1">
      <c r="B2" s="169" t="s">
        <v>129</v>
      </c>
      <c r="C2" s="167"/>
      <c r="D2" s="168"/>
      <c r="E2" s="168"/>
      <c r="F2" s="170" t="s">
        <v>130</v>
      </c>
      <c r="G2" s="168"/>
      <c r="H2" s="168"/>
    </row>
    <row r="3" spans="2:8" ht="15.75" customHeight="1">
      <c r="B3" s="162" t="s">
        <v>136</v>
      </c>
      <c r="C3" s="162"/>
      <c r="D3" s="27">
        <v>20</v>
      </c>
      <c r="E3" s="1"/>
      <c r="F3" s="162" t="s">
        <v>116</v>
      </c>
      <c r="G3" s="162"/>
      <c r="H3" s="32">
        <v>100</v>
      </c>
    </row>
    <row r="4" spans="2:8" ht="15.75" customHeight="1">
      <c r="B4" s="162" t="s">
        <v>174</v>
      </c>
      <c r="C4" s="162"/>
      <c r="D4" s="27">
        <v>30</v>
      </c>
      <c r="E4" s="1"/>
      <c r="F4" s="162" t="s">
        <v>132</v>
      </c>
      <c r="G4" s="162"/>
      <c r="H4" s="177">
        <v>1350</v>
      </c>
    </row>
    <row r="5" spans="2:8" ht="15.75" customHeight="1">
      <c r="B5" s="163" t="s">
        <v>131</v>
      </c>
      <c r="C5" s="163"/>
      <c r="D5" s="34">
        <v>120</v>
      </c>
      <c r="E5" s="1"/>
      <c r="F5" s="162" t="s">
        <v>117</v>
      </c>
      <c r="G5" s="162"/>
      <c r="H5" s="31">
        <v>0.03</v>
      </c>
    </row>
    <row r="6" spans="2:8" ht="15.75" customHeight="1">
      <c r="B6" s="14" t="s">
        <v>146</v>
      </c>
      <c r="C6" s="14"/>
      <c r="D6" s="32">
        <v>2500</v>
      </c>
      <c r="E6" s="1"/>
      <c r="F6" s="14" t="s">
        <v>118</v>
      </c>
      <c r="G6" s="164"/>
      <c r="H6" s="31">
        <v>0.15</v>
      </c>
    </row>
    <row r="7" spans="2:8" ht="15.75" customHeight="1">
      <c r="B7" s="14" t="s">
        <v>175</v>
      </c>
      <c r="C7" s="14"/>
      <c r="D7" s="129" t="s">
        <v>176</v>
      </c>
      <c r="E7" s="1"/>
      <c r="F7" s="14" t="s">
        <v>119</v>
      </c>
      <c r="G7" s="1"/>
      <c r="H7" s="27">
        <v>6</v>
      </c>
    </row>
    <row r="8" spans="2:8" ht="15.75" customHeight="1">
      <c r="B8" s="29" t="s">
        <v>147</v>
      </c>
      <c r="C8" s="29"/>
      <c r="D8" s="66">
        <v>350</v>
      </c>
      <c r="F8" s="14" t="s">
        <v>128</v>
      </c>
      <c r="G8" s="1"/>
      <c r="H8" s="32">
        <v>75</v>
      </c>
    </row>
    <row r="9" spans="2:8" ht="15.75" customHeight="1">
      <c r="C9" s="164" t="s">
        <v>137</v>
      </c>
      <c r="D9" s="10">
        <f>IFERROR(D4*D5/D3,0)</f>
        <v>180</v>
      </c>
      <c r="F9" s="29" t="s">
        <v>120</v>
      </c>
      <c r="G9" s="26"/>
      <c r="H9" s="66">
        <v>25</v>
      </c>
    </row>
    <row r="10" spans="2:8" ht="15.75">
      <c r="B10" s="164"/>
      <c r="C10" s="164"/>
      <c r="D10" s="14"/>
      <c r="G10" s="148" t="s">
        <v>121</v>
      </c>
      <c r="H10" s="165">
        <f>IFERROR((H3/2000*H4*H5/(1-H6)+H7/D4*(H9+H8)/60)*D5*D4,0)</f>
        <v>9776.4705882352937</v>
      </c>
    </row>
    <row r="11" spans="2:8" ht="15.75">
      <c r="B11" s="33" t="s">
        <v>135</v>
      </c>
      <c r="C11" s="33"/>
      <c r="D11" s="182" t="s">
        <v>64</v>
      </c>
      <c r="G11" s="148" t="s">
        <v>123</v>
      </c>
      <c r="H11" s="165">
        <f>IFERROR(H10/D4,0)</f>
        <v>325.88235294117646</v>
      </c>
    </row>
    <row r="12" spans="2:8" ht="15.75">
      <c r="B12" s="14" t="s">
        <v>139</v>
      </c>
      <c r="C12" s="14"/>
      <c r="D12" s="32">
        <v>140</v>
      </c>
      <c r="F12" s="26"/>
      <c r="G12" s="126" t="s">
        <v>124</v>
      </c>
      <c r="H12" s="166">
        <f>IFERROR(H11/D5,0)</f>
        <v>2.715686274509804</v>
      </c>
    </row>
    <row r="13" spans="2:8" ht="15.75">
      <c r="B13" s="14" t="s">
        <v>140</v>
      </c>
      <c r="C13" s="14"/>
      <c r="D13" s="32">
        <v>70</v>
      </c>
    </row>
    <row r="14" spans="2:8" ht="15.75">
      <c r="B14" s="14" t="s">
        <v>113</v>
      </c>
      <c r="C14" s="14"/>
      <c r="D14" s="32">
        <v>20</v>
      </c>
    </row>
    <row r="15" spans="2:8" ht="19.5" thickBot="1">
      <c r="B15" s="14" t="s">
        <v>141</v>
      </c>
      <c r="C15" s="14"/>
      <c r="D15" s="32">
        <v>11</v>
      </c>
      <c r="F15" s="192" t="str">
        <f>IF(D20&gt;H12,"Disadvantage","Advantage")&amp;" of grazing"</f>
        <v>Advantage of grazing</v>
      </c>
      <c r="G15" s="193"/>
    </row>
    <row r="16" spans="2:8" ht="15.75">
      <c r="B16" s="14" t="s">
        <v>142</v>
      </c>
      <c r="C16" s="14"/>
      <c r="D16" s="32">
        <v>50</v>
      </c>
      <c r="F16" s="171" t="s">
        <v>125</v>
      </c>
      <c r="G16" s="179">
        <f>H10-D18</f>
        <v>2719.4842868654314</v>
      </c>
    </row>
    <row r="17" spans="2:8" ht="15.75">
      <c r="B17" s="29" t="s">
        <v>143</v>
      </c>
      <c r="C17" s="29"/>
      <c r="D17" s="66">
        <v>15</v>
      </c>
      <c r="F17" s="171" t="s">
        <v>126</v>
      </c>
      <c r="G17" s="180">
        <f>H11-D20*D5</f>
        <v>90.649476228847703</v>
      </c>
    </row>
    <row r="18" spans="2:8" ht="15.75">
      <c r="C18" s="148" t="s">
        <v>122</v>
      </c>
      <c r="D18" s="165">
        <f>D19*D3</f>
        <v>7056.9863013698623</v>
      </c>
      <c r="F18" s="172" t="s">
        <v>127</v>
      </c>
      <c r="G18" s="181">
        <f>H12-D20</f>
        <v>0.75541230190706443</v>
      </c>
    </row>
    <row r="19" spans="2:8" ht="15.75">
      <c r="C19" s="148" t="s">
        <v>114</v>
      </c>
      <c r="D19" s="165">
        <f>SUM(D12:D17)+(D6+D8)/D3*IF(D7=F20,1,D5/365)</f>
        <v>352.84931506849313</v>
      </c>
      <c r="F19" s="173"/>
      <c r="G19" s="173"/>
      <c r="H19" s="173"/>
    </row>
    <row r="20" spans="2:8" ht="15.75">
      <c r="B20" s="26"/>
      <c r="C20" s="126" t="s">
        <v>115</v>
      </c>
      <c r="D20" s="166">
        <f>IFERROR(D19/D9,0)</f>
        <v>1.9602739726027396</v>
      </c>
      <c r="F20" s="45" t="s">
        <v>177</v>
      </c>
    </row>
    <row r="21" spans="2:8" ht="15.75">
      <c r="C21" s="148"/>
      <c r="D21" s="165"/>
      <c r="F21" s="45" t="s">
        <v>178</v>
      </c>
    </row>
    <row r="22" spans="2:8" ht="29.25" customHeight="1">
      <c r="C22" s="148"/>
      <c r="D22" s="165"/>
      <c r="E22" s="173"/>
      <c r="F22" s="188" t="s">
        <v>176</v>
      </c>
      <c r="G22" s="173"/>
      <c r="H22" s="173"/>
    </row>
    <row r="23" spans="2:8" ht="30" customHeight="1">
      <c r="B23" s="194" t="s">
        <v>138</v>
      </c>
      <c r="C23" s="194"/>
      <c r="D23" s="194"/>
      <c r="E23" s="194"/>
      <c r="F23" s="194"/>
      <c r="G23" s="194"/>
      <c r="H23" s="194"/>
    </row>
    <row r="24" spans="2:8" ht="15" customHeight="1"/>
  </sheetData>
  <sheetProtection sheet="1" objects="1" scenarios="1"/>
  <protectedRanges>
    <protectedRange sqref="D3:D8 H3:H9 D12:D17" name="Edit cells_1"/>
  </protectedRanges>
  <mergeCells count="2">
    <mergeCell ref="F15:G15"/>
    <mergeCell ref="B23:H23"/>
  </mergeCells>
  <conditionalFormatting sqref="G16:G18">
    <cfRule type="cellIs" dxfId="0" priority="1" operator="lessThan">
      <formula>0</formula>
    </cfRule>
  </conditionalFormatting>
  <dataValidations count="1">
    <dataValidation type="list" allowBlank="1" showInputMessage="1" showErrorMessage="1" sqref="D7" xr:uid="{662C93F2-D884-42DB-8B09-717276F805E4}">
      <formula1>$F$20:$F$22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E1293EDA749C499D09F25756402A22" ma:contentTypeVersion="19" ma:contentTypeDescription="Create a new document." ma:contentTypeScope="" ma:versionID="f610af42f5f35fc6cfbfb3e5795ca45d">
  <xsd:schema xmlns:xsd="http://www.w3.org/2001/XMLSchema" xmlns:xs="http://www.w3.org/2001/XMLSchema" xmlns:p="http://schemas.microsoft.com/office/2006/metadata/properties" xmlns:ns2="efba6830-88fc-4660-8252-66421c0ed606" xmlns:ns3="68029b82-de8b-4bb8-a3ab-fd0183ed5d77" targetNamespace="http://schemas.microsoft.com/office/2006/metadata/properties" ma:root="true" ma:fieldsID="b56cae5f79f0fb0f797c4f61633a70a8" ns2:_="" ns3:_="">
    <xsd:import namespace="efba6830-88fc-4660-8252-66421c0ed606"/>
    <xsd:import namespace="68029b82-de8b-4bb8-a3ab-fd0183ed5d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ba6830-88fc-4660-8252-66421c0ed6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e20e570-3a27-4eff-9ea0-d3488a33fb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8029b82-de8b-4bb8-a3ab-fd0183ed5d7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298e622-2bdb-4ed5-999f-2e6ceaea9292}" ma:internalName="TaxCatchAll" ma:showField="CatchAllData" ma:web="68029b82-de8b-4bb8-a3ab-fd0183ed5d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8029b82-de8b-4bb8-a3ab-fd0183ed5d77" xsi:nil="true"/>
    <lcf76f155ced4ddcb4097134ff3c332f xmlns="efba6830-88fc-4660-8252-66421c0ed60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DBD012-C46C-4C83-A5A8-5F6C2664A8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ba6830-88fc-4660-8252-66421c0ed606"/>
    <ds:schemaRef ds:uri="68029b82-de8b-4bb8-a3ab-fd0183ed5d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1D8A55-7B0A-4075-8745-462A41CF91C8}">
  <ds:schemaRefs>
    <ds:schemaRef ds:uri="http://schemas.microsoft.com/sharepoint/v3/contenttype/forms"/>
  </ds:schemaRefs>
</ds:datastoreItem>
</file>

<file path=customXml/itemProps3.xml><?xml version="1.0" encoding="utf-8"?>
<ds:datastoreItem xmlns:ds="http://schemas.openxmlformats.org/officeDocument/2006/customXml" ds:itemID="{10C24467-393C-4A39-A688-51D2F6079646}">
  <ds:schemaRefs>
    <ds:schemaRef ds:uri="http://www.w3.org/XML/1998/namespace"/>
    <ds:schemaRef ds:uri="http://schemas.microsoft.com/office/2006/documentManagement/types"/>
    <ds:schemaRef ds:uri="http://purl.org/dc/dcmitype/"/>
    <ds:schemaRef ds:uri="http://schemas.microsoft.com/office/infopath/2007/PartnerControls"/>
    <ds:schemaRef ds:uri="efba6830-88fc-4660-8252-66421c0ed606"/>
    <ds:schemaRef ds:uri="http://purl.org/dc/terms/"/>
    <ds:schemaRef ds:uri="http://schemas.microsoft.com/office/2006/metadata/properties"/>
    <ds:schemaRef ds:uri="68029b82-de8b-4bb8-a3ab-fd0183ed5d77"/>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General assumptions</vt:lpstr>
      <vt:lpstr>Fence and water system details</vt:lpstr>
      <vt:lpstr>Continuous to VF</vt:lpstr>
      <vt:lpstr>MiG - EF to VF</vt:lpstr>
      <vt:lpstr>Forage access evaluator</vt:lpstr>
    </vt:vector>
  </TitlesOfParts>
  <Manager/>
  <Company>University of Missouri Extension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test</dc:creator>
  <cp:keywords/>
  <dc:description/>
  <cp:lastModifiedBy>Salmons, Michael</cp:lastModifiedBy>
  <cp:revision/>
  <dcterms:created xsi:type="dcterms:W3CDTF">2016-09-29T15:43:09Z</dcterms:created>
  <dcterms:modified xsi:type="dcterms:W3CDTF">2026-08-28T18:28:27Z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0x010100C8E1293EDA749C499D09F25756402A22</vt:lpwstr>
  </property>
  <property fmtid="{D5CDD505-2E9C-101B-9397-08002B2CF9AE}" pid="3" name="MediaServiceImageTags">
    <vt:lpwstr/>
  </property>
</Properties>
</file>