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missouri-my.sharepoint.com/personal/milhollinr_umsystem_edu/Documents/Crops/Crop Budgets/2024/Industrial Hemp/"/>
    </mc:Choice>
  </mc:AlternateContent>
  <xr:revisionPtr revIDLastSave="126" documentId="8_{99ED5895-C551-4977-80A8-640C0D8131F3}" xr6:coauthVersionLast="47" xr6:coauthVersionMax="47" xr10:uidLastSave="{D2D82EFE-A646-49D1-AF50-8CC3D1F3020C}"/>
  <bookViews>
    <workbookView xWindow="28680" yWindow="-120" windowWidth="29040" windowHeight="15840" xr2:uid="{76A8302F-5F84-4534-867A-691A0754524F}"/>
  </bookViews>
  <sheets>
    <sheet name="Introduction" sheetId="17" r:id="rId1"/>
    <sheet name="Industrial Hemp for Fiber" sheetId="16" r:id="rId2"/>
    <sheet name="Equipment" sheetId="20" state="hidden" r:id="rId3"/>
    <sheet name="Custom Hire" sheetId="21" state="hidden" r:id="rId4"/>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res">#REF!</definedName>
    <definedName name="Boom_Sprayer">#REF!</definedName>
    <definedName name="Boom_Sprayer_SP">#REF!</definedName>
    <definedName name="byyield">#REF!</definedName>
    <definedName name="Chisel_Plow">#REF!</definedName>
    <definedName name="Chisel_Plow_FD">#REF!</definedName>
    <definedName name="Comb_Disk_VRipper">#REF!</definedName>
    <definedName name="Comb_Fld_Cult_Incorp">#REF!</definedName>
    <definedName name="Combine_Size">#REF!</definedName>
    <definedName name="Cornhead_Size">#REF!</definedName>
    <definedName name="crop">#REF!</definedName>
    <definedName name="cropnum">#REF!</definedName>
    <definedName name="Crops">#REF!</definedName>
    <definedName name="Cultivator">#REF!</definedName>
    <definedName name="Cultivator_HR">#REF!</definedName>
    <definedName name="CustomActivities">'Custom Hire'!$H$3:$J$53</definedName>
    <definedName name="customhire2">#REF!,#REF!</definedName>
    <definedName name="CustomImps">Table4[Activity]</definedName>
    <definedName name="Disc_Mower">#REF!</definedName>
    <definedName name="Disk">#REF!</definedName>
    <definedName name="Disk_Mower">#REF!</definedName>
    <definedName name="drying">#REF!,#REF!</definedName>
    <definedName name="Field_Cultivator">#REF!</definedName>
    <definedName name="Grain_Auger">#REF!</definedName>
    <definedName name="Graincart">#REF!</definedName>
    <definedName name="Grainhead_Size">#REF!</definedName>
    <definedName name="Harrow">#REF!</definedName>
    <definedName name="hauling">#REF!,#REF!</definedName>
    <definedName name="herbicide2">#REF!,#REF!</definedName>
    <definedName name="ImplSel" localSheetId="3">#REF!</definedName>
    <definedName name="ImplSel">Implements7[Selection]</definedName>
    <definedName name="import">#REF!</definedName>
    <definedName name="income">#REF!</definedName>
    <definedName name="insecticide2">#REF!,#REF!</definedName>
    <definedName name="Irrigation">#REF!</definedName>
    <definedName name="irrigation2">#REF!</definedName>
    <definedName name="lease_arrangement">#REF!</definedName>
    <definedName name="leasenum">#REF!</definedName>
    <definedName name="mdbvalues">#REF!,#REF!,#REF!,#REF!</definedName>
    <definedName name="Moldboard_Plow">#REF!</definedName>
    <definedName name="NoTill_Drill">#REF!</definedName>
    <definedName name="NoTill_Planter">#REF!</definedName>
    <definedName name="Passes">#REF!,#REF!,#REF!,#REF!</definedName>
    <definedName name="Planter">#REF!</definedName>
    <definedName name="postharvest">#REF!,#REF!,#REF!</definedName>
    <definedName name="power">#REF!,#REF!,#REF!,#REF!,#REF!,#REF!</definedName>
    <definedName name="Power_Size">#REF!</definedName>
    <definedName name="PowerSel" localSheetId="3">#REF!</definedName>
    <definedName name="PowerSel">Power1[HP &amp; descriptive information]</definedName>
    <definedName name="Presswheel_Drill">#REF!</definedName>
    <definedName name="Primary_Units">#REF!</definedName>
    <definedName name="primyield">#REF!</definedName>
    <definedName name="PUAlloc">#REF!</definedName>
    <definedName name="PUMiles">#REF!</definedName>
    <definedName name="rental">#REF!,#REF!,#REF!,#REF!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ller_Bar_Rake">#REF!</definedName>
    <definedName name="Round_Baler_Tie">#REF!</definedName>
    <definedName name="seed2">#REF!,#REF!,#REF!</definedName>
    <definedName name="SemiAlloc">#REF!</definedName>
    <definedName name="SemiMiles">#REF!</definedName>
    <definedName name="Silage_Wrapper">#REF!</definedName>
    <definedName name="Soybeanhead_Size">#REF!</definedName>
    <definedName name="SplitRow_Planter">#REF!</definedName>
    <definedName name="storage">#REF!,#REF!</definedName>
    <definedName name="Swather_Mower_Conditioner">#REF!</definedName>
    <definedName name="Tandem_Disk">#REF!</definedName>
    <definedName name="TenWheelAlloc">#REF!</definedName>
    <definedName name="TenWheelMiles">#REF!</definedName>
    <definedName name="VRipper">#REF!</definedName>
    <definedName name="Wheel_Rake">#REF!</definedName>
    <definedName name="wrn.all." localSheetId="3" hidden="1">{"detail",#N/A,FALSE,"Trac_Table";"tractable",#N/A,FALSE,"Trac_Table";"sensitivity",#N/A,FALSE,"Trac_Table"}</definedName>
    <definedName name="wrn.all." localSheetId="2" hidden="1">{"detail",#N/A,FALSE,"Trac_Table";"tractable",#N/A,FALSE,"Trac_Table";"sensitivity",#N/A,FALSE,"Trac_Table"}</definedName>
    <definedName name="wrn.all." hidden="1">{"detail",#N/A,FALSE,"Trac_Table";"tractable",#N/A,FALSE,"Trac_Table";"sensitivity",#N/A,FALSE,"Trac_Table"}</definedName>
    <definedName name="ww">Table4[Activity]</definedName>
    <definedName name="yiel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6" i="16" l="1"/>
  <c r="G57" i="16"/>
  <c r="G56" i="16"/>
  <c r="F56" i="16"/>
  <c r="F57" i="16"/>
  <c r="D56" i="16"/>
  <c r="D57" i="16"/>
  <c r="E57" i="16"/>
  <c r="E56" i="16"/>
  <c r="B57" i="16"/>
  <c r="B56" i="16"/>
  <c r="P50" i="21"/>
  <c r="B65" i="16"/>
  <c r="C65" i="16"/>
  <c r="D65" i="16"/>
  <c r="E65" i="16"/>
  <c r="F65" i="16"/>
  <c r="G65" i="16"/>
  <c r="H65" i="16"/>
  <c r="K35" i="20"/>
  <c r="S35" i="20"/>
  <c r="AF35" i="20" s="1"/>
  <c r="V35" i="20"/>
  <c r="AG35" i="20"/>
  <c r="H51" i="16"/>
  <c r="H50" i="16"/>
  <c r="G66" i="16"/>
  <c r="G67" i="16"/>
  <c r="G68" i="16"/>
  <c r="G69" i="16"/>
  <c r="G64" i="16"/>
  <c r="B69" i="16"/>
  <c r="B64" i="16"/>
  <c r="B66" i="16"/>
  <c r="B67" i="16"/>
  <c r="B68" i="16"/>
  <c r="B70" i="16"/>
  <c r="F12" i="16"/>
  <c r="B8" i="21" l="1"/>
  <c r="B7" i="21"/>
  <c r="B6" i="21"/>
  <c r="C8" i="21"/>
  <c r="C7" i="21"/>
  <c r="H57" i="16" s="1"/>
  <c r="C6" i="21"/>
  <c r="D55" i="16" l="1"/>
  <c r="B55" i="16"/>
  <c r="I12" i="20" l="1"/>
  <c r="H70" i="16" s="1"/>
  <c r="E55" i="16" l="1"/>
  <c r="F55" i="16"/>
  <c r="G55" i="16" s="1"/>
  <c r="E70" i="16" l="1"/>
  <c r="G71" i="16"/>
  <c r="N7" i="20"/>
  <c r="K7" i="20" s="1"/>
  <c r="N8" i="20"/>
  <c r="K8" i="20" s="1"/>
  <c r="S7" i="20"/>
  <c r="S8" i="20"/>
  <c r="V7" i="20"/>
  <c r="V8" i="20"/>
  <c r="AG7" i="20"/>
  <c r="AG8" i="20"/>
  <c r="F70" i="16"/>
  <c r="N40" i="20"/>
  <c r="K40" i="20" s="1"/>
  <c r="S40" i="20"/>
  <c r="V40" i="20"/>
  <c r="AG40" i="20"/>
  <c r="K47" i="20"/>
  <c r="S47" i="20"/>
  <c r="V47" i="20"/>
  <c r="AG47" i="20"/>
  <c r="K41" i="20"/>
  <c r="S41" i="20"/>
  <c r="V41" i="20"/>
  <c r="AG41" i="20"/>
  <c r="N51" i="20"/>
  <c r="N52" i="20"/>
  <c r="N9" i="20"/>
  <c r="K9" i="20" s="1"/>
  <c r="S9" i="20"/>
  <c r="V9" i="20"/>
  <c r="AG9" i="20"/>
  <c r="K6" i="20"/>
  <c r="S6" i="20"/>
  <c r="V6" i="20"/>
  <c r="AG6" i="20"/>
  <c r="AL18" i="20"/>
  <c r="BB18" i="20"/>
  <c r="AQ18" i="20"/>
  <c r="BA18" i="20" s="1"/>
  <c r="AG33" i="20"/>
  <c r="N33" i="20"/>
  <c r="K33" i="20" s="1"/>
  <c r="S33" i="20"/>
  <c r="V33" i="20"/>
  <c r="N38" i="20"/>
  <c r="K38" i="20" s="1"/>
  <c r="S38" i="20"/>
  <c r="V38" i="20"/>
  <c r="AG38" i="20"/>
  <c r="N61" i="20"/>
  <c r="N62" i="20"/>
  <c r="N63" i="20"/>
  <c r="N64" i="20"/>
  <c r="N66" i="20"/>
  <c r="N65" i="20"/>
  <c r="N10" i="20"/>
  <c r="N11" i="20"/>
  <c r="N12" i="20"/>
  <c r="N13" i="20"/>
  <c r="N14" i="20"/>
  <c r="N55" i="20"/>
  <c r="N56" i="20"/>
  <c r="N57" i="20"/>
  <c r="N58" i="20"/>
  <c r="K58" i="20" s="1"/>
  <c r="N59" i="20"/>
  <c r="N53" i="20"/>
  <c r="N54" i="20"/>
  <c r="N49" i="20"/>
  <c r="N50" i="20"/>
  <c r="N69" i="20"/>
  <c r="N68" i="20"/>
  <c r="N67" i="20"/>
  <c r="N48" i="20"/>
  <c r="N34" i="20"/>
  <c r="N39" i="20"/>
  <c r="N36" i="20"/>
  <c r="N37" i="20"/>
  <c r="N60" i="20"/>
  <c r="E7" i="20" l="1"/>
  <c r="AF8" i="20"/>
  <c r="AF7" i="20"/>
  <c r="AF41" i="20"/>
  <c r="AF40" i="20"/>
  <c r="AF33" i="20"/>
  <c r="AF47" i="20"/>
  <c r="AF9" i="20"/>
  <c r="AF6" i="20"/>
  <c r="AF38" i="20"/>
  <c r="AG32" i="20" l="1"/>
  <c r="V32" i="20"/>
  <c r="S32" i="20"/>
  <c r="K32" i="20"/>
  <c r="AG21" i="20"/>
  <c r="V21" i="20"/>
  <c r="S21" i="20"/>
  <c r="K21" i="20"/>
  <c r="AG23" i="20"/>
  <c r="V23" i="20"/>
  <c r="S23" i="20"/>
  <c r="K23" i="20"/>
  <c r="AG24" i="20"/>
  <c r="V24" i="20"/>
  <c r="S24" i="20"/>
  <c r="K24" i="20"/>
  <c r="AG27" i="20"/>
  <c r="V27" i="20"/>
  <c r="S27" i="20"/>
  <c r="K27" i="20"/>
  <c r="AG28" i="20"/>
  <c r="V28" i="20"/>
  <c r="S28" i="20"/>
  <c r="K28" i="20"/>
  <c r="AG22" i="20"/>
  <c r="V22" i="20"/>
  <c r="S22" i="20"/>
  <c r="K22" i="20"/>
  <c r="AG26" i="20"/>
  <c r="V26" i="20"/>
  <c r="S26" i="20"/>
  <c r="K26" i="20"/>
  <c r="AG25" i="20"/>
  <c r="V25" i="20"/>
  <c r="S25" i="20"/>
  <c r="K25" i="20"/>
  <c r="AG31" i="20"/>
  <c r="V31" i="20"/>
  <c r="S31" i="20"/>
  <c r="K31" i="20"/>
  <c r="BM49" i="20"/>
  <c r="AG30" i="20"/>
  <c r="V30" i="20"/>
  <c r="S30" i="20"/>
  <c r="K30" i="20"/>
  <c r="AG29" i="20"/>
  <c r="V29" i="20"/>
  <c r="S29" i="20"/>
  <c r="K29" i="20"/>
  <c r="BM47" i="20"/>
  <c r="AG19" i="20"/>
  <c r="V19" i="20"/>
  <c r="S19" i="20"/>
  <c r="K19" i="20"/>
  <c r="BM46" i="20"/>
  <c r="AG20" i="20"/>
  <c r="V20" i="20"/>
  <c r="S20" i="20"/>
  <c r="K20" i="20"/>
  <c r="BM45" i="20"/>
  <c r="AG18" i="20"/>
  <c r="V18" i="20"/>
  <c r="S18" i="20"/>
  <c r="K18" i="20"/>
  <c r="BM44" i="20"/>
  <c r="AG17" i="20"/>
  <c r="V17" i="20"/>
  <c r="S17" i="20"/>
  <c r="K17" i="20"/>
  <c r="BM43" i="20"/>
  <c r="AG16" i="20"/>
  <c r="V16" i="20"/>
  <c r="S16" i="20"/>
  <c r="K16" i="20"/>
  <c r="BM42" i="20"/>
  <c r="AG15" i="20"/>
  <c r="V15" i="20"/>
  <c r="S15" i="20"/>
  <c r="K15" i="20"/>
  <c r="BM41" i="20"/>
  <c r="AG43" i="20"/>
  <c r="V43" i="20"/>
  <c r="S43" i="20"/>
  <c r="K43" i="20"/>
  <c r="BM40" i="20"/>
  <c r="AG42" i="20"/>
  <c r="V42" i="20"/>
  <c r="S42" i="20"/>
  <c r="K42" i="20"/>
  <c r="BM39" i="20"/>
  <c r="AG44" i="20"/>
  <c r="V44" i="20"/>
  <c r="S44" i="20"/>
  <c r="K44" i="20"/>
  <c r="BM38" i="20"/>
  <c r="AG45" i="20"/>
  <c r="V45" i="20"/>
  <c r="S45" i="20"/>
  <c r="K45" i="20"/>
  <c r="BM37" i="20"/>
  <c r="AG46" i="20"/>
  <c r="V46" i="20"/>
  <c r="S46" i="20"/>
  <c r="K46" i="20"/>
  <c r="BM36" i="20"/>
  <c r="AG37" i="20"/>
  <c r="V37" i="20"/>
  <c r="Q37" i="20"/>
  <c r="S37" i="20" s="1"/>
  <c r="K37" i="20"/>
  <c r="BM35" i="20"/>
  <c r="AG36" i="20"/>
  <c r="V36" i="20"/>
  <c r="Q36" i="20"/>
  <c r="S36" i="20" s="1"/>
  <c r="K36" i="20"/>
  <c r="BM34" i="20"/>
  <c r="AG39" i="20"/>
  <c r="V39" i="20"/>
  <c r="S39" i="20"/>
  <c r="K39" i="20"/>
  <c r="BM33" i="20"/>
  <c r="AG34" i="20"/>
  <c r="V34" i="20"/>
  <c r="S34" i="20"/>
  <c r="K34" i="20"/>
  <c r="BM32" i="20"/>
  <c r="AG48" i="20"/>
  <c r="V48" i="20"/>
  <c r="S48" i="20"/>
  <c r="K48" i="20"/>
  <c r="BM31" i="20"/>
  <c r="AG67" i="20"/>
  <c r="V67" i="20"/>
  <c r="S67" i="20"/>
  <c r="K67" i="20"/>
  <c r="BM30" i="20"/>
  <c r="AG68" i="20"/>
  <c r="V68" i="20"/>
  <c r="S68" i="20"/>
  <c r="K68" i="20"/>
  <c r="BM29" i="20"/>
  <c r="AG69" i="20"/>
  <c r="V69" i="20"/>
  <c r="S69" i="20"/>
  <c r="K69" i="20"/>
  <c r="BM28" i="20"/>
  <c r="AG50" i="20"/>
  <c r="V50" i="20"/>
  <c r="S50" i="20"/>
  <c r="K50" i="20"/>
  <c r="BM27" i="20"/>
  <c r="AG49" i="20"/>
  <c r="V49" i="20"/>
  <c r="S49" i="20"/>
  <c r="K49" i="20"/>
  <c r="BM26" i="20"/>
  <c r="AG54" i="20"/>
  <c r="V54" i="20"/>
  <c r="S54" i="20"/>
  <c r="K54" i="20"/>
  <c r="BM25" i="20"/>
  <c r="AG53" i="20"/>
  <c r="V53" i="20"/>
  <c r="S53" i="20"/>
  <c r="K53" i="20"/>
  <c r="BM24" i="20"/>
  <c r="AG52" i="20"/>
  <c r="V52" i="20"/>
  <c r="S52" i="20"/>
  <c r="K52" i="20"/>
  <c r="BM23" i="20"/>
  <c r="AG51" i="20"/>
  <c r="V51" i="20"/>
  <c r="S51" i="20"/>
  <c r="K51" i="20"/>
  <c r="BM22" i="20"/>
  <c r="BB23" i="20"/>
  <c r="AQ23" i="20"/>
  <c r="BA23" i="20" s="1"/>
  <c r="AL23" i="20"/>
  <c r="AG59" i="20"/>
  <c r="V59" i="20"/>
  <c r="S59" i="20"/>
  <c r="K59" i="20"/>
  <c r="BM21" i="20"/>
  <c r="BB22" i="20"/>
  <c r="AQ22" i="20"/>
  <c r="BA22" i="20" s="1"/>
  <c r="AL22" i="20"/>
  <c r="AG58" i="20"/>
  <c r="V58" i="20"/>
  <c r="S58" i="20"/>
  <c r="BM20" i="20"/>
  <c r="AT21" i="20"/>
  <c r="BB21" i="20" s="1"/>
  <c r="AQ21" i="20"/>
  <c r="BA21" i="20" s="1"/>
  <c r="AL21" i="20"/>
  <c r="AG57" i="20"/>
  <c r="V57" i="20"/>
  <c r="S57" i="20"/>
  <c r="K57" i="20"/>
  <c r="BM19" i="20"/>
  <c r="BB20" i="20"/>
  <c r="AQ20" i="20"/>
  <c r="BA20" i="20" s="1"/>
  <c r="AL20" i="20"/>
  <c r="AG56" i="20"/>
  <c r="V56" i="20"/>
  <c r="S56" i="20"/>
  <c r="K56" i="20"/>
  <c r="BM18" i="20"/>
  <c r="BB19" i="20"/>
  <c r="AQ19" i="20"/>
  <c r="BA19" i="20" s="1"/>
  <c r="AL19" i="20"/>
  <c r="AG55" i="20"/>
  <c r="V55" i="20"/>
  <c r="S55" i="20"/>
  <c r="K55" i="20"/>
  <c r="BR17" i="20"/>
  <c r="BM17" i="20"/>
  <c r="BB17" i="20"/>
  <c r="AQ17" i="20"/>
  <c r="BA17" i="20" s="1"/>
  <c r="AL17" i="20"/>
  <c r="AG14" i="20"/>
  <c r="V14" i="20"/>
  <c r="S14" i="20"/>
  <c r="K14" i="20"/>
  <c r="BM16" i="20"/>
  <c r="BB16" i="20"/>
  <c r="AQ16" i="20"/>
  <c r="BA16" i="20" s="1"/>
  <c r="AL16" i="20"/>
  <c r="AG13" i="20"/>
  <c r="V13" i="20"/>
  <c r="S13" i="20"/>
  <c r="K13" i="20"/>
  <c r="BM15" i="20"/>
  <c r="BB15" i="20"/>
  <c r="AQ15" i="20"/>
  <c r="BA15" i="20" s="1"/>
  <c r="AL15" i="20"/>
  <c r="AG12" i="20"/>
  <c r="V12" i="20"/>
  <c r="S12" i="20"/>
  <c r="K12" i="20"/>
  <c r="BM14" i="20"/>
  <c r="BB14" i="20"/>
  <c r="AQ14" i="20"/>
  <c r="BA14" i="20" s="1"/>
  <c r="AL14" i="20"/>
  <c r="AG11" i="20"/>
  <c r="V11" i="20"/>
  <c r="S11" i="20"/>
  <c r="K11" i="20"/>
  <c r="BM13" i="20"/>
  <c r="BB13" i="20"/>
  <c r="AQ13" i="20"/>
  <c r="BA13" i="20" s="1"/>
  <c r="AL13" i="20"/>
  <c r="AG10" i="20"/>
  <c r="V10" i="20"/>
  <c r="S10" i="20"/>
  <c r="K10" i="20"/>
  <c r="BR12" i="20"/>
  <c r="BM12" i="20"/>
  <c r="BB12" i="20"/>
  <c r="AQ12" i="20"/>
  <c r="BA12" i="20" s="1"/>
  <c r="AL12" i="20"/>
  <c r="AG65" i="20"/>
  <c r="AF65" i="20"/>
  <c r="K65" i="20"/>
  <c r="BM11" i="20"/>
  <c r="BB11" i="20"/>
  <c r="AQ11" i="20"/>
  <c r="BA11" i="20" s="1"/>
  <c r="AL11" i="20"/>
  <c r="AG66" i="20"/>
  <c r="V66" i="20"/>
  <c r="S66" i="20"/>
  <c r="K66" i="20"/>
  <c r="BM10" i="20"/>
  <c r="BB10" i="20"/>
  <c r="AQ10" i="20"/>
  <c r="BA10" i="20" s="1"/>
  <c r="AL10" i="20"/>
  <c r="AG64" i="20"/>
  <c r="V64" i="20"/>
  <c r="S64" i="20"/>
  <c r="K64" i="20"/>
  <c r="BM9" i="20"/>
  <c r="BB9" i="20"/>
  <c r="AQ9" i="20"/>
  <c r="BA9" i="20" s="1"/>
  <c r="AL9" i="20"/>
  <c r="AG63" i="20"/>
  <c r="V63" i="20"/>
  <c r="S63" i="20"/>
  <c r="K63" i="20"/>
  <c r="BM8" i="20"/>
  <c r="BB8" i="20"/>
  <c r="AQ8" i="20"/>
  <c r="BA8" i="20" s="1"/>
  <c r="AL8" i="20"/>
  <c r="AG62" i="20"/>
  <c r="V62" i="20"/>
  <c r="S62" i="20"/>
  <c r="K62" i="20"/>
  <c r="BM7" i="20"/>
  <c r="BB7" i="20"/>
  <c r="AQ7" i="20"/>
  <c r="BA7" i="20" s="1"/>
  <c r="AL7" i="20"/>
  <c r="AG61" i="20"/>
  <c r="V61" i="20"/>
  <c r="S61" i="20"/>
  <c r="K61" i="20"/>
  <c r="BM6" i="20"/>
  <c r="BB6" i="20"/>
  <c r="AQ6" i="20"/>
  <c r="BA6" i="20" s="1"/>
  <c r="AL6" i="20"/>
  <c r="AG60" i="20"/>
  <c r="V60" i="20"/>
  <c r="S60" i="20"/>
  <c r="K60" i="20"/>
  <c r="D7" i="20" l="1"/>
  <c r="F7" i="20" s="1"/>
  <c r="AB35" i="20"/>
  <c r="AC35" i="20" s="1"/>
  <c r="AD35" i="20" s="1"/>
  <c r="D8" i="20"/>
  <c r="D6" i="20"/>
  <c r="D11" i="20"/>
  <c r="E6" i="20"/>
  <c r="C64" i="16" s="1"/>
  <c r="E8" i="20"/>
  <c r="C66" i="16" s="1"/>
  <c r="E11" i="20"/>
  <c r="C69" i="16" s="1"/>
  <c r="AF26" i="20"/>
  <c r="AF69" i="20"/>
  <c r="AF43" i="20"/>
  <c r="AF25" i="20"/>
  <c r="AF28" i="20"/>
  <c r="AF23" i="20"/>
  <c r="AB7" i="20"/>
  <c r="AC7" i="20" s="1"/>
  <c r="AD7" i="20" s="1"/>
  <c r="AB8" i="20"/>
  <c r="AC8" i="20" s="1"/>
  <c r="AD8" i="20" s="1"/>
  <c r="AB40" i="20"/>
  <c r="AC40" i="20" s="1"/>
  <c r="AD40" i="20" s="1"/>
  <c r="E10" i="20"/>
  <c r="C68" i="16" s="1"/>
  <c r="E9" i="20"/>
  <c r="C67" i="16" s="1"/>
  <c r="D10" i="20"/>
  <c r="D9" i="20"/>
  <c r="AB41" i="20"/>
  <c r="AC41" i="20" s="1"/>
  <c r="AD41" i="20" s="1"/>
  <c r="AB47" i="20"/>
  <c r="AC47" i="20" s="1"/>
  <c r="AD47" i="20" s="1"/>
  <c r="AF55" i="20"/>
  <c r="AB6" i="20"/>
  <c r="AC6" i="20" s="1"/>
  <c r="AD6" i="20" s="1"/>
  <c r="AB9" i="20"/>
  <c r="AC9" i="20" s="1"/>
  <c r="AD9" i="20" s="1"/>
  <c r="AB12" i="20"/>
  <c r="AC12" i="20" s="1"/>
  <c r="AE12" i="20" s="1"/>
  <c r="AB61" i="20"/>
  <c r="AC61" i="20" s="1"/>
  <c r="AW18" i="20"/>
  <c r="AX18" i="20" s="1"/>
  <c r="AY18" i="20" s="1"/>
  <c r="AF21" i="20"/>
  <c r="AF34" i="20"/>
  <c r="AF22" i="20"/>
  <c r="AB33" i="20"/>
  <c r="AC33" i="20" s="1"/>
  <c r="AF17" i="20"/>
  <c r="AB38" i="20"/>
  <c r="AC38" i="20" s="1"/>
  <c r="AD38" i="20" s="1"/>
  <c r="AF42" i="20"/>
  <c r="AW13" i="20"/>
  <c r="AX13" i="20" s="1"/>
  <c r="AY13" i="20" s="1"/>
  <c r="AF36" i="20"/>
  <c r="AF62" i="20"/>
  <c r="AF49" i="20"/>
  <c r="AF44" i="20"/>
  <c r="AF64" i="20"/>
  <c r="AF59" i="20"/>
  <c r="AF24" i="20"/>
  <c r="AF32" i="20"/>
  <c r="AF45" i="20"/>
  <c r="AB66" i="20"/>
  <c r="AC66" i="20" s="1"/>
  <c r="AF11" i="20"/>
  <c r="AF39" i="20"/>
  <c r="AB63" i="20"/>
  <c r="AC63" i="20" s="1"/>
  <c r="AE63" i="20" s="1"/>
  <c r="AF30" i="20"/>
  <c r="AF10" i="20"/>
  <c r="AF60" i="20"/>
  <c r="AF53" i="20"/>
  <c r="AF19" i="20"/>
  <c r="AF13" i="20"/>
  <c r="AW23" i="20"/>
  <c r="AX23" i="20" s="1"/>
  <c r="AY23" i="20" s="1"/>
  <c r="AF16" i="20"/>
  <c r="AF50" i="20"/>
  <c r="AF58" i="20"/>
  <c r="AF67" i="20"/>
  <c r="AF18" i="20"/>
  <c r="AF31" i="20"/>
  <c r="AF20" i="20"/>
  <c r="AF57" i="20"/>
  <c r="AF63" i="20"/>
  <c r="AB56" i="20"/>
  <c r="AC56" i="20" s="1"/>
  <c r="AD56" i="20" s="1"/>
  <c r="AF37" i="20"/>
  <c r="AB28" i="20"/>
  <c r="AC28" i="20" s="1"/>
  <c r="AD28" i="20" s="1"/>
  <c r="AB10" i="20"/>
  <c r="AC10" i="20" s="1"/>
  <c r="AE10" i="20" s="1"/>
  <c r="AF48" i="20"/>
  <c r="AF14" i="20"/>
  <c r="AF68" i="20"/>
  <c r="AF27" i="20"/>
  <c r="AF54" i="20"/>
  <c r="AF46" i="20"/>
  <c r="AF66" i="20"/>
  <c r="AF29" i="20"/>
  <c r="AF56" i="20"/>
  <c r="AF15" i="20"/>
  <c r="AB14" i="20"/>
  <c r="AC14" i="20" s="1"/>
  <c r="AE14" i="20" s="1"/>
  <c r="AB52" i="20"/>
  <c r="AC52" i="20" s="1"/>
  <c r="AB44" i="20"/>
  <c r="AC44" i="20" s="1"/>
  <c r="AD44" i="20" s="1"/>
  <c r="AB21" i="20"/>
  <c r="AC21" i="20" s="1"/>
  <c r="AD21" i="20" s="1"/>
  <c r="AB17" i="20"/>
  <c r="AC17" i="20" s="1"/>
  <c r="AB37" i="20"/>
  <c r="AC37" i="20" s="1"/>
  <c r="AB39" i="20"/>
  <c r="AC39" i="20" s="1"/>
  <c r="AB54" i="20"/>
  <c r="AC54" i="20" s="1"/>
  <c r="AB59" i="20"/>
  <c r="AC59" i="20" s="1"/>
  <c r="AW19" i="20"/>
  <c r="AX19" i="20" s="1"/>
  <c r="AW10" i="20"/>
  <c r="AX10" i="20" s="1"/>
  <c r="AW8" i="20"/>
  <c r="AX8" i="20" s="1"/>
  <c r="AW6" i="20"/>
  <c r="AX6" i="20" s="1"/>
  <c r="AB53" i="20"/>
  <c r="AC53" i="20" s="1"/>
  <c r="AW22" i="20"/>
  <c r="AX22" i="20" s="1"/>
  <c r="AB65" i="20"/>
  <c r="AC65" i="20" s="1"/>
  <c r="AB25" i="20"/>
  <c r="AC25" i="20" s="1"/>
  <c r="AD25" i="20" s="1"/>
  <c r="AB18" i="20"/>
  <c r="AC18" i="20" s="1"/>
  <c r="AD18" i="20" s="1"/>
  <c r="AB23" i="20"/>
  <c r="AC23" i="20" s="1"/>
  <c r="AD23" i="20" s="1"/>
  <c r="AB22" i="20"/>
  <c r="AC22" i="20" s="1"/>
  <c r="AD22" i="20" s="1"/>
  <c r="AB43" i="20"/>
  <c r="AC43" i="20" s="1"/>
  <c r="AB67" i="20"/>
  <c r="AC67" i="20" s="1"/>
  <c r="AB57" i="20"/>
  <c r="AC57" i="20" s="1"/>
  <c r="AB55" i="20"/>
  <c r="AC55" i="20" s="1"/>
  <c r="AW16" i="20"/>
  <c r="AX16" i="20" s="1"/>
  <c r="AW14" i="20"/>
  <c r="AX14" i="20" s="1"/>
  <c r="AB64" i="20"/>
  <c r="AC64" i="20" s="1"/>
  <c r="AB62" i="20"/>
  <c r="AC62" i="20" s="1"/>
  <c r="AB60" i="20"/>
  <c r="AC60" i="20" s="1"/>
  <c r="AB30" i="20"/>
  <c r="AC30" i="20" s="1"/>
  <c r="AB20" i="20"/>
  <c r="AC20" i="20" s="1"/>
  <c r="AB45" i="20"/>
  <c r="AC45" i="20" s="1"/>
  <c r="AB50" i="20"/>
  <c r="AC50" i="20" s="1"/>
  <c r="AB13" i="20"/>
  <c r="AC13" i="20" s="1"/>
  <c r="AB11" i="20"/>
  <c r="AC11" i="20" s="1"/>
  <c r="AW12" i="20"/>
  <c r="AX12" i="20" s="1"/>
  <c r="AB16" i="20"/>
  <c r="AC16" i="20" s="1"/>
  <c r="AD16" i="20" s="1"/>
  <c r="AB34" i="20"/>
  <c r="AC34" i="20" s="1"/>
  <c r="AD34" i="20" s="1"/>
  <c r="AB24" i="20"/>
  <c r="AC24" i="20" s="1"/>
  <c r="AD24" i="20" s="1"/>
  <c r="AB26" i="20"/>
  <c r="AC26" i="20" s="1"/>
  <c r="AD26" i="20" s="1"/>
  <c r="AB29" i="20"/>
  <c r="AC29" i="20" s="1"/>
  <c r="AD29" i="20" s="1"/>
  <c r="AB42" i="20"/>
  <c r="AC42" i="20" s="1"/>
  <c r="AD42" i="20" s="1"/>
  <c r="AB36" i="20"/>
  <c r="AC36" i="20" s="1"/>
  <c r="AD36" i="20" s="1"/>
  <c r="AB68" i="20"/>
  <c r="AC68" i="20" s="1"/>
  <c r="AD68" i="20" s="1"/>
  <c r="AB51" i="20"/>
  <c r="AC51" i="20" s="1"/>
  <c r="AD51" i="20" s="1"/>
  <c r="AB58" i="20"/>
  <c r="AC58" i="20" s="1"/>
  <c r="AD58" i="20" s="1"/>
  <c r="AW20" i="20"/>
  <c r="AX20" i="20" s="1"/>
  <c r="AY20" i="20" s="1"/>
  <c r="AW11" i="20"/>
  <c r="AX11" i="20" s="1"/>
  <c r="AW9" i="20"/>
  <c r="AX9" i="20" s="1"/>
  <c r="AW7" i="20"/>
  <c r="AX7" i="20" s="1"/>
  <c r="AB46" i="20"/>
  <c r="AC46" i="20" s="1"/>
  <c r="AD46" i="20" s="1"/>
  <c r="AB32" i="20"/>
  <c r="AC32" i="20" s="1"/>
  <c r="AD32" i="20" s="1"/>
  <c r="AB27" i="20"/>
  <c r="AC27" i="20" s="1"/>
  <c r="AD27" i="20" s="1"/>
  <c r="AB48" i="20"/>
  <c r="AC48" i="20" s="1"/>
  <c r="AB31" i="20"/>
  <c r="AC31" i="20" s="1"/>
  <c r="AD31" i="20" s="1"/>
  <c r="AF61" i="20"/>
  <c r="AB69" i="20"/>
  <c r="AC69" i="20" s="1"/>
  <c r="AD69" i="20" s="1"/>
  <c r="AW15" i="20"/>
  <c r="AX15" i="20" s="1"/>
  <c r="AY15" i="20" s="1"/>
  <c r="AF12" i="20"/>
  <c r="AW17" i="20"/>
  <c r="AX17" i="20" s="1"/>
  <c r="AY17" i="20" s="1"/>
  <c r="AW21" i="20"/>
  <c r="AX21" i="20" s="1"/>
  <c r="AY21" i="20" s="1"/>
  <c r="AF51" i="20"/>
  <c r="AF52" i="20"/>
  <c r="AB49" i="20"/>
  <c r="AC49" i="20" s="1"/>
  <c r="AD49" i="20" s="1"/>
  <c r="AB15" i="20"/>
  <c r="AC15" i="20" s="1"/>
  <c r="AB19" i="20"/>
  <c r="AC19" i="20" s="1"/>
  <c r="AD19" i="20" s="1"/>
  <c r="F8" i="20" l="1"/>
  <c r="AE35" i="20"/>
  <c r="AH35" i="20" s="1"/>
  <c r="D68" i="16"/>
  <c r="F10" i="20"/>
  <c r="E68" i="16" s="1"/>
  <c r="F11" i="20"/>
  <c r="D67" i="16"/>
  <c r="F9" i="20"/>
  <c r="E67" i="16" s="1"/>
  <c r="C71" i="16"/>
  <c r="C24" i="16" s="1"/>
  <c r="D69" i="16"/>
  <c r="F6" i="20"/>
  <c r="D64" i="16"/>
  <c r="D71" i="16" s="1"/>
  <c r="D66" i="16"/>
  <c r="AE8" i="20"/>
  <c r="AH8" i="20" s="1"/>
  <c r="AE7" i="20"/>
  <c r="AH7" i="20" s="1"/>
  <c r="AE40" i="20"/>
  <c r="AH40" i="20" s="1"/>
  <c r="D13" i="20"/>
  <c r="E13" i="20"/>
  <c r="AE41" i="20"/>
  <c r="AH41" i="20" s="1"/>
  <c r="AE47" i="20"/>
  <c r="AH47" i="20" s="1"/>
  <c r="AE6" i="20"/>
  <c r="AH6" i="20" s="1"/>
  <c r="AE9" i="20"/>
  <c r="AH9" i="20" s="1"/>
  <c r="AZ18" i="20"/>
  <c r="BC18" i="20" s="1"/>
  <c r="AD63" i="20"/>
  <c r="AH63" i="20" s="1"/>
  <c r="AE38" i="20"/>
  <c r="AH38" i="20" s="1"/>
  <c r="AE21" i="20"/>
  <c r="AH21" i="20" s="1"/>
  <c r="AE33" i="20"/>
  <c r="AD33" i="20"/>
  <c r="AE26" i="20"/>
  <c r="AH26" i="20" s="1"/>
  <c r="AE25" i="20"/>
  <c r="AH25" i="20" s="1"/>
  <c r="AE56" i="20"/>
  <c r="AH56" i="20" s="1"/>
  <c r="AZ13" i="20"/>
  <c r="BC13" i="20" s="1"/>
  <c r="AD12" i="20"/>
  <c r="AH12" i="20" s="1"/>
  <c r="AE58" i="20"/>
  <c r="AH58" i="20" s="1"/>
  <c r="AE18" i="20"/>
  <c r="AH18" i="20" s="1"/>
  <c r="AE46" i="20"/>
  <c r="AH46" i="20" s="1"/>
  <c r="AE19" i="20"/>
  <c r="AH19" i="20" s="1"/>
  <c r="AZ23" i="20"/>
  <c r="BC23" i="20" s="1"/>
  <c r="AE36" i="20"/>
  <c r="AH36" i="20" s="1"/>
  <c r="AE28" i="20"/>
  <c r="AH28" i="20" s="1"/>
  <c r="AE42" i="20"/>
  <c r="AH42" i="20" s="1"/>
  <c r="AE68" i="20"/>
  <c r="AH68" i="20" s="1"/>
  <c r="AE23" i="20"/>
  <c r="AH23" i="20" s="1"/>
  <c r="AD10" i="20"/>
  <c r="AH10" i="20" s="1"/>
  <c r="AE51" i="20"/>
  <c r="AH51" i="20" s="1"/>
  <c r="AE22" i="20"/>
  <c r="AH22" i="20" s="1"/>
  <c r="AE16" i="20"/>
  <c r="AH16" i="20" s="1"/>
  <c r="AE29" i="20"/>
  <c r="AH29" i="20" s="1"/>
  <c r="AD14" i="20"/>
  <c r="AH14" i="20" s="1"/>
  <c r="AE44" i="20"/>
  <c r="AH44" i="20" s="1"/>
  <c r="AE69" i="20"/>
  <c r="AH69" i="20" s="1"/>
  <c r="AE32" i="20"/>
  <c r="AH32" i="20" s="1"/>
  <c r="AE27" i="20"/>
  <c r="AH27" i="20" s="1"/>
  <c r="AZ21" i="20"/>
  <c r="BC21" i="20" s="1"/>
  <c r="AE39" i="20"/>
  <c r="AD39" i="20"/>
  <c r="AZ20" i="20"/>
  <c r="BC20" i="20" s="1"/>
  <c r="AZ17" i="20"/>
  <c r="BC17" i="20" s="1"/>
  <c r="AD60" i="20"/>
  <c r="AE60" i="20"/>
  <c r="AD43" i="20"/>
  <c r="AE43" i="20"/>
  <c r="AE53" i="20"/>
  <c r="AD53" i="20"/>
  <c r="AE37" i="20"/>
  <c r="AD37" i="20"/>
  <c r="AD30" i="20"/>
  <c r="AE30" i="20"/>
  <c r="AE34" i="20"/>
  <c r="AH34" i="20" s="1"/>
  <c r="AZ15" i="20"/>
  <c r="BC15" i="20" s="1"/>
  <c r="AY12" i="20"/>
  <c r="AZ12" i="20"/>
  <c r="AE62" i="20"/>
  <c r="AD62" i="20"/>
  <c r="AZ6" i="20"/>
  <c r="AY6" i="20"/>
  <c r="AE17" i="20"/>
  <c r="AD17" i="20"/>
  <c r="AE15" i="20"/>
  <c r="AD15" i="20"/>
  <c r="AE67" i="20"/>
  <c r="AD67" i="20"/>
  <c r="AD11" i="20"/>
  <c r="AE11" i="20"/>
  <c r="AE64" i="20"/>
  <c r="AD64" i="20"/>
  <c r="AY8" i="20"/>
  <c r="AZ8" i="20"/>
  <c r="AE48" i="20"/>
  <c r="AD48" i="20"/>
  <c r="AD13" i="20"/>
  <c r="AE13" i="20"/>
  <c r="AZ14" i="20"/>
  <c r="AY14" i="20"/>
  <c r="AZ10" i="20"/>
  <c r="AY10" i="20"/>
  <c r="AD66" i="20"/>
  <c r="AE66" i="20"/>
  <c r="AE49" i="20"/>
  <c r="AH49" i="20" s="1"/>
  <c r="AZ7" i="20"/>
  <c r="AY7" i="20"/>
  <c r="AE24" i="20"/>
  <c r="AH24" i="20" s="1"/>
  <c r="AZ9" i="20"/>
  <c r="AY9" i="20"/>
  <c r="AD50" i="20"/>
  <c r="AE50" i="20"/>
  <c r="AZ16" i="20"/>
  <c r="AY16" i="20"/>
  <c r="AZ19" i="20"/>
  <c r="AY19" i="20"/>
  <c r="AE31" i="20"/>
  <c r="AH31" i="20" s="1"/>
  <c r="AD61" i="20"/>
  <c r="AE61" i="20"/>
  <c r="AZ11" i="20"/>
  <c r="AY11" i="20"/>
  <c r="AD45" i="20"/>
  <c r="AE45" i="20"/>
  <c r="AD55" i="20"/>
  <c r="AE55" i="20"/>
  <c r="AE65" i="20"/>
  <c r="AD65" i="20"/>
  <c r="AE59" i="20"/>
  <c r="AD59" i="20"/>
  <c r="AE52" i="20"/>
  <c r="AD52" i="20"/>
  <c r="AD20" i="20"/>
  <c r="AE20" i="20"/>
  <c r="AD57" i="20"/>
  <c r="AE57" i="20"/>
  <c r="AZ22" i="20"/>
  <c r="AY22" i="20"/>
  <c r="AD54" i="20"/>
  <c r="AE54" i="20"/>
  <c r="E66" i="16" l="1"/>
  <c r="E64" i="16"/>
  <c r="E69" i="16"/>
  <c r="BC9" i="20"/>
  <c r="AH39" i="20"/>
  <c r="C22" i="16"/>
  <c r="F22" i="16" s="1"/>
  <c r="BC22" i="20"/>
  <c r="BC14" i="20"/>
  <c r="AH67" i="20"/>
  <c r="AH57" i="20"/>
  <c r="BC19" i="20"/>
  <c r="AH64" i="20"/>
  <c r="AH62" i="20"/>
  <c r="AH45" i="20"/>
  <c r="BC16" i="20"/>
  <c r="BC10" i="20"/>
  <c r="BC11" i="20"/>
  <c r="G7" i="20" s="1"/>
  <c r="I7" i="20" s="1"/>
  <c r="BC7" i="20"/>
  <c r="BC6" i="20"/>
  <c r="AH53" i="20"/>
  <c r="AH33" i="20"/>
  <c r="G9" i="20" s="1"/>
  <c r="AH65" i="20"/>
  <c r="AH15" i="20"/>
  <c r="AH13" i="20"/>
  <c r="AH30" i="20"/>
  <c r="AH20" i="20"/>
  <c r="AH48" i="20"/>
  <c r="AH17" i="20"/>
  <c r="AH37" i="20"/>
  <c r="AH59" i="20"/>
  <c r="BC8" i="20"/>
  <c r="G8" i="20" s="1"/>
  <c r="AH52" i="20"/>
  <c r="AH43" i="20"/>
  <c r="AH60" i="20"/>
  <c r="AH66" i="20"/>
  <c r="AH54" i="20"/>
  <c r="AH11" i="20"/>
  <c r="AH61" i="20"/>
  <c r="BC12" i="20"/>
  <c r="AH55" i="20"/>
  <c r="AH50" i="20"/>
  <c r="F13" i="20"/>
  <c r="G10" i="20" l="1"/>
  <c r="I10" i="20" s="1"/>
  <c r="H68" i="16" s="1"/>
  <c r="G11" i="20"/>
  <c r="E71" i="16"/>
  <c r="F66" i="16"/>
  <c r="I8" i="20"/>
  <c r="H66" i="16" s="1"/>
  <c r="G6" i="20"/>
  <c r="F24" i="16"/>
  <c r="F68" i="16" l="1"/>
  <c r="I9" i="20"/>
  <c r="H67" i="16" s="1"/>
  <c r="F67" i="16"/>
  <c r="F69" i="16"/>
  <c r="I11" i="20"/>
  <c r="H69" i="16" s="1"/>
  <c r="F64" i="16"/>
  <c r="I6" i="20"/>
  <c r="H64" i="16" s="1"/>
  <c r="H71" i="16" l="1"/>
  <c r="G13" i="20"/>
  <c r="I13" i="20"/>
  <c r="F23" i="16"/>
  <c r="F71" i="16" l="1"/>
  <c r="F32" i="16" s="1"/>
  <c r="H49" i="16"/>
  <c r="H48" i="16"/>
  <c r="H47" i="16"/>
  <c r="H46" i="16"/>
  <c r="C49" i="16" l="1"/>
  <c r="C48" i="16"/>
  <c r="C47" i="16"/>
  <c r="C46" i="16"/>
  <c r="H45" i="16"/>
  <c r="F8" i="16"/>
  <c r="C45" i="16" l="1"/>
  <c r="H55" i="16"/>
  <c r="F7" i="16"/>
  <c r="F34" i="16"/>
  <c r="E16" i="16"/>
  <c r="E17" i="16"/>
  <c r="E15" i="16"/>
  <c r="E14" i="16"/>
  <c r="H58" i="16" l="1"/>
  <c r="F21" i="16" s="1"/>
  <c r="F9" i="16"/>
  <c r="F13" i="16"/>
  <c r="C27" i="16" l="1"/>
  <c r="F27" i="16" s="1"/>
  <c r="F28" i="16" s="1"/>
  <c r="F36" i="16" s="1"/>
  <c r="F39" i="16" s="1"/>
  <c r="F38"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Massey, Ray</author>
    <author>William Lazarus</author>
    <author>William F Lazarus</author>
  </authors>
  <commentList>
    <comment ref="AE5" authorId="0" shapeId="0" xr:uid="{B84B3790-4C69-496B-B00D-16946DC8758C}">
      <text>
        <r>
          <rPr>
            <b/>
            <sz val="9"/>
            <color indexed="81"/>
            <rFont val="Tahoma"/>
            <family val="2"/>
          </rPr>
          <t>Massey, Ray:</t>
        </r>
        <r>
          <rPr>
            <sz val="9"/>
            <color indexed="81"/>
            <rFont val="Tahoma"/>
            <family val="2"/>
          </rPr>
          <t xml:space="preserve">
OH = interest + insurance + taxes + housing</t>
        </r>
      </text>
    </comment>
    <comment ref="AZ5" authorId="0" shapeId="0" xr:uid="{B3829982-48C2-4C49-B63A-C05C704B5768}">
      <text>
        <r>
          <rPr>
            <b/>
            <sz val="9"/>
            <color indexed="81"/>
            <rFont val="Tahoma"/>
            <family val="2"/>
          </rPr>
          <t>Massey, Ray:</t>
        </r>
        <r>
          <rPr>
            <sz val="9"/>
            <color indexed="81"/>
            <rFont val="Tahoma"/>
            <family val="2"/>
          </rPr>
          <t xml:space="preserve">
OH = interest + insurance + taxes + housing</t>
        </r>
      </text>
    </comment>
    <comment ref="BR12" authorId="1" shapeId="0" xr:uid="{59C87E4D-13EB-4604-B9A0-78F01EE482BB}">
      <text>
        <r>
          <rPr>
            <b/>
            <sz val="8"/>
            <color indexed="81"/>
            <rFont val="Tahoma"/>
            <family val="2"/>
          </rPr>
          <t>William Lazarus:</t>
        </r>
        <r>
          <rPr>
            <sz val="8"/>
            <color indexed="81"/>
            <rFont val="Tahoma"/>
            <family val="2"/>
          </rPr>
          <t xml:space="preserve">
Based on Petrolia's average building cost of $3.75/ft2 from Huhnke OkSU round bale storage fact sheet BAE1716, * 15% for debt servicing and overhead, adjusted for inflation based on Jan 2021 Ag Prices Building materials index of 126.3/ Jan 2004  level of 73.3 = 1.72.</t>
        </r>
      </text>
    </comment>
    <comment ref="BQ14" authorId="2" shapeId="0" xr:uid="{0BE1C5FD-1A70-4501-92A1-F3343F234106}">
      <text>
        <r>
          <rPr>
            <b/>
            <sz val="9"/>
            <color indexed="81"/>
            <rFont val="Tahoma"/>
            <family val="2"/>
          </rPr>
          <t>William F Lazarus:</t>
        </r>
        <r>
          <rPr>
            <sz val="9"/>
            <color indexed="81"/>
            <rFont val="Tahoma"/>
            <family val="2"/>
          </rPr>
          <t xml:space="preserve">
The national net farm income is used in the salvage value formulas as an indicator of the strength of the market for used equipment.  If we expect to own a machine for 12-years from 2023, we are really interested in the machinery market in the year 2033, but of course since 2033 estimates are unavailable the best we can really do is use the USDA estimate for 2023, which is $1136.9 billion in the Feb. 7, 2023 forecast.  We have converted the 2023 estimates to 1996 dollars because the formulas were based on 1996 inflation levels.</t>
        </r>
      </text>
    </comment>
    <comment ref="BR15" authorId="2" shapeId="0" xr:uid="{6005DB46-AB0A-4623-9ED3-62377D8AB618}">
      <text>
        <r>
          <rPr>
            <b/>
            <sz val="9"/>
            <color indexed="81"/>
            <rFont val="Tahoma"/>
            <family val="2"/>
          </rPr>
          <t>William F Lazarus:</t>
        </r>
        <r>
          <rPr>
            <sz val="9"/>
            <color indexed="81"/>
            <rFont val="Tahoma"/>
            <family val="2"/>
          </rPr>
          <t xml:space="preserve">
from the Bureau of Econ Analysis National Income and Product Accts, in the econ report of the president</t>
        </r>
      </text>
    </comment>
    <comment ref="BQ17" authorId="2" shapeId="0" xr:uid="{7D086FFA-8B85-4DEE-BCB9-28794B9EEBCD}">
      <text>
        <r>
          <rPr>
            <b/>
            <sz val="9"/>
            <color indexed="81"/>
            <rFont val="Tahoma"/>
            <family val="2"/>
          </rPr>
          <t>William F Lazarus:</t>
        </r>
        <r>
          <rPr>
            <sz val="9"/>
            <color indexed="81"/>
            <rFont val="Tahoma"/>
            <family val="2"/>
          </rPr>
          <t xml:space="preserve">
The national net farm income is used in the salvage value formulas as an indicator of the strength of the market for used equipment.  If we expect to own a machine for 12-years from 2020, we are really interested in the machinery market in the year 2031, but of course since 2028 estimates are unavailable the best we can really do is use USDA estimates for 2020.  We have converted the 2020 estimates to 1996 dollars because the formulas were based on 1996 inflation levels.</t>
        </r>
      </text>
    </comment>
  </commentList>
</comments>
</file>

<file path=xl/sharedStrings.xml><?xml version="1.0" encoding="utf-8"?>
<sst xmlns="http://schemas.openxmlformats.org/spreadsheetml/2006/main" count="1087" uniqueCount="677">
  <si>
    <t>Developed by:</t>
  </si>
  <si>
    <t>University of Missouri Extension</t>
  </si>
  <si>
    <t>This worksheet is for educational purposes only and the user assumes all risks associated with its use.</t>
  </si>
  <si>
    <t>Units</t>
  </si>
  <si>
    <t>Yield</t>
  </si>
  <si>
    <t>Potassium</t>
  </si>
  <si>
    <t>Operating interest</t>
  </si>
  <si>
    <t>Farm business overhead</t>
  </si>
  <si>
    <t>Would you like to see the quantities and prices used to calculate costs?</t>
  </si>
  <si>
    <t/>
  </si>
  <si>
    <t>Price</t>
  </si>
  <si>
    <t>Quantity</t>
  </si>
  <si>
    <t>Seed</t>
  </si>
  <si>
    <t>Fertilizer</t>
  </si>
  <si>
    <t>Nitrogen</t>
  </si>
  <si>
    <t>Phosphorus</t>
  </si>
  <si>
    <t>Other soil amendments</t>
  </si>
  <si>
    <t>Crop protection</t>
  </si>
  <si>
    <t>Crop consulting and insurance</t>
  </si>
  <si>
    <t>Custom hire and rental</t>
  </si>
  <si>
    <t>Machinery repairs and maintenance</t>
  </si>
  <si>
    <t>Operator and hired labor</t>
  </si>
  <si>
    <t>Other expense</t>
  </si>
  <si>
    <t>Real estate charge</t>
  </si>
  <si>
    <t>Start</t>
  </si>
  <si>
    <t>cropnum-22706</t>
  </si>
  <si>
    <t>primyieldtype-22706</t>
  </si>
  <si>
    <t>byyieldtype-22706</t>
  </si>
  <si>
    <t>irrigation2-22706</t>
  </si>
  <si>
    <t>leasenum-22706</t>
  </si>
  <si>
    <t>40hp-22706</t>
  </si>
  <si>
    <t>60hp-22706</t>
  </si>
  <si>
    <t>75hp-22706</t>
  </si>
  <si>
    <t>105twd-22706</t>
  </si>
  <si>
    <t>140twd-22706</t>
  </si>
  <si>
    <t>105mfwd-22706</t>
  </si>
  <si>
    <t>130mfwd-22706</t>
  </si>
  <si>
    <t>160mfwd-22706</t>
  </si>
  <si>
    <t>200mfwd-22706</t>
  </si>
  <si>
    <t>225mfwd-22706</t>
  </si>
  <si>
    <t>2604wd-22706</t>
  </si>
  <si>
    <t>3104wd-22706</t>
  </si>
  <si>
    <t>360 4wd-22706</t>
  </si>
  <si>
    <t>4254wd-22706</t>
  </si>
  <si>
    <t>225tt-22706</t>
  </si>
  <si>
    <t>425tt-22706</t>
  </si>
  <si>
    <t>description-1-22706</t>
  </si>
  <si>
    <t>2015 SRW</t>
  </si>
  <si>
    <t>acres-1-22706</t>
  </si>
  <si>
    <t>receipts-1-22706</t>
  </si>
  <si>
    <t>receipts-2-22706</t>
  </si>
  <si>
    <t>receipts-3-22706</t>
  </si>
  <si>
    <t>receipts-4-22706</t>
  </si>
  <si>
    <t>receipts-5-22706</t>
  </si>
  <si>
    <t>receipts-6-22706</t>
  </si>
  <si>
    <t>seed1-1-22706</t>
  </si>
  <si>
    <t>seed1-2-22706</t>
  </si>
  <si>
    <t>seed1-3-22706</t>
  </si>
  <si>
    <t>seed1-4-22706</t>
  </si>
  <si>
    <t>seed1-5-22706</t>
  </si>
  <si>
    <t>seed1-6-22706</t>
  </si>
  <si>
    <t>seed2-1-22706</t>
  </si>
  <si>
    <t>seed2-2-22706</t>
  </si>
  <si>
    <t>seed2-3-22706</t>
  </si>
  <si>
    <t>seed2-4-22706</t>
  </si>
  <si>
    <t>seed2-5-22706</t>
  </si>
  <si>
    <t>seed2-6-22706</t>
  </si>
  <si>
    <t>fertilizer1-1-22706</t>
  </si>
  <si>
    <t>fertilizer1-2-22706</t>
  </si>
  <si>
    <t>fertilizer1-3-22706</t>
  </si>
  <si>
    <t>fertilizer1-4-22706</t>
  </si>
  <si>
    <t>fertilizer1-5-22706</t>
  </si>
  <si>
    <t>fertilizer1-6-22706</t>
  </si>
  <si>
    <t>fertilizer1-7-22706</t>
  </si>
  <si>
    <t>fertilizer1-8-22706</t>
  </si>
  <si>
    <t>fertilizer2-1-22706</t>
  </si>
  <si>
    <t>fertilizer2-2-22706</t>
  </si>
  <si>
    <t>fertilizer2-3-22706</t>
  </si>
  <si>
    <t>fertilizer2-4-22706</t>
  </si>
  <si>
    <t>fertilizer2-5-22706</t>
  </si>
  <si>
    <t>fertilizer2-6-22706</t>
  </si>
  <si>
    <t>fertilizer2-7-22706</t>
  </si>
  <si>
    <t>fertilizer2-8-22706</t>
  </si>
  <si>
    <t>herbicide1-1-22706</t>
  </si>
  <si>
    <t>herbicide1-2-22706</t>
  </si>
  <si>
    <t>herbicide1-3-22706</t>
  </si>
  <si>
    <t>herbicide1-4-22706</t>
  </si>
  <si>
    <t>herbicide1-5-22706</t>
  </si>
  <si>
    <t>herbicide1-6-22706</t>
  </si>
  <si>
    <t>herbicide1-7-22706</t>
  </si>
  <si>
    <t>herbicide1-8-22706</t>
  </si>
  <si>
    <t>herbicide2-1-22706</t>
  </si>
  <si>
    <t>herbicide2-2-22706</t>
  </si>
  <si>
    <t>herbicide2-3-22706</t>
  </si>
  <si>
    <t>herbicide2-4-22706</t>
  </si>
  <si>
    <t>herbicide2-5-22706</t>
  </si>
  <si>
    <t>herbicide2-6-22706</t>
  </si>
  <si>
    <t>herbicide2-7-22706</t>
  </si>
  <si>
    <t>herbicide2-8-22706</t>
  </si>
  <si>
    <t>herbicide2-9-22706</t>
  </si>
  <si>
    <t>insecticide1-1-22706</t>
  </si>
  <si>
    <t>insecticide1-2-22706</t>
  </si>
  <si>
    <t>insecticide1-3-22706</t>
  </si>
  <si>
    <t>insecticide1-4-22706</t>
  </si>
  <si>
    <t>insecticide2-1-22706</t>
  </si>
  <si>
    <t>insecticide2-2-22706</t>
  </si>
  <si>
    <t>insecticide2-3-22706</t>
  </si>
  <si>
    <t>insecticide2-4-22706</t>
  </si>
  <si>
    <t>insecticide2-5-22706</t>
  </si>
  <si>
    <t>labor-1-22706</t>
  </si>
  <si>
    <t>labor-2-22706</t>
  </si>
  <si>
    <t>labor-3-22706</t>
  </si>
  <si>
    <t>irrigation1-1-22706</t>
  </si>
  <si>
    <t>irrigation1-2-22706</t>
  </si>
  <si>
    <t>irrigation1-3-22706</t>
  </si>
  <si>
    <t>land-1-22706</t>
  </si>
  <si>
    <t>land-2-22706</t>
  </si>
  <si>
    <t>land-3-22706</t>
  </si>
  <si>
    <t>land-3-9106</t>
  </si>
  <si>
    <t>land-4-22706</t>
  </si>
  <si>
    <t>otheritems1-1-22706</t>
  </si>
  <si>
    <t>otheritems1-2-22706</t>
  </si>
  <si>
    <t>otheritems1-3-22706</t>
  </si>
  <si>
    <t>otheritems1-4-22706</t>
  </si>
  <si>
    <t>otheritems1-5-22706</t>
  </si>
  <si>
    <t>otheritems1-6-22706</t>
  </si>
  <si>
    <t>otheritems1-7-22706</t>
  </si>
  <si>
    <t>postharvest-1-22706</t>
  </si>
  <si>
    <t>postharvest-2-22706</t>
  </si>
  <si>
    <t>postharvest-3-22706</t>
  </si>
  <si>
    <t>postharvest-4-22706</t>
  </si>
  <si>
    <t>postharvest-5-22706</t>
  </si>
  <si>
    <t>postharvest-6-22706</t>
  </si>
  <si>
    <t>postharvest-7-22706</t>
  </si>
  <si>
    <t>postharvest-8-22706</t>
  </si>
  <si>
    <t>postharvest-9-22706</t>
  </si>
  <si>
    <t>postharvest-10-22706</t>
  </si>
  <si>
    <t>overhead-1-22706</t>
  </si>
  <si>
    <t>overhead-2-22706</t>
  </si>
  <si>
    <t>overhead-3-22706</t>
  </si>
  <si>
    <t>overhead-4-22706</t>
  </si>
  <si>
    <t>overhead-5-22706</t>
  </si>
  <si>
    <t>overhead-6-22706</t>
  </si>
  <si>
    <t>landlord_share-1-22706</t>
  </si>
  <si>
    <t>landlord_share-2-22706</t>
  </si>
  <si>
    <t>landlord_share-3-22706</t>
  </si>
  <si>
    <t>landlord_share-4-22706</t>
  </si>
  <si>
    <t>landlord_share-5-22706</t>
  </si>
  <si>
    <t>landlord_share-6-22706</t>
  </si>
  <si>
    <t>landlord_share-7-22706</t>
  </si>
  <si>
    <t>landlord_share-8-22706</t>
  </si>
  <si>
    <t>landlord_share-9-22706</t>
  </si>
  <si>
    <t>landlord_share-10-22706</t>
  </si>
  <si>
    <t>landlord_share-11-22706</t>
  </si>
  <si>
    <t>customhire1-1-22706</t>
  </si>
  <si>
    <t>customhire1-2-22706</t>
  </si>
  <si>
    <t>customhire1-3-22706</t>
  </si>
  <si>
    <t>customhire1-4-22706</t>
  </si>
  <si>
    <t>customhire1-5-22706</t>
  </si>
  <si>
    <t>customhire1-6-22706</t>
  </si>
  <si>
    <t>customhire1-7-22706</t>
  </si>
  <si>
    <t>customhire1-8-22706</t>
  </si>
  <si>
    <t>customhire1-9-22706</t>
  </si>
  <si>
    <t>customhire1-10-22706</t>
  </si>
  <si>
    <t>customhire1-11-22706</t>
  </si>
  <si>
    <t>customhire1-12-22706</t>
  </si>
  <si>
    <t>customhire1-13-22706</t>
  </si>
  <si>
    <t>customhire2-1-22706</t>
  </si>
  <si>
    <t>customhire2-2-22706</t>
  </si>
  <si>
    <t>customhire2-3-22706</t>
  </si>
  <si>
    <t>customhire2-4-22706</t>
  </si>
  <si>
    <t>customhire2-5-22706</t>
  </si>
  <si>
    <t>customhire2-6-22706</t>
  </si>
  <si>
    <t>customhire2-7-22706</t>
  </si>
  <si>
    <t>customhire2-8-22706</t>
  </si>
  <si>
    <t>size-1-3806</t>
  </si>
  <si>
    <t>15 ft</t>
  </si>
  <si>
    <t>size-2-3806</t>
  </si>
  <si>
    <t>16.3 ft</t>
  </si>
  <si>
    <t>size-3-3806</t>
  </si>
  <si>
    <t>6 ft</t>
  </si>
  <si>
    <t>size-4-3806</t>
  </si>
  <si>
    <t>35 ft</t>
  </si>
  <si>
    <t>size-5-3806</t>
  </si>
  <si>
    <t>30 ft</t>
  </si>
  <si>
    <t>size-6-3806</t>
  </si>
  <si>
    <t>30" O.C., 17 ft</t>
  </si>
  <si>
    <t>size-7-3806</t>
  </si>
  <si>
    <t>16 ft</t>
  </si>
  <si>
    <t>size-8-3806</t>
  </si>
  <si>
    <t>17.5 ft</t>
  </si>
  <si>
    <t>size-9-3806</t>
  </si>
  <si>
    <t>22 ft</t>
  </si>
  <si>
    <t>size-10-3806</t>
  </si>
  <si>
    <t>12 ft</t>
  </si>
  <si>
    <t>size-11-3806</t>
  </si>
  <si>
    <t>6 row</t>
  </si>
  <si>
    <t>size-12-3806</t>
  </si>
  <si>
    <t>(16/31 row 30/15")</t>
  </si>
  <si>
    <t>size-13-3806</t>
  </si>
  <si>
    <t>size-14-3806</t>
  </si>
  <si>
    <t>size-15-3806</t>
  </si>
  <si>
    <t>20 ft</t>
  </si>
  <si>
    <t>size-16-3806</t>
  </si>
  <si>
    <t>size-17-3806</t>
  </si>
  <si>
    <t>size-18-3806</t>
  </si>
  <si>
    <t>size-27-101707</t>
  </si>
  <si>
    <t>7 ft swath</t>
  </si>
  <si>
    <t>size-19-3806</t>
  </si>
  <si>
    <t>size-28-101707</t>
  </si>
  <si>
    <t>size-25-101707</t>
  </si>
  <si>
    <t>10 wheel, 20 ft</t>
  </si>
  <si>
    <t>size-26-101707</t>
  </si>
  <si>
    <t>9.5 ft</t>
  </si>
  <si>
    <t>size-20-101707</t>
  </si>
  <si>
    <t>1000 lb</t>
  </si>
  <si>
    <t>size-21-3806</t>
  </si>
  <si>
    <t>size-22-3806</t>
  </si>
  <si>
    <t>size-23-3806</t>
  </si>
  <si>
    <t>8 row</t>
  </si>
  <si>
    <t>size-24-3806</t>
  </si>
  <si>
    <t>500 bushel</t>
  </si>
  <si>
    <t>power-1-22706</t>
  </si>
  <si>
    <t>power-2-22706</t>
  </si>
  <si>
    <t>power-3-22706</t>
  </si>
  <si>
    <t>power-4-22706</t>
  </si>
  <si>
    <t>power-5-22706</t>
  </si>
  <si>
    <t>power-6-22706</t>
  </si>
  <si>
    <t>power-7-22706</t>
  </si>
  <si>
    <t>power-8-22706</t>
  </si>
  <si>
    <t>power-9-22706</t>
  </si>
  <si>
    <t>power-10-22706</t>
  </si>
  <si>
    <t>power-11-22706</t>
  </si>
  <si>
    <t>power-12-22706</t>
  </si>
  <si>
    <t>power-13-22706</t>
  </si>
  <si>
    <t>power-14-22706</t>
  </si>
  <si>
    <t>power-15-22706</t>
  </si>
  <si>
    <t>200 MFWD</t>
  </si>
  <si>
    <t>power-16-22706</t>
  </si>
  <si>
    <t>power-17-22706</t>
  </si>
  <si>
    <t>power-18-22706</t>
  </si>
  <si>
    <t>power-19-22706</t>
  </si>
  <si>
    <t>power-20-22706</t>
  </si>
  <si>
    <t>130 MFWD</t>
  </si>
  <si>
    <t>power-21-22706</t>
  </si>
  <si>
    <t>power-22-22706</t>
  </si>
  <si>
    <t>power-23-22706</t>
  </si>
  <si>
    <t>power-24-22706</t>
  </si>
  <si>
    <t>power-25-22706</t>
  </si>
  <si>
    <t>power-26-22706</t>
  </si>
  <si>
    <t>power-27-22706</t>
  </si>
  <si>
    <t>power-28-22706</t>
  </si>
  <si>
    <t>power-29-22706</t>
  </si>
  <si>
    <t>power-30-22706</t>
  </si>
  <si>
    <t>power-31-22706</t>
  </si>
  <si>
    <t>power-32-22706</t>
  </si>
  <si>
    <t>power-33-22706</t>
  </si>
  <si>
    <t>power-34-22706</t>
  </si>
  <si>
    <t>power-35-22706</t>
  </si>
  <si>
    <t>power-36-22706</t>
  </si>
  <si>
    <t>power-37-22706</t>
  </si>
  <si>
    <t>power-38-22706</t>
  </si>
  <si>
    <t>passes-1-22706</t>
  </si>
  <si>
    <t>passes-2-22706</t>
  </si>
  <si>
    <t>passes-3-22706</t>
  </si>
  <si>
    <t>passes-4-22706</t>
  </si>
  <si>
    <t>passes-5-22706</t>
  </si>
  <si>
    <t>passes-6-22706</t>
  </si>
  <si>
    <t>passes-7-22706</t>
  </si>
  <si>
    <t>passes-8-22706</t>
  </si>
  <si>
    <t>passes-9-22706</t>
  </si>
  <si>
    <t>passes-10-22706</t>
  </si>
  <si>
    <t>passes-11-22706</t>
  </si>
  <si>
    <t>passes-12-22706</t>
  </si>
  <si>
    <t>passes-13-22706</t>
  </si>
  <si>
    <t>passes-14-22706</t>
  </si>
  <si>
    <t>passes-15-22706</t>
  </si>
  <si>
    <t>passes-16-22706</t>
  </si>
  <si>
    <t>passes-17-22706</t>
  </si>
  <si>
    <t>passes-18-22706</t>
  </si>
  <si>
    <t>passes-19-22706</t>
  </si>
  <si>
    <t>passes-20-22706</t>
  </si>
  <si>
    <t>passes-21-22706</t>
  </si>
  <si>
    <t>passes-22-22706</t>
  </si>
  <si>
    <t>passes-23-22706</t>
  </si>
  <si>
    <t>passes-24-22706</t>
  </si>
  <si>
    <t>passes-25-22706</t>
  </si>
  <si>
    <t>passes-26-22706</t>
  </si>
  <si>
    <t>passes-27-22706</t>
  </si>
  <si>
    <t>passes-28-22706</t>
  </si>
  <si>
    <t>passes-29-22706</t>
  </si>
  <si>
    <t>passes-30-22706</t>
  </si>
  <si>
    <t>passes-31-22706</t>
  </si>
  <si>
    <t>passes-32-22706</t>
  </si>
  <si>
    <t>passes-33-22706</t>
  </si>
  <si>
    <t>passes-34-22706</t>
  </si>
  <si>
    <t>passes-35-22706</t>
  </si>
  <si>
    <t>passes-36-22706</t>
  </si>
  <si>
    <t>passes-37-22706</t>
  </si>
  <si>
    <t>passes-38-22706</t>
  </si>
  <si>
    <t>passes-39-22706</t>
  </si>
  <si>
    <t>passes-40-22706</t>
  </si>
  <si>
    <t>rent-1-82906</t>
  </si>
  <si>
    <t>rent-2-82906</t>
  </si>
  <si>
    <t>rent-3-82906</t>
  </si>
  <si>
    <t>rent-4-82906</t>
  </si>
  <si>
    <t>rent-5-82906</t>
  </si>
  <si>
    <t>rent-6-82906</t>
  </si>
  <si>
    <t>rent-7-82906</t>
  </si>
  <si>
    <t>rent-8-82906</t>
  </si>
  <si>
    <t>rent-9-82906</t>
  </si>
  <si>
    <t>rent-10-82906</t>
  </si>
  <si>
    <t>rent-11-82906</t>
  </si>
  <si>
    <t>rent-12-82906</t>
  </si>
  <si>
    <t>rent-13-82906</t>
  </si>
  <si>
    <t>rent-14-82906</t>
  </si>
  <si>
    <t>rent-15-82906</t>
  </si>
  <si>
    <t>rent-16-82906</t>
  </si>
  <si>
    <t>rent-17-82906</t>
  </si>
  <si>
    <t>rent-18-82906</t>
  </si>
  <si>
    <t>rent-19-82906</t>
  </si>
  <si>
    <t>rent-20-82906</t>
  </si>
  <si>
    <t>rent-21-82906</t>
  </si>
  <si>
    <t>rent-22-82906</t>
  </si>
  <si>
    <t>rent-23-82906</t>
  </si>
  <si>
    <t>rent-24-82906</t>
  </si>
  <si>
    <t>rent-25-82906</t>
  </si>
  <si>
    <t>rent-26-82906</t>
  </si>
  <si>
    <t>rent-27-82906</t>
  </si>
  <si>
    <t>rent-28-82906</t>
  </si>
  <si>
    <t>rent-29-82906</t>
  </si>
  <si>
    <t>rent-30-82906</t>
  </si>
  <si>
    <t>rent-31-82906</t>
  </si>
  <si>
    <t>rent-32-82906</t>
  </si>
  <si>
    <t>rent-33-82906</t>
  </si>
  <si>
    <t>rent-34-82906</t>
  </si>
  <si>
    <t>rent-35-82906</t>
  </si>
  <si>
    <t>rent-36-82906</t>
  </si>
  <si>
    <t>rent-37-82906</t>
  </si>
  <si>
    <t>rent-38-82906</t>
  </si>
  <si>
    <t>rent-39-82906</t>
  </si>
  <si>
    <t>rent-40-82906</t>
  </si>
  <si>
    <t>Other income</t>
  </si>
  <si>
    <t>Selected input quantities</t>
  </si>
  <si>
    <t>Phosphorus rate, pounds P2O5</t>
  </si>
  <si>
    <t>Potassium rate, pounds K2O</t>
  </si>
  <si>
    <t>Lime rate, tons</t>
  </si>
  <si>
    <t>Selected input prices</t>
  </si>
  <si>
    <t>Potassium, per pound K2O</t>
  </si>
  <si>
    <t>Lime, per ton</t>
  </si>
  <si>
    <t>Farm diesel, per gallon</t>
  </si>
  <si>
    <t>Yes</t>
  </si>
  <si>
    <t>Labor</t>
  </si>
  <si>
    <t>Fuel</t>
  </si>
  <si>
    <t>Machine activity (not custom)</t>
  </si>
  <si>
    <t>per acre</t>
  </si>
  <si>
    <t xml:space="preserve">  $ per unit</t>
  </si>
  <si>
    <t>Phosphorus, per pound P2O5</t>
  </si>
  <si>
    <t>Pickup truck</t>
  </si>
  <si>
    <t>Nitrogen, per pound N</t>
  </si>
  <si>
    <t>Skilled labor, per hours</t>
  </si>
  <si>
    <t>Nitrogen rate, pounds N</t>
  </si>
  <si>
    <t>Operating</t>
  </si>
  <si>
    <t>Ownership</t>
  </si>
  <si>
    <t>Total</t>
  </si>
  <si>
    <t>Hours</t>
  </si>
  <si>
    <t>Gallons</t>
  </si>
  <si>
    <t>Costs</t>
  </si>
  <si>
    <t>$ per acre</t>
  </si>
  <si>
    <r>
      <t>Costs</t>
    </r>
    <r>
      <rPr>
        <vertAlign val="superscript"/>
        <sz val="10"/>
        <rFont val="Segoe UI"/>
        <family val="2"/>
        <scheme val="minor"/>
      </rPr>
      <t>2</t>
    </r>
  </si>
  <si>
    <t>Updated: 10/2023</t>
  </si>
  <si>
    <t>Income</t>
  </si>
  <si>
    <t>Total per acre</t>
  </si>
  <si>
    <t>Total income</t>
  </si>
  <si>
    <t xml:space="preserve">Total operating costs </t>
  </si>
  <si>
    <t xml:space="preserve">Total ownership costs </t>
  </si>
  <si>
    <t>Total costs</t>
  </si>
  <si>
    <t>Price per unit</t>
  </si>
  <si>
    <t>Subtotal</t>
  </si>
  <si>
    <t xml:space="preserve">Operating costs </t>
  </si>
  <si>
    <t>Unit</t>
  </si>
  <si>
    <t>Activity</t>
  </si>
  <si>
    <t xml:space="preserve">Apply dry fertilizer on cropland, single spread </t>
  </si>
  <si>
    <t>None</t>
  </si>
  <si>
    <t>Note: Equipment and power selection and data are from 2023 Lazarus Machdata.</t>
  </si>
  <si>
    <t>Cells with this color can be updated by using future Lazarus data or with data that the user has access to.</t>
  </si>
  <si>
    <t>Notes: I reduced this from the table Lazarus provides by eliminating the reference to Wu-Perry coefficients</t>
  </si>
  <si>
    <t>Items from Lazarus machdata.xls. Values may have been changed by me.</t>
  </si>
  <si>
    <t>Implements</t>
  </si>
  <si>
    <t>"Coefficients" table</t>
  </si>
  <si>
    <t>Selection</t>
  </si>
  <si>
    <t>Implement type</t>
  </si>
  <si>
    <t>Width</t>
  </si>
  <si>
    <t>Width Unit</t>
  </si>
  <si>
    <t>Size</t>
  </si>
  <si>
    <t>Size unit</t>
  </si>
  <si>
    <t>PriceP</t>
  </si>
  <si>
    <t>Discount</t>
  </si>
  <si>
    <t>PriceL</t>
  </si>
  <si>
    <t>Life (yr)</t>
  </si>
  <si>
    <t>Use (hr/yr)</t>
  </si>
  <si>
    <t>Use (ac/yr)</t>
  </si>
  <si>
    <t>ASABEtype</t>
  </si>
  <si>
    <t>Speed</t>
  </si>
  <si>
    <t>Efficiency</t>
  </si>
  <si>
    <t>LaborUse</t>
  </si>
  <si>
    <t>Shed (ft^2)</t>
  </si>
  <si>
    <t>TradeIn%</t>
  </si>
  <si>
    <t>TradeIn$</t>
  </si>
  <si>
    <t>Depr ($/ac)</t>
  </si>
  <si>
    <t>OH ($/ac)</t>
  </si>
  <si>
    <t>Rep ($/ac)</t>
  </si>
  <si>
    <t>hr/ac</t>
  </si>
  <si>
    <t>Ownership costs($/ac)</t>
  </si>
  <si>
    <t>Order in Lazarus</t>
  </si>
  <si>
    <t>HP &amp; descriptive information</t>
  </si>
  <si>
    <t>HP</t>
  </si>
  <si>
    <t>Information</t>
  </si>
  <si>
    <t>Fuel (gal/hph)</t>
  </si>
  <si>
    <t>Depr ($/hr)</t>
  </si>
  <si>
    <t>OH ($/hr)</t>
  </si>
  <si>
    <t>Rep ($/hr)</t>
  </si>
  <si>
    <t>Fuel (gal/hr)</t>
  </si>
  <si>
    <t>Ownership costs ($/hr)</t>
  </si>
  <si>
    <t>ASABE Category</t>
  </si>
  <si>
    <t>RF1</t>
  </si>
  <si>
    <t>RF2</t>
  </si>
  <si>
    <t>Life (hr)</t>
  </si>
  <si>
    <t>RV1</t>
  </si>
  <si>
    <t>RV2</t>
  </si>
  <si>
    <t>RV3</t>
  </si>
  <si>
    <t>RV4</t>
  </si>
  <si>
    <t>RV5</t>
  </si>
  <si>
    <t>δ</t>
  </si>
  <si>
    <t>Note</t>
  </si>
  <si>
    <t>Item</t>
  </si>
  <si>
    <t>Value</t>
  </si>
  <si>
    <t>Chisel plow</t>
  </si>
  <si>
    <t>Ft</t>
  </si>
  <si>
    <t>Two wheel drive tractors</t>
  </si>
  <si>
    <t>Air-carrier sprayer</t>
  </si>
  <si>
    <t>Labor ($/hr)</t>
  </si>
  <si>
    <t>Bean puller-windrower</t>
  </si>
  <si>
    <t>Interest rate, % of average investment</t>
  </si>
  <si>
    <t>Beet topper/stalk chopper</t>
  </si>
  <si>
    <t>Insurance Rate</t>
  </si>
  <si>
    <t xml:space="preserve">Chisel plow, front dsk </t>
  </si>
  <si>
    <t>Tandem disk harrow</t>
  </si>
  <si>
    <t>HP MFWD</t>
  </si>
  <si>
    <t>Mech. front wheel drive tractors</t>
  </si>
  <si>
    <t>Boom type sprayer</t>
  </si>
  <si>
    <t>Property taxes</t>
  </si>
  <si>
    <t>Fuel price, $/gallon</t>
  </si>
  <si>
    <t>Moldboard plow</t>
  </si>
  <si>
    <t>Bottom</t>
  </si>
  <si>
    <t>Combine</t>
  </si>
  <si>
    <t>***</t>
  </si>
  <si>
    <t>Lubrication cost, % of fuel</t>
  </si>
  <si>
    <t>Corn picker sheller</t>
  </si>
  <si>
    <t>Storage cost/sq. foot of space</t>
  </si>
  <si>
    <t>Field cultivator</t>
  </si>
  <si>
    <t>Field cultivators</t>
  </si>
  <si>
    <t>Cotton picker</t>
  </si>
  <si>
    <t>Inflation Rate, % per year</t>
  </si>
  <si>
    <t>Four wheel drive tractors &amp; crawlers</t>
  </si>
  <si>
    <t>Fertilizer spreader</t>
  </si>
  <si>
    <t>2023 U.S. net farm income forecast ($ billions)</t>
  </si>
  <si>
    <t>HP 4WD</t>
  </si>
  <si>
    <t>GDP implicit price deflator, 2022 4th quarter</t>
  </si>
  <si>
    <t>Tandem disk</t>
  </si>
  <si>
    <t>Forage blower</t>
  </si>
  <si>
    <t>GDP implicit price deflator, 1996</t>
  </si>
  <si>
    <t>Forage harvester</t>
  </si>
  <si>
    <t>Real net farm income projected at trade-in, in $ billion 1996 dollars</t>
  </si>
  <si>
    <t>Row crop planter</t>
  </si>
  <si>
    <t>Row</t>
  </si>
  <si>
    <t>HP Combine</t>
  </si>
  <si>
    <t>Forage harvester (SP)</t>
  </si>
  <si>
    <t>Acres conversion factor</t>
  </si>
  <si>
    <t>Forage wagons</t>
  </si>
  <si>
    <t>HP SP Forage Harvester Base Unit</t>
  </si>
  <si>
    <t>Grain drill</t>
  </si>
  <si>
    <t>Heavy Duty disk harrow</t>
  </si>
  <si>
    <t>Large rectangular baler</t>
  </si>
  <si>
    <t>Large round baler</t>
  </si>
  <si>
    <r>
      <t>Repair estimates are based on coefficients for the following function from the 2006</t>
    </r>
    <r>
      <rPr>
        <u/>
        <sz val="11"/>
        <rFont val="Arial"/>
        <family val="2"/>
      </rPr>
      <t xml:space="preserve"> ASABE Standards</t>
    </r>
    <r>
      <rPr>
        <sz val="11"/>
        <rFont val="Arial"/>
        <family val="2"/>
      </rPr>
      <t xml:space="preserve"> by the</t>
    </r>
  </si>
  <si>
    <t>Manure handling equipment</t>
  </si>
  <si>
    <t>*</t>
  </si>
  <si>
    <t>American Society of Agricultural and Biological Engineers, sections D497.5 FEB2006 and EP496.3 FEB2006</t>
  </si>
  <si>
    <t>Air seeder drill w/cart</t>
  </si>
  <si>
    <t>Moldboard plows</t>
  </si>
  <si>
    <t>No-till drill</t>
  </si>
  <si>
    <t>Mower</t>
  </si>
  <si>
    <t>Row cultivator</t>
  </si>
  <si>
    <t>Row crop cultivator</t>
  </si>
  <si>
    <t>Mower (rotary)</t>
  </si>
  <si>
    <t>Boom sprayer - self-propelled</t>
  </si>
  <si>
    <t>Sprayer (SP)</t>
  </si>
  <si>
    <t>Mower-conditioner</t>
  </si>
  <si>
    <t>Boom sprayer - pull-type</t>
  </si>
  <si>
    <t>Mower-conditioner (rotary)</t>
  </si>
  <si>
    <t>Stalk shredder</t>
  </si>
  <si>
    <t>Mulcher-packer</t>
  </si>
  <si>
    <t>Potato harvester</t>
  </si>
  <si>
    <t>Hay rake</t>
  </si>
  <si>
    <t>Side delivery rake</t>
  </si>
  <si>
    <t>Rectangular baler</t>
  </si>
  <si>
    <t>Hay merger</t>
  </si>
  <si>
    <t>Roller packer</t>
  </si>
  <si>
    <t>Windrower (SP)</t>
  </si>
  <si>
    <t>Rotary hoe</t>
  </si>
  <si>
    <t>Rotary tiller</t>
  </si>
  <si>
    <t>Round baler</t>
  </si>
  <si>
    <t>5x6</t>
  </si>
  <si>
    <t>3x3</t>
  </si>
  <si>
    <t>4x3</t>
  </si>
  <si>
    <t>Spring tooth harrow</t>
  </si>
  <si>
    <t>Forage harvester, pull-type w/corn head</t>
  </si>
  <si>
    <t>Forage harvester (Pull)</t>
  </si>
  <si>
    <t>Sugar beet harvester</t>
  </si>
  <si>
    <t>Forage harvester, pull-type w/pickup head</t>
  </si>
  <si>
    <t>Forage harvester, self-prop corn head</t>
  </si>
  <si>
    <t>Total mixed ration mixer wagons</t>
  </si>
  <si>
    <t>Forage harvester, self-prop pickup head</t>
  </si>
  <si>
    <t>Wagon</t>
  </si>
  <si>
    <t>Forage harvester, self-prop pickup head (2X windrows)</t>
  </si>
  <si>
    <t>Combine platform</t>
  </si>
  <si>
    <t>Skid-steer loader</t>
  </si>
  <si>
    <t>Combine corn hd</t>
  </si>
  <si>
    <t>Combine chopping corn hd</t>
  </si>
  <si>
    <t>Combine belt pickup hd</t>
  </si>
  <si>
    <t>Grain cart</t>
  </si>
  <si>
    <t>Type</t>
  </si>
  <si>
    <t>Avg. cost/unit</t>
  </si>
  <si>
    <t>Field work</t>
  </si>
  <si>
    <t>Heavy or offset disking</t>
  </si>
  <si>
    <t>Vertical tillage tool</t>
  </si>
  <si>
    <t>Cut brush (brush hog)</t>
  </si>
  <si>
    <t>per hour</t>
  </si>
  <si>
    <t>Mow pasture or CRP land</t>
  </si>
  <si>
    <t>Planting</t>
  </si>
  <si>
    <t>Conventional planting, corn or grain sorghum, 30-inch rows</t>
  </si>
  <si>
    <t>Conventional planting, corn or grain sorghum, narrow rows</t>
  </si>
  <si>
    <t>Conventional planting, corn or grain sorghum, plant and apply fertilizer or chemicals</t>
  </si>
  <si>
    <t>Conventional planting, soybean, 30-inch rows</t>
  </si>
  <si>
    <t>Conventional planting, soybean, 15-inch rows</t>
  </si>
  <si>
    <t>Conventional planting, soybean, drill</t>
  </si>
  <si>
    <t>Conventional planting, small grains or forage crops, drill</t>
  </si>
  <si>
    <t>No-till planting, corn or grain sorghum, 30-inch rows</t>
  </si>
  <si>
    <t>No-till planting, corn or grain sorghum, narrow rows</t>
  </si>
  <si>
    <t>No-till planting, soybean, 30-inch rows</t>
  </si>
  <si>
    <t>No-till planting, soybean, 15-inch rows</t>
  </si>
  <si>
    <t>No-till planting, small grains or forage crops, drill</t>
  </si>
  <si>
    <t>Fert and chemicals</t>
  </si>
  <si>
    <t>Apply dry fertilizer on cropland, double spread</t>
  </si>
  <si>
    <t>Apply dry fertilizer on cropland, variable rate</t>
  </si>
  <si>
    <t>Apply dry fertilizer on pasture, topdressing</t>
  </si>
  <si>
    <t xml:space="preserve">Apply dry fertilizer plus seed </t>
  </si>
  <si>
    <t>Spray liquid fertilizer</t>
  </si>
  <si>
    <t>Spray liquid fertilizer and other chemicals</t>
  </si>
  <si>
    <t>Inject anhydrous ammonia</t>
  </si>
  <si>
    <t>Deliver and spread lime (includes lime)</t>
  </si>
  <si>
    <t>per ton</t>
  </si>
  <si>
    <t>Spread lime only</t>
  </si>
  <si>
    <t>Spray chemicals with self-propelled crop sprayer</t>
  </si>
  <si>
    <t>Spray chemicals with floater</t>
  </si>
  <si>
    <t>Spray chemicals with pull-type sprayer</t>
  </si>
  <si>
    <t>Harvest and haul</t>
  </si>
  <si>
    <t>Combine corn</t>
  </si>
  <si>
    <t>Combine soybean</t>
  </si>
  <si>
    <t>Combine small grains</t>
  </si>
  <si>
    <t>Grain cart, in field</t>
  </si>
  <si>
    <t>per bushel</t>
  </si>
  <si>
    <t>per loaded mile</t>
  </si>
  <si>
    <t>Cut and condition hay</t>
  </si>
  <si>
    <t>Rake hay</t>
  </si>
  <si>
    <t>Round bale only with net wrap</t>
  </si>
  <si>
    <t>per bale</t>
  </si>
  <si>
    <t>Cut, rake and bale with net wrap</t>
  </si>
  <si>
    <t>Tube wrap round bales, with wrap</t>
  </si>
  <si>
    <t>Implement used</t>
  </si>
  <si>
    <t>Power Used</t>
  </si>
  <si>
    <t xml:space="preserve">Fuel </t>
  </si>
  <si>
    <t xml:space="preserve">Labor </t>
  </si>
  <si>
    <t>Total
 cost</t>
  </si>
  <si>
    <t>Ft Folding</t>
  </si>
  <si>
    <t>Wheel rake</t>
  </si>
  <si>
    <t>Disk mower</t>
  </si>
  <si>
    <t>Disk mower/conditioner</t>
  </si>
  <si>
    <t>HP Tracked 4WD</t>
  </si>
  <si>
    <t>Front end loader, tractor mounted</t>
  </si>
  <si>
    <t>Cultimulcher</t>
  </si>
  <si>
    <t>160 HP MFWD</t>
  </si>
  <si>
    <t>Small square baler, twine tie</t>
  </si>
  <si>
    <t>Power equipment</t>
  </si>
  <si>
    <t>Passes</t>
  </si>
  <si>
    <t>Inline bale wrapper</t>
  </si>
  <si>
    <t>Rotary Mower (brush hog)</t>
  </si>
  <si>
    <t>Round baler w/net wrap</t>
  </si>
  <si>
    <t>To edit machinery assumptions, see the machinery tab.</t>
  </si>
  <si>
    <t>Hay tedder</t>
  </si>
  <si>
    <t>basket</t>
  </si>
  <si>
    <t>wheel</t>
  </si>
  <si>
    <t>Disk mower, 9 Ft</t>
  </si>
  <si>
    <t>Anhydrous applicator</t>
  </si>
  <si>
    <r>
      <t>Costs</t>
    </r>
    <r>
      <rPr>
        <vertAlign val="superscript"/>
        <sz val="10"/>
        <rFont val="Segoe UI"/>
        <family val="2"/>
        <scheme val="minor"/>
      </rPr>
      <t>1</t>
    </r>
  </si>
  <si>
    <r>
      <t>$ per acre</t>
    </r>
    <r>
      <rPr>
        <vertAlign val="superscript"/>
        <sz val="10"/>
        <rFont val="Segoe UI"/>
        <family val="2"/>
        <scheme val="minor"/>
      </rPr>
      <t>3</t>
    </r>
  </si>
  <si>
    <t>HP TWD</t>
  </si>
  <si>
    <t>75 HP TWD</t>
  </si>
  <si>
    <t>Abbreviations:</t>
  </si>
  <si>
    <t>TWD - Two-wheel drive</t>
  </si>
  <si>
    <t>MFWD - Mechanical front-wheel drive</t>
  </si>
  <si>
    <t>4WD - Articulated four wheel drive</t>
  </si>
  <si>
    <t>Operation type</t>
  </si>
  <si>
    <t>Primary tillage</t>
  </si>
  <si>
    <t>Planters</t>
  </si>
  <si>
    <t>Hay equipment</t>
  </si>
  <si>
    <t>Land management</t>
  </si>
  <si>
    <t>Forage harvesters</t>
  </si>
  <si>
    <t>Attachments</t>
  </si>
  <si>
    <t>Finish tillage</t>
  </si>
  <si>
    <t>Weed control</t>
  </si>
  <si>
    <t>Fertilization</t>
  </si>
  <si>
    <t>Grain harvest</t>
  </si>
  <si>
    <t xml:space="preserve">Activity </t>
  </si>
  <si>
    <t>Rate</t>
  </si>
  <si>
    <t>Machinery fuel</t>
  </si>
  <si>
    <t>gallon/acre covered</t>
  </si>
  <si>
    <t>hours/acre covered</t>
  </si>
  <si>
    <t>$/acre covered</t>
  </si>
  <si>
    <t>$/acre operated</t>
  </si>
  <si>
    <t>per acre operated</t>
  </si>
  <si>
    <t>Machinery ownership</t>
  </si>
  <si>
    <t>Combine grass seed</t>
  </si>
  <si>
    <t>Custom hire activities</t>
  </si>
  <si>
    <t>Unit of charge</t>
  </si>
  <si>
    <t>To edit custom hire assumptions, see the custom hire tab.</t>
  </si>
  <si>
    <t>Haul grain or seed from bin to market</t>
  </si>
  <si>
    <t>Haul grain or seed from field to farm storage</t>
  </si>
  <si>
    <t>Move round (or large square) bales locally</t>
  </si>
  <si>
    <t>Pick up and move small square bales locally</t>
  </si>
  <si>
    <t>Crop supplies, storage and marketing</t>
  </si>
  <si>
    <t>INCOME OVER OPERATING COSTS</t>
  </si>
  <si>
    <t>INCOME OVER TOTAL COSTS</t>
  </si>
  <si>
    <t>Ownership costs</t>
  </si>
  <si>
    <t>Producer activities</t>
  </si>
  <si>
    <r>
      <rPr>
        <vertAlign val="superscript"/>
        <sz val="10"/>
        <rFont val="Segoe UI"/>
        <family val="2"/>
        <scheme val="minor"/>
      </rPr>
      <t>1</t>
    </r>
    <r>
      <rPr>
        <sz val="10"/>
        <rFont val="Segoe UI"/>
        <family val="2"/>
        <scheme val="minor"/>
      </rPr>
      <t>Machinery operating cost is the sum of fuel, repairs, maintenance, and the value of labor</t>
    </r>
  </si>
  <si>
    <r>
      <rPr>
        <vertAlign val="superscript"/>
        <sz val="10"/>
        <rFont val="Segoe UI"/>
        <family val="2"/>
        <scheme val="minor"/>
      </rPr>
      <t>2</t>
    </r>
    <r>
      <rPr>
        <sz val="10"/>
        <rFont val="Segoe UI"/>
        <family val="2"/>
        <scheme val="minor"/>
      </rPr>
      <t>Machinery ownership cost is the sum of machinery overhead and depreciation.</t>
    </r>
  </si>
  <si>
    <r>
      <rPr>
        <vertAlign val="superscript"/>
        <sz val="10"/>
        <rFont val="Segoe UI"/>
        <family val="2"/>
        <scheme val="minor"/>
      </rPr>
      <t>3</t>
    </r>
    <r>
      <rPr>
        <sz val="10"/>
        <rFont val="Segoe UI"/>
        <family val="2"/>
        <scheme val="minor"/>
      </rPr>
      <t>Totals may not sum due to rounding</t>
    </r>
  </si>
  <si>
    <t>Per acre</t>
  </si>
  <si>
    <t>Source</t>
  </si>
  <si>
    <t>MU Custom Rates, 2023</t>
  </si>
  <si>
    <t>Corn Silage Pricing Spreadsheet, 2023</t>
  </si>
  <si>
    <t xml:space="preserve">Silage chopping </t>
  </si>
  <si>
    <t>Presswheel drill</t>
  </si>
  <si>
    <t>Drew's research in 2023</t>
  </si>
  <si>
    <t>Ryan Milhollin, Juo-Han Tsay and Drew Kientzy</t>
  </si>
  <si>
    <t>Industrial Hemp for Fiber</t>
  </si>
  <si>
    <t>Missouri Industrial Hemp for Fiber Budget</t>
  </si>
  <si>
    <t>Develop a customized budget by changing production and cost assumptions to fit your farming situation.</t>
  </si>
  <si>
    <t>Hemp fiber bales</t>
  </si>
  <si>
    <t>pounds</t>
  </si>
  <si>
    <t>Fiber yield, pounds</t>
  </si>
  <si>
    <t>Fiber market price, per pound</t>
  </si>
  <si>
    <t>Tandem disk, 21 Ft Folding</t>
  </si>
  <si>
    <t>Presswheel drill, 16 Ft</t>
  </si>
  <si>
    <t>Non-machinery labor, hours</t>
  </si>
  <si>
    <t>Industrial Hemp for Fiber Planning Budget</t>
  </si>
  <si>
    <t>Sickle bar mower</t>
  </si>
  <si>
    <t>https://www.durattach.com/108-inch-farm-maxx-sbm-series-sickle-bar-mowers-model-fsbm-9h.html</t>
  </si>
  <si>
    <t>Hay rake, 30 Ft Folding</t>
  </si>
  <si>
    <t>Round baler, 30 Ft</t>
  </si>
  <si>
    <t>Cultimulcher, 21 Ft Folding</t>
  </si>
  <si>
    <t>Cost</t>
  </si>
  <si>
    <t>Move round (or large square) bales on farm</t>
  </si>
  <si>
    <t>Assumed $4.00 per loaded mile, 50 miles, 18 tons on truck, 1200 bale</t>
  </si>
  <si>
    <t>Sampling/testing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</si>
</sst>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m/d/yyyy;@"/>
    <numFmt numFmtId="165" formatCode="&quot;$&quot;#,##0.00"/>
    <numFmt numFmtId="166" formatCode="0.0%"/>
    <numFmt numFmtId="167" formatCode="0.0"/>
    <numFmt numFmtId="168" formatCode="_(* #,##0_);_(* \(#,##0\);_(* &quot;-&quot;??_);_(@_)"/>
    <numFmt numFmtId="169" formatCode="#,##0.0"/>
    <numFmt numFmtId="170" formatCode="#,##0.000"/>
    <numFmt numFmtId="171" formatCode="#,##0.0_);\(#,##0.0\)"/>
    <numFmt numFmtId="172" formatCode="_(* #,##0.0000_);_(* \(#,##0.0000\);_(* &quot;-&quot;??_);_(@_)"/>
  </numFmts>
  <fonts count="35">
    <font>
      <sz val="11"/>
      <color theme="1"/>
      <name val="Segoe UI"/>
      <family val="2"/>
      <scheme val="minor"/>
    </font>
    <font>
      <sz val="10"/>
      <name val="TimesNewRomanPS"/>
    </font>
    <font>
      <sz val="11"/>
      <color theme="1"/>
      <name val="Segoe UI"/>
      <family val="2"/>
      <scheme val="minor"/>
    </font>
    <font>
      <b/>
      <sz val="11"/>
      <color rgb="FF3F3F3F"/>
      <name val="Segoe UI"/>
      <family val="2"/>
      <scheme val="minor"/>
    </font>
    <font>
      <sz val="11"/>
      <name val="Segoe UI"/>
      <family val="2"/>
      <scheme val="minor"/>
    </font>
    <font>
      <b/>
      <sz val="11"/>
      <name val="Segoe UI"/>
      <family val="2"/>
      <scheme val="minor"/>
    </font>
    <font>
      <i/>
      <sz val="11"/>
      <name val="Segoe UI"/>
      <family val="2"/>
      <scheme val="minor"/>
    </font>
    <font>
      <sz val="10"/>
      <name val="Segoe UI"/>
      <family val="2"/>
      <scheme val="minor"/>
    </font>
    <font>
      <vertAlign val="superscript"/>
      <sz val="10"/>
      <name val="Segoe UI"/>
      <family val="2"/>
      <scheme val="minor"/>
    </font>
    <font>
      <sz val="8"/>
      <name val="Segoe UI"/>
      <family val="2"/>
      <scheme val="minor"/>
    </font>
    <font>
      <b/>
      <sz val="10"/>
      <name val="Segoe UI"/>
      <family val="2"/>
      <scheme val="minor"/>
    </font>
    <font>
      <sz val="11"/>
      <color theme="1"/>
      <name val="Segoe UI"/>
      <family val="2"/>
    </font>
    <font>
      <b/>
      <sz val="14"/>
      <color rgb="FFF1B82D"/>
      <name val="Segoe UI"/>
      <family val="2"/>
    </font>
    <font>
      <b/>
      <sz val="11"/>
      <color theme="1"/>
      <name val="Segoe UI"/>
      <family val="2"/>
    </font>
    <font>
      <sz val="12"/>
      <color theme="1"/>
      <name val="Segoe UI"/>
      <family val="2"/>
    </font>
    <font>
      <sz val="10"/>
      <name val="Segoe UI"/>
      <family val="2"/>
    </font>
    <font>
      <b/>
      <sz val="14"/>
      <color rgb="FFF1B82D"/>
      <name val="Segoe UI Black"/>
      <family val="2"/>
      <scheme val="major"/>
    </font>
    <font>
      <b/>
      <sz val="10"/>
      <color rgb="FF3F3F3F"/>
      <name val="Segoe UI"/>
      <family val="2"/>
    </font>
    <font>
      <sz val="10"/>
      <color theme="1"/>
      <name val="Segoe UI"/>
      <family val="2"/>
      <scheme val="minor"/>
    </font>
    <font>
      <b/>
      <u/>
      <sz val="11"/>
      <name val="Segoe UI"/>
      <family val="2"/>
      <scheme val="minor"/>
    </font>
    <font>
      <b/>
      <sz val="10"/>
      <color theme="1"/>
      <name val="Segoe UI"/>
      <family val="2"/>
    </font>
    <font>
      <sz val="10"/>
      <color theme="1"/>
      <name val="Segoe UI"/>
      <family val="2"/>
    </font>
    <font>
      <b/>
      <sz val="10"/>
      <name val="Segoe UI"/>
      <family val="2"/>
    </font>
    <font>
      <sz val="10"/>
      <color indexed="8"/>
      <name val="Segoe UI"/>
      <family val="2"/>
    </font>
    <font>
      <b/>
      <sz val="10"/>
      <color rgb="FFF1B82D"/>
      <name val="Segoe UI"/>
      <family val="2"/>
    </font>
    <font>
      <sz val="10"/>
      <color rgb="FFF1B82D"/>
      <name val="Segoe UI"/>
      <family val="2"/>
    </font>
    <font>
      <sz val="11"/>
      <name val="Arial"/>
      <family val="2"/>
    </font>
    <font>
      <u/>
      <sz val="1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i/>
      <sz val="8"/>
      <color theme="1"/>
      <name val="Segoe UI"/>
      <family val="2"/>
    </font>
    <font>
      <sz val="10"/>
      <color rgb="FFFFC000"/>
      <name val="Segoe UI"/>
      <family val="2"/>
    </font>
    <font>
      <i/>
      <sz val="10"/>
      <name val="Segoe UI"/>
      <family val="2"/>
      <scheme val="minor"/>
    </font>
  </fonts>
  <fills count="7">
    <fill>
      <patternFill patternType="none"/>
    </fill>
    <fill>
      <patternFill patternType="gray125"/>
    </fill>
    <fill>
      <patternFill patternType="solid">
        <fgColor rgb="FFF2F2F2"/>
      </patternFill>
    </fill>
    <fill>
      <patternFill patternType="solid">
        <fgColor theme="1"/>
        <bgColor indexed="64"/>
      </patternFill>
    </fill>
    <fill>
      <patternFill patternType="solid">
        <fgColor theme="2"/>
        <bgColor indexed="64"/>
      </patternFill>
    </fill>
    <fill>
      <patternFill patternType="solid">
        <fgColor theme="1"/>
        <bgColor theme="1"/>
      </patternFill>
    </fill>
    <fill>
      <patternFill patternType="solid">
        <fgColor theme="0"/>
        <bgColor indexed="64"/>
      </patternFill>
    </fill>
  </fills>
  <borders count="24">
    <border>
      <left/>
      <right/>
      <top/>
      <bottom/>
      <diagonal/>
    </border>
    <border>
      <left/>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style="thin">
        <color rgb="FF3F3F3F"/>
      </left>
      <right/>
      <top style="thin">
        <color rgb="FF3F3F3F"/>
      </top>
      <bottom style="thin">
        <color rgb="FF3F3F3F"/>
      </bottom>
      <diagonal/>
    </border>
    <border>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theme="1"/>
      </left>
      <right/>
      <top style="thin">
        <color theme="1"/>
      </top>
      <bottom/>
      <diagonal/>
    </border>
    <border>
      <left/>
      <right style="medium">
        <color indexed="64"/>
      </right>
      <top style="medium">
        <color indexed="64"/>
      </top>
      <bottom style="medium">
        <color indexed="64"/>
      </bottom>
      <diagonal/>
    </border>
  </borders>
  <cellStyleXfs count="7">
    <xf numFmtId="0" fontId="0" fillId="0" borderId="0"/>
    <xf numFmtId="0" fontId="1" fillId="0" borderId="0"/>
    <xf numFmtId="9" fontId="2" fillId="0" borderId="0" applyFont="0" applyFill="0" applyBorder="0" applyAlignment="0" applyProtection="0"/>
    <xf numFmtId="44" fontId="2" fillId="0" borderId="0" applyFont="0" applyFill="0" applyBorder="0" applyAlignment="0" applyProtection="0"/>
    <xf numFmtId="0" fontId="3" fillId="2" borderId="2" applyNumberFormat="0" applyAlignment="0" applyProtection="0"/>
    <xf numFmtId="43" fontId="2" fillId="0" borderId="0" applyFont="0" applyFill="0" applyBorder="0" applyAlignment="0" applyProtection="0"/>
    <xf numFmtId="0" fontId="2" fillId="0" borderId="0"/>
  </cellStyleXfs>
  <cellXfs count="213">
    <xf numFmtId="0" fontId="0" fillId="0" borderId="0" xfId="0"/>
    <xf numFmtId="0" fontId="11" fillId="0" borderId="0" xfId="0" applyFont="1"/>
    <xf numFmtId="0" fontId="18" fillId="0" borderId="0" xfId="0" applyFont="1"/>
    <xf numFmtId="2" fontId="4" fillId="4" borderId="0" xfId="1" applyNumberFormat="1" applyFont="1" applyFill="1" applyAlignment="1" applyProtection="1">
      <alignment horizontal="right"/>
      <protection locked="0"/>
    </xf>
    <xf numFmtId="2" fontId="4" fillId="4" borderId="0" xfId="1" applyNumberFormat="1" applyFont="1" applyFill="1" applyAlignment="1" applyProtection="1">
      <alignment horizontal="left" indent="1"/>
      <protection locked="0"/>
    </xf>
    <xf numFmtId="0" fontId="21" fillId="0" borderId="0" xfId="0" applyFont="1"/>
    <xf numFmtId="0" fontId="21" fillId="4" borderId="0" xfId="0" applyFont="1" applyFill="1"/>
    <xf numFmtId="170" fontId="21" fillId="0" borderId="0" xfId="0" applyNumberFormat="1" applyFont="1"/>
    <xf numFmtId="0" fontId="20" fillId="0" borderId="0" xfId="0" applyFont="1"/>
    <xf numFmtId="0" fontId="22" fillId="0" borderId="0" xfId="0" applyFont="1"/>
    <xf numFmtId="0" fontId="15" fillId="0" borderId="0" xfId="0" applyFont="1"/>
    <xf numFmtId="0" fontId="23" fillId="0" borderId="0" xfId="0" applyFont="1"/>
    <xf numFmtId="0" fontId="15" fillId="0" borderId="0" xfId="0" applyFont="1" applyAlignment="1">
      <alignment horizontal="center"/>
    </xf>
    <xf numFmtId="0" fontId="15" fillId="0" borderId="0" xfId="0" applyFont="1" applyAlignment="1">
      <alignment horizontal="left"/>
    </xf>
    <xf numFmtId="0" fontId="15" fillId="0" borderId="0" xfId="0" quotePrefix="1" applyFont="1" applyAlignment="1">
      <alignment horizontal="left"/>
    </xf>
    <xf numFmtId="0" fontId="24" fillId="3" borderId="0" xfId="0" applyFont="1" applyFill="1" applyAlignment="1">
      <alignment wrapText="1"/>
    </xf>
    <xf numFmtId="0" fontId="25" fillId="0" borderId="0" xfId="0" applyFont="1" applyAlignment="1">
      <alignment horizontal="left" wrapText="1"/>
    </xf>
    <xf numFmtId="0" fontId="25" fillId="0" borderId="0" xfId="0" applyFont="1" applyAlignment="1">
      <alignment wrapText="1"/>
    </xf>
    <xf numFmtId="0" fontId="25" fillId="0" borderId="0" xfId="0" applyFont="1" applyAlignment="1">
      <alignment horizontal="right" wrapText="1"/>
    </xf>
    <xf numFmtId="0" fontId="25" fillId="0" borderId="0" xfId="0" quotePrefix="1" applyFont="1" applyAlignment="1">
      <alignment horizontal="right" wrapText="1"/>
    </xf>
    <xf numFmtId="0" fontId="15" fillId="0" borderId="0" xfId="0" quotePrefix="1" applyFont="1" applyAlignment="1" applyProtection="1">
      <alignment horizontal="left" wrapText="1"/>
      <protection locked="0"/>
    </xf>
    <xf numFmtId="0" fontId="15" fillId="4" borderId="0" xfId="0" quotePrefix="1" applyFont="1" applyFill="1" applyAlignment="1" applyProtection="1">
      <alignment horizontal="left"/>
      <protection locked="0"/>
    </xf>
    <xf numFmtId="0" fontId="15" fillId="4" borderId="0" xfId="0" applyFont="1" applyFill="1" applyProtection="1">
      <protection locked="0"/>
    </xf>
    <xf numFmtId="168" fontId="15" fillId="4" borderId="0" xfId="5" applyNumberFormat="1" applyFont="1" applyFill="1" applyBorder="1" applyProtection="1">
      <protection locked="0"/>
    </xf>
    <xf numFmtId="9" fontId="15" fillId="4" borderId="0" xfId="2" applyFont="1" applyFill="1" applyBorder="1" applyProtection="1">
      <protection locked="0"/>
    </xf>
    <xf numFmtId="3" fontId="15" fillId="4" borderId="0" xfId="0" applyNumberFormat="1" applyFont="1" applyFill="1"/>
    <xf numFmtId="168" fontId="15" fillId="4" borderId="0" xfId="5" applyNumberFormat="1" applyFont="1" applyFill="1" applyBorder="1" applyProtection="1"/>
    <xf numFmtId="166" fontId="21" fillId="0" borderId="0" xfId="0" applyNumberFormat="1" applyFont="1"/>
    <xf numFmtId="6" fontId="21" fillId="0" borderId="0" xfId="0" applyNumberFormat="1" applyFont="1"/>
    <xf numFmtId="43" fontId="21" fillId="0" borderId="0" xfId="0" applyNumberFormat="1" applyFont="1"/>
    <xf numFmtId="165" fontId="15" fillId="0" borderId="0" xfId="5" applyNumberFormat="1" applyFont="1" applyFill="1" applyBorder="1"/>
    <xf numFmtId="43" fontId="21" fillId="0" borderId="0" xfId="3" applyNumberFormat="1" applyFont="1" applyBorder="1"/>
    <xf numFmtId="8" fontId="21" fillId="0" borderId="0" xfId="0" applyNumberFormat="1" applyFont="1"/>
    <xf numFmtId="3" fontId="21" fillId="0" borderId="0" xfId="0" applyNumberFormat="1" applyFont="1"/>
    <xf numFmtId="0" fontId="23" fillId="0" borderId="0" xfId="0" applyFont="1" applyAlignment="1">
      <alignment horizontal="left"/>
    </xf>
    <xf numFmtId="0" fontId="15" fillId="4" borderId="0" xfId="0" applyFont="1" applyFill="1" applyAlignment="1">
      <alignment horizontal="right"/>
    </xf>
    <xf numFmtId="166" fontId="15" fillId="0" borderId="0" xfId="0" applyNumberFormat="1" applyFont="1" applyProtection="1">
      <protection locked="0"/>
    </xf>
    <xf numFmtId="6" fontId="15" fillId="0" borderId="0" xfId="0" applyNumberFormat="1" applyFont="1" applyProtection="1">
      <protection locked="0"/>
    </xf>
    <xf numFmtId="43" fontId="15" fillId="0" borderId="0" xfId="0" applyNumberFormat="1" applyFont="1"/>
    <xf numFmtId="43" fontId="15" fillId="0" borderId="0" xfId="0" applyNumberFormat="1" applyFont="1" applyProtection="1">
      <protection locked="0"/>
    </xf>
    <xf numFmtId="8" fontId="15" fillId="0" borderId="0" xfId="3" applyNumberFormat="1" applyFont="1"/>
    <xf numFmtId="4" fontId="15" fillId="0" borderId="0" xfId="0" applyNumberFormat="1" applyFont="1" applyProtection="1">
      <protection locked="0"/>
    </xf>
    <xf numFmtId="8" fontId="15" fillId="0" borderId="0" xfId="0" applyNumberFormat="1" applyFont="1" applyProtection="1">
      <protection locked="0"/>
    </xf>
    <xf numFmtId="0" fontId="15" fillId="4" borderId="0" xfId="0" applyFont="1" applyFill="1"/>
    <xf numFmtId="0" fontId="15" fillId="0" borderId="0" xfId="0" applyFont="1" applyAlignment="1">
      <alignment horizontal="right"/>
    </xf>
    <xf numFmtId="166" fontId="15" fillId="0" borderId="0" xfId="5" applyNumberFormat="1" applyFont="1" applyFill="1" applyBorder="1" applyProtection="1">
      <protection locked="0"/>
    </xf>
    <xf numFmtId="6" fontId="15" fillId="0" borderId="0" xfId="5" applyNumberFormat="1" applyFont="1" applyFill="1" applyBorder="1"/>
    <xf numFmtId="43" fontId="15" fillId="0" borderId="0" xfId="5" applyFont="1" applyFill="1" applyBorder="1"/>
    <xf numFmtId="8" fontId="15" fillId="0" borderId="0" xfId="3" applyNumberFormat="1" applyFont="1" applyFill="1" applyBorder="1"/>
    <xf numFmtId="166" fontId="15" fillId="4" borderId="0" xfId="0" applyNumberFormat="1" applyFont="1" applyFill="1" applyProtection="1">
      <protection locked="0"/>
    </xf>
    <xf numFmtId="10" fontId="15" fillId="4" borderId="0" xfId="0" applyNumberFormat="1" applyFont="1" applyFill="1" applyProtection="1">
      <protection locked="0"/>
    </xf>
    <xf numFmtId="0" fontId="15" fillId="4" borderId="0" xfId="0" applyFont="1" applyFill="1" applyAlignment="1" applyProtection="1">
      <alignment horizontal="left"/>
      <protection locked="0"/>
    </xf>
    <xf numFmtId="10" fontId="15" fillId="4" borderId="0" xfId="0" applyNumberFormat="1" applyFont="1" applyFill="1"/>
    <xf numFmtId="9" fontId="15" fillId="4" borderId="0" xfId="0" applyNumberFormat="1" applyFont="1" applyFill="1" applyProtection="1">
      <protection locked="0"/>
    </xf>
    <xf numFmtId="165" fontId="15" fillId="4" borderId="0" xfId="0" applyNumberFormat="1" applyFont="1" applyFill="1" applyProtection="1">
      <protection locked="0"/>
    </xf>
    <xf numFmtId="166" fontId="15" fillId="4" borderId="0" xfId="2" applyNumberFormat="1" applyFont="1" applyFill="1" applyBorder="1" applyProtection="1">
      <protection locked="0"/>
    </xf>
    <xf numFmtId="171" fontId="15" fillId="4" borderId="0" xfId="3" applyNumberFormat="1" applyFont="1" applyFill="1" applyBorder="1" applyProtection="1">
      <protection locked="0"/>
    </xf>
    <xf numFmtId="43" fontId="15" fillId="4" borderId="0" xfId="5" applyFont="1" applyFill="1" applyBorder="1" applyProtection="1">
      <protection locked="0"/>
    </xf>
    <xf numFmtId="44" fontId="15" fillId="0" borderId="0" xfId="3" applyFont="1" applyFill="1" applyBorder="1" applyProtection="1"/>
    <xf numFmtId="172" fontId="15" fillId="4" borderId="0" xfId="5" applyNumberFormat="1" applyFont="1" applyFill="1" applyBorder="1" applyProtection="1">
      <protection locked="0"/>
    </xf>
    <xf numFmtId="0" fontId="26" fillId="0" borderId="0" xfId="0" quotePrefix="1" applyFont="1" applyAlignment="1">
      <alignment horizontal="left"/>
    </xf>
    <xf numFmtId="0" fontId="26" fillId="0" borderId="0" xfId="0" applyFont="1" applyAlignment="1">
      <alignment horizontal="left"/>
    </xf>
    <xf numFmtId="8" fontId="15" fillId="0" borderId="21" xfId="0" applyNumberFormat="1" applyFont="1" applyBorder="1"/>
    <xf numFmtId="9" fontId="21" fillId="0" borderId="0" xfId="0" applyNumberFormat="1" applyFont="1"/>
    <xf numFmtId="0" fontId="21" fillId="0" borderId="21" xfId="0" applyFont="1" applyBorder="1"/>
    <xf numFmtId="0" fontId="24" fillId="5" borderId="22" xfId="0" applyFont="1" applyFill="1" applyBorder="1"/>
    <xf numFmtId="0" fontId="24" fillId="0" borderId="0" xfId="0" applyFont="1"/>
    <xf numFmtId="8" fontId="15" fillId="4" borderId="0" xfId="0" applyNumberFormat="1" applyFont="1" applyFill="1"/>
    <xf numFmtId="8" fontId="21" fillId="4" borderId="0" xfId="0" applyNumberFormat="1" applyFont="1" applyFill="1"/>
    <xf numFmtId="0" fontId="20" fillId="0" borderId="15" xfId="0" applyFont="1" applyBorder="1" applyAlignment="1">
      <alignment horizontal="center"/>
    </xf>
    <xf numFmtId="0" fontId="20" fillId="0" borderId="1" xfId="0" applyFont="1" applyBorder="1" applyAlignment="1">
      <alignment horizontal="center"/>
    </xf>
    <xf numFmtId="0" fontId="32" fillId="0" borderId="0" xfId="0" applyFont="1" applyAlignment="1">
      <alignment horizontal="right"/>
    </xf>
    <xf numFmtId="4" fontId="21" fillId="0" borderId="0" xfId="0" applyNumberFormat="1" applyFont="1"/>
    <xf numFmtId="40" fontId="21" fillId="0" borderId="0" xfId="0" applyNumberFormat="1" applyFont="1"/>
    <xf numFmtId="4" fontId="21" fillId="0" borderId="1" xfId="0" applyNumberFormat="1" applyFont="1" applyBorder="1"/>
    <xf numFmtId="40" fontId="21" fillId="0" borderId="1" xfId="0" applyNumberFormat="1" applyFont="1" applyBorder="1"/>
    <xf numFmtId="0" fontId="20" fillId="0" borderId="0" xfId="0" applyFont="1" applyAlignment="1">
      <alignment horizontal="right" wrapText="1"/>
    </xf>
    <xf numFmtId="2" fontId="20" fillId="0" borderId="0" xfId="0" applyNumberFormat="1" applyFont="1" applyAlignment="1">
      <alignment wrapText="1"/>
    </xf>
    <xf numFmtId="8" fontId="15" fillId="0" borderId="0" xfId="5" applyNumberFormat="1" applyFont="1" applyFill="1" applyBorder="1"/>
    <xf numFmtId="165" fontId="15" fillId="0" borderId="0" xfId="0" applyNumberFormat="1" applyFont="1" applyProtection="1">
      <protection locked="0"/>
    </xf>
    <xf numFmtId="0" fontId="21" fillId="0" borderId="1" xfId="0" applyFont="1" applyBorder="1"/>
    <xf numFmtId="40" fontId="21" fillId="4" borderId="1" xfId="0" applyNumberFormat="1" applyFont="1" applyFill="1" applyBorder="1"/>
    <xf numFmtId="0" fontId="20" fillId="0" borderId="0" xfId="0" applyFont="1" applyAlignment="1">
      <alignment horizontal="center"/>
    </xf>
    <xf numFmtId="0" fontId="20" fillId="0" borderId="0" xfId="0" applyFont="1" applyAlignment="1">
      <alignment horizontal="center" wrapText="1"/>
    </xf>
    <xf numFmtId="3" fontId="15" fillId="6" borderId="0" xfId="0" applyNumberFormat="1" applyFont="1" applyFill="1"/>
    <xf numFmtId="0" fontId="33" fillId="3" borderId="0" xfId="0" applyFont="1" applyFill="1" applyAlignment="1">
      <alignment wrapText="1"/>
    </xf>
    <xf numFmtId="0" fontId="21" fillId="4" borderId="1" xfId="0" applyFont="1" applyFill="1" applyBorder="1"/>
    <xf numFmtId="0" fontId="20" fillId="0" borderId="19" xfId="0" applyFont="1" applyBorder="1"/>
    <xf numFmtId="0" fontId="11" fillId="6" borderId="0" xfId="0" applyFont="1" applyFill="1"/>
    <xf numFmtId="0" fontId="13" fillId="6" borderId="0" xfId="0" applyFont="1" applyFill="1"/>
    <xf numFmtId="0" fontId="13" fillId="6" borderId="0" xfId="0" applyFont="1" applyFill="1" applyAlignment="1">
      <alignment horizontal="left" indent="4"/>
    </xf>
    <xf numFmtId="0" fontId="20" fillId="0" borderId="19" xfId="0" applyFont="1" applyBorder="1" applyAlignment="1">
      <alignment horizontal="center"/>
    </xf>
    <xf numFmtId="0" fontId="20" fillId="0" borderId="19" xfId="0" applyFont="1" applyBorder="1" applyAlignment="1">
      <alignment horizontal="left"/>
    </xf>
    <xf numFmtId="166" fontId="7" fillId="0" borderId="0" xfId="2" applyNumberFormat="1" applyFont="1" applyFill="1" applyProtection="1"/>
    <xf numFmtId="39" fontId="18" fillId="0" borderId="0" xfId="3" applyNumberFormat="1" applyFont="1"/>
    <xf numFmtId="39" fontId="18" fillId="0" borderId="1" xfId="3" applyNumberFormat="1" applyFont="1" applyBorder="1"/>
    <xf numFmtId="0" fontId="18" fillId="0" borderId="1" xfId="0" applyFont="1" applyBorder="1"/>
    <xf numFmtId="40" fontId="4" fillId="4" borderId="12" xfId="1" applyNumberFormat="1" applyFont="1" applyFill="1" applyBorder="1" applyAlignment="1" applyProtection="1">
      <alignment horizontal="right"/>
      <protection locked="0"/>
    </xf>
    <xf numFmtId="39" fontId="21" fillId="0" borderId="0" xfId="3" applyNumberFormat="1" applyFont="1" applyFill="1" applyBorder="1"/>
    <xf numFmtId="0" fontId="20" fillId="0" borderId="0" xfId="0" applyFont="1" applyAlignment="1">
      <alignment horizontal="left"/>
    </xf>
    <xf numFmtId="39" fontId="18" fillId="0" borderId="0" xfId="3" applyNumberFormat="1" applyFont="1" applyFill="1" applyBorder="1"/>
    <xf numFmtId="7" fontId="15" fillId="4" borderId="0" xfId="0" applyNumberFormat="1" applyFont="1" applyFill="1" applyProtection="1">
      <protection locked="0"/>
    </xf>
    <xf numFmtId="39" fontId="15" fillId="4" borderId="0" xfId="3" applyNumberFormat="1" applyFont="1" applyFill="1" applyBorder="1" applyProtection="1">
      <protection locked="0"/>
    </xf>
    <xf numFmtId="169" fontId="21" fillId="4" borderId="0" xfId="0" applyNumberFormat="1" applyFont="1" applyFill="1"/>
    <xf numFmtId="2" fontId="21" fillId="0" borderId="0" xfId="0" applyNumberFormat="1" applyFont="1"/>
    <xf numFmtId="0" fontId="16" fillId="3" borderId="3" xfId="6" applyFont="1" applyFill="1" applyBorder="1" applyAlignment="1">
      <alignment horizontal="center"/>
    </xf>
    <xf numFmtId="0" fontId="16" fillId="3" borderId="4" xfId="6" applyFont="1" applyFill="1" applyBorder="1" applyAlignment="1">
      <alignment horizontal="center"/>
    </xf>
    <xf numFmtId="0" fontId="16" fillId="3" borderId="23" xfId="6" applyFont="1" applyFill="1" applyBorder="1" applyAlignment="1">
      <alignment horizontal="center"/>
    </xf>
    <xf numFmtId="0" fontId="11" fillId="6" borderId="0" xfId="0" applyFont="1" applyFill="1" applyAlignment="1">
      <alignment horizontal="right"/>
    </xf>
    <xf numFmtId="0" fontId="11" fillId="6" borderId="0" xfId="0" applyFont="1" applyFill="1"/>
    <xf numFmtId="0" fontId="14" fillId="6" borderId="0" xfId="0" applyFont="1" applyFill="1" applyAlignment="1">
      <alignment horizontal="center" wrapText="1"/>
    </xf>
    <xf numFmtId="0" fontId="12" fillId="3" borderId="3" xfId="0" applyFont="1" applyFill="1" applyBorder="1"/>
    <xf numFmtId="0" fontId="12" fillId="3" borderId="4" xfId="0" applyFont="1" applyFill="1" applyBorder="1"/>
    <xf numFmtId="0" fontId="15" fillId="6" borderId="0" xfId="0" applyFont="1" applyFill="1" applyAlignment="1">
      <alignment horizontal="left" vertical="center" wrapText="1"/>
    </xf>
    <xf numFmtId="0" fontId="17" fillId="2" borderId="16" xfId="4" applyFont="1" applyBorder="1" applyAlignment="1">
      <alignment horizontal="center"/>
    </xf>
    <xf numFmtId="0" fontId="17" fillId="2" borderId="17" xfId="4" applyFont="1" applyBorder="1" applyAlignment="1">
      <alignment horizontal="center"/>
    </xf>
    <xf numFmtId="0" fontId="17" fillId="2" borderId="18" xfId="4" applyFont="1" applyBorder="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20" fillId="0" borderId="15" xfId="0" applyFont="1" applyBorder="1" applyAlignment="1">
      <alignment horizontal="left"/>
    </xf>
    <xf numFmtId="0" fontId="20" fillId="0" borderId="1" xfId="0" applyFont="1" applyBorder="1" applyAlignment="1">
      <alignment horizontal="left"/>
    </xf>
    <xf numFmtId="0" fontId="20" fillId="0" borderId="15" xfId="0" applyFont="1" applyBorder="1" applyAlignment="1">
      <alignment horizontal="center"/>
    </xf>
    <xf numFmtId="0" fontId="20" fillId="0" borderId="15" xfId="0" applyFont="1" applyBorder="1" applyAlignment="1">
      <alignment horizontal="center" wrapText="1"/>
    </xf>
    <xf numFmtId="0" fontId="20" fillId="0" borderId="1" xfId="0" applyFont="1" applyBorder="1" applyAlignment="1">
      <alignment horizontal="center" wrapText="1"/>
    </xf>
    <xf numFmtId="0" fontId="4" fillId="0" borderId="0" xfId="1" applyFont="1" applyAlignment="1" applyProtection="1">
      <alignment horizontal="left"/>
    </xf>
    <xf numFmtId="0" fontId="4" fillId="0" borderId="0" xfId="1" applyFont="1" applyAlignment="1" applyProtection="1">
      <alignment horizontal="right"/>
    </xf>
    <xf numFmtId="0" fontId="4" fillId="0" borderId="0" xfId="1" applyFont="1" applyProtection="1"/>
    <xf numFmtId="0" fontId="7" fillId="0" borderId="0" xfId="1" applyFont="1" applyAlignment="1" applyProtection="1">
      <alignment horizontal="right"/>
    </xf>
    <xf numFmtId="164" fontId="4" fillId="0" borderId="0" xfId="1" applyNumberFormat="1" applyFont="1" applyAlignment="1" applyProtection="1">
      <alignment horizontal="right"/>
    </xf>
    <xf numFmtId="2" fontId="4" fillId="0" borderId="0" xfId="1" applyNumberFormat="1" applyFont="1" applyAlignment="1" applyProtection="1">
      <alignment horizontal="right"/>
    </xf>
    <xf numFmtId="2" fontId="4" fillId="0" borderId="0" xfId="1" applyNumberFormat="1" applyFont="1" applyAlignment="1" applyProtection="1">
      <alignment horizontal="left"/>
    </xf>
    <xf numFmtId="0" fontId="16" fillId="3" borderId="6" xfId="6" applyFont="1" applyFill="1" applyBorder="1" applyAlignment="1" applyProtection="1">
      <alignment horizontal="center"/>
    </xf>
    <xf numFmtId="0" fontId="16" fillId="3" borderId="7" xfId="6" applyFont="1" applyFill="1" applyBorder="1" applyAlignment="1" applyProtection="1">
      <alignment horizontal="center"/>
    </xf>
    <xf numFmtId="0" fontId="16" fillId="3" borderId="8" xfId="6" applyFont="1" applyFill="1" applyBorder="1" applyAlignment="1" applyProtection="1">
      <alignment horizontal="center"/>
    </xf>
    <xf numFmtId="2" fontId="6" fillId="0" borderId="6" xfId="1" applyNumberFormat="1" applyFont="1" applyBorder="1" applyAlignment="1" applyProtection="1">
      <alignment horizontal="left"/>
    </xf>
    <xf numFmtId="0" fontId="4" fillId="0" borderId="7" xfId="1" applyFont="1" applyBorder="1" applyAlignment="1" applyProtection="1">
      <alignment horizontal="right"/>
    </xf>
    <xf numFmtId="0" fontId="4" fillId="0" borderId="7" xfId="1" applyFont="1" applyBorder="1" applyProtection="1"/>
    <xf numFmtId="2" fontId="4" fillId="0" borderId="7" xfId="1" applyNumberFormat="1" applyFont="1" applyBorder="1" applyAlignment="1" applyProtection="1">
      <alignment horizontal="right"/>
    </xf>
    <xf numFmtId="2" fontId="4" fillId="0" borderId="8" xfId="1" applyNumberFormat="1" applyFont="1" applyBorder="1" applyAlignment="1" applyProtection="1">
      <alignment horizontal="left"/>
    </xf>
    <xf numFmtId="9" fontId="6" fillId="0" borderId="0" xfId="1" applyNumberFormat="1" applyFont="1" applyAlignment="1" applyProtection="1">
      <alignment horizontal="right"/>
    </xf>
    <xf numFmtId="0" fontId="4" fillId="0" borderId="11" xfId="1" applyFont="1" applyBorder="1" applyProtection="1"/>
    <xf numFmtId="0" fontId="5" fillId="0" borderId="19" xfId="1" applyFont="1" applyBorder="1" applyAlignment="1" applyProtection="1">
      <alignment horizontal="right"/>
    </xf>
    <xf numFmtId="2" fontId="5" fillId="0" borderId="19" xfId="1" applyNumberFormat="1" applyFont="1" applyBorder="1" applyAlignment="1" applyProtection="1">
      <alignment horizontal="right"/>
    </xf>
    <xf numFmtId="2" fontId="5" fillId="0" borderId="20" xfId="1" applyNumberFormat="1" applyFont="1" applyBorder="1" applyAlignment="1" applyProtection="1">
      <alignment horizontal="right"/>
    </xf>
    <xf numFmtId="2" fontId="5" fillId="0" borderId="0" xfId="1" applyNumberFormat="1" applyFont="1" applyAlignment="1" applyProtection="1">
      <alignment horizontal="right"/>
    </xf>
    <xf numFmtId="0" fontId="19" fillId="0" borderId="11" xfId="1" applyFont="1" applyBorder="1" applyAlignment="1" applyProtection="1">
      <alignment horizontal="left"/>
    </xf>
    <xf numFmtId="0" fontId="5" fillId="0" borderId="0" xfId="1" applyFont="1" applyAlignment="1" applyProtection="1">
      <alignment horizontal="right"/>
    </xf>
    <xf numFmtId="2" fontId="5" fillId="0" borderId="12" xfId="1" applyNumberFormat="1" applyFont="1" applyBorder="1" applyAlignment="1" applyProtection="1">
      <alignment horizontal="right"/>
    </xf>
    <xf numFmtId="0" fontId="4" fillId="0" borderId="11" xfId="1" applyFont="1" applyBorder="1" applyAlignment="1" applyProtection="1">
      <alignment horizontal="left" indent="1"/>
    </xf>
    <xf numFmtId="40" fontId="4" fillId="0" borderId="12" xfId="1" applyNumberFormat="1" applyFont="1" applyBorder="1" applyAlignment="1" applyProtection="1">
      <alignment horizontal="right"/>
    </xf>
    <xf numFmtId="2" fontId="4" fillId="0" borderId="11" xfId="1" applyNumberFormat="1" applyFont="1" applyBorder="1" applyAlignment="1" applyProtection="1">
      <alignment horizontal="left" indent="1"/>
    </xf>
    <xf numFmtId="40" fontId="4" fillId="0" borderId="13" xfId="1" applyNumberFormat="1" applyFont="1" applyBorder="1" applyAlignment="1" applyProtection="1">
      <alignment horizontal="right"/>
    </xf>
    <xf numFmtId="2" fontId="5" fillId="0" borderId="11" xfId="1" applyNumberFormat="1" applyFont="1" applyBorder="1" applyAlignment="1" applyProtection="1">
      <alignment horizontal="right" indent="2"/>
    </xf>
    <xf numFmtId="2" fontId="4" fillId="0" borderId="0" xfId="1" applyNumberFormat="1" applyFont="1" applyProtection="1"/>
    <xf numFmtId="40" fontId="5" fillId="0" borderId="12" xfId="1" applyNumberFormat="1" applyFont="1" applyBorder="1" applyAlignment="1" applyProtection="1">
      <alignment horizontal="right"/>
    </xf>
    <xf numFmtId="2" fontId="4" fillId="0" borderId="11" xfId="1" applyNumberFormat="1" applyFont="1" applyBorder="1" applyAlignment="1" applyProtection="1">
      <alignment horizontal="left"/>
    </xf>
    <xf numFmtId="2" fontId="4" fillId="0" borderId="12" xfId="1" applyNumberFormat="1" applyFont="1" applyBorder="1" applyAlignment="1" applyProtection="1">
      <alignment horizontal="right"/>
    </xf>
    <xf numFmtId="165" fontId="5" fillId="0" borderId="0" xfId="1" applyNumberFormat="1" applyFont="1" applyAlignment="1" applyProtection="1">
      <alignment horizontal="right"/>
    </xf>
    <xf numFmtId="2" fontId="19" fillId="0" borderId="11" xfId="1" applyNumberFormat="1" applyFont="1" applyBorder="1" applyAlignment="1" applyProtection="1">
      <alignment horizontal="left"/>
    </xf>
    <xf numFmtId="2" fontId="4" fillId="0" borderId="11" xfId="1" applyNumberFormat="1" applyFont="1" applyBorder="1" applyAlignment="1" applyProtection="1">
      <alignment horizontal="left" indent="2"/>
    </xf>
    <xf numFmtId="40" fontId="4" fillId="0" borderId="12" xfId="1" applyNumberFormat="1" applyFont="1" applyBorder="1" applyAlignment="1" applyProtection="1">
      <alignment horizontal="left"/>
    </xf>
    <xf numFmtId="2" fontId="5" fillId="0" borderId="14" xfId="1" applyNumberFormat="1" applyFont="1" applyBorder="1" applyAlignment="1" applyProtection="1">
      <alignment horizontal="right" indent="2"/>
    </xf>
    <xf numFmtId="2" fontId="4" fillId="0" borderId="1" xfId="1" applyNumberFormat="1" applyFont="1" applyBorder="1" applyAlignment="1" applyProtection="1">
      <alignment horizontal="right"/>
    </xf>
    <xf numFmtId="2" fontId="4" fillId="0" borderId="1" xfId="1" applyNumberFormat="1" applyFont="1" applyBorder="1" applyProtection="1"/>
    <xf numFmtId="40" fontId="5" fillId="0" borderId="13" xfId="1" applyNumberFormat="1" applyFont="1" applyBorder="1" applyAlignment="1" applyProtection="1">
      <alignment horizontal="right"/>
    </xf>
    <xf numFmtId="2" fontId="5" fillId="0" borderId="11" xfId="1" applyNumberFormat="1" applyFont="1" applyBorder="1" applyAlignment="1" applyProtection="1">
      <alignment horizontal="left"/>
    </xf>
    <xf numFmtId="2" fontId="4" fillId="0" borderId="9" xfId="1" applyNumberFormat="1" applyFont="1" applyBorder="1" applyAlignment="1" applyProtection="1">
      <alignment horizontal="left"/>
    </xf>
    <xf numFmtId="2" fontId="4" fillId="0" borderId="10" xfId="1" applyNumberFormat="1" applyFont="1" applyBorder="1" applyAlignment="1" applyProtection="1">
      <alignment horizontal="right"/>
    </xf>
    <xf numFmtId="2" fontId="4" fillId="0" borderId="10" xfId="1" applyNumberFormat="1" applyFont="1" applyBorder="1" applyProtection="1"/>
    <xf numFmtId="40" fontId="4" fillId="0" borderId="5" xfId="1" applyNumberFormat="1" applyFont="1" applyBorder="1" applyAlignment="1" applyProtection="1">
      <alignment horizontal="right"/>
    </xf>
    <xf numFmtId="2" fontId="7" fillId="0" borderId="0" xfId="1" applyNumberFormat="1" applyFont="1" applyAlignment="1" applyProtection="1">
      <alignment horizontal="left"/>
    </xf>
    <xf numFmtId="2" fontId="7" fillId="0" borderId="0" xfId="1" applyNumberFormat="1" applyFont="1" applyAlignment="1" applyProtection="1">
      <alignment horizontal="right"/>
    </xf>
    <xf numFmtId="2" fontId="7" fillId="0" borderId="1" xfId="0" applyNumberFormat="1" applyFont="1" applyBorder="1" applyAlignment="1" applyProtection="1">
      <alignment horizontal="left"/>
    </xf>
    <xf numFmtId="2" fontId="7" fillId="0" borderId="1" xfId="0" applyNumberFormat="1" applyFont="1" applyBorder="1" applyAlignment="1" applyProtection="1">
      <alignment horizontal="right"/>
    </xf>
    <xf numFmtId="2" fontId="7" fillId="0" borderId="1" xfId="0" applyNumberFormat="1" applyFont="1" applyBorder="1" applyProtection="1"/>
    <xf numFmtId="0" fontId="7" fillId="0" borderId="1" xfId="1" applyFont="1" applyBorder="1" applyProtection="1"/>
    <xf numFmtId="0" fontId="7" fillId="0" borderId="0" xfId="1" applyFont="1" applyProtection="1"/>
    <xf numFmtId="3" fontId="7" fillId="0" borderId="0" xfId="1" applyNumberFormat="1" applyFont="1" applyProtection="1"/>
    <xf numFmtId="4" fontId="7" fillId="0" borderId="0" xfId="1" applyNumberFormat="1" applyFont="1" applyProtection="1"/>
    <xf numFmtId="1" fontId="7" fillId="0" borderId="0" xfId="1" applyNumberFormat="1" applyFont="1" applyProtection="1"/>
    <xf numFmtId="167" fontId="7" fillId="0" borderId="0" xfId="1" applyNumberFormat="1" applyFont="1" applyProtection="1"/>
    <xf numFmtId="0" fontId="34" fillId="0" borderId="0" xfId="1" applyFont="1" applyAlignment="1" applyProtection="1">
      <alignment horizontal="left"/>
    </xf>
    <xf numFmtId="0" fontId="7" fillId="0" borderId="1" xfId="1" applyFont="1" applyBorder="1" applyAlignment="1" applyProtection="1">
      <alignment horizontal="left"/>
    </xf>
    <xf numFmtId="0" fontId="7" fillId="0" borderId="1" xfId="1" applyFont="1" applyBorder="1" applyAlignment="1" applyProtection="1">
      <alignment horizontal="right"/>
    </xf>
    <xf numFmtId="0" fontId="7" fillId="0" borderId="1" xfId="1" applyFont="1" applyBorder="1" applyAlignment="1" applyProtection="1">
      <alignment horizontal="center"/>
    </xf>
    <xf numFmtId="0" fontId="7" fillId="0" borderId="0" xfId="1" applyFont="1" applyAlignment="1" applyProtection="1">
      <alignment horizontal="left"/>
    </xf>
    <xf numFmtId="168" fontId="7" fillId="0" borderId="0" xfId="5" applyNumberFormat="1" applyFont="1" applyAlignment="1" applyProtection="1">
      <alignment horizontal="right"/>
    </xf>
    <xf numFmtId="39" fontId="7" fillId="0" borderId="0" xfId="1" applyNumberFormat="1" applyFont="1" applyProtection="1"/>
    <xf numFmtId="168" fontId="7" fillId="0" borderId="1" xfId="5" applyNumberFormat="1" applyFont="1" applyBorder="1" applyAlignment="1" applyProtection="1">
      <alignment horizontal="right"/>
    </xf>
    <xf numFmtId="39" fontId="7" fillId="0" borderId="1" xfId="1" applyNumberFormat="1" applyFont="1" applyBorder="1" applyProtection="1"/>
    <xf numFmtId="167" fontId="7" fillId="0" borderId="1" xfId="1" applyNumberFormat="1" applyFont="1" applyBorder="1" applyProtection="1"/>
    <xf numFmtId="0" fontId="10" fillId="0" borderId="0" xfId="1" applyFont="1" applyProtection="1"/>
    <xf numFmtId="0" fontId="10" fillId="0" borderId="0" xfId="1" applyFont="1" applyAlignment="1" applyProtection="1">
      <alignment horizontal="right"/>
    </xf>
    <xf numFmtId="2" fontId="34" fillId="0" borderId="0" xfId="0" applyNumberFormat="1" applyFont="1" applyAlignment="1" applyProtection="1">
      <alignment horizontal="right"/>
    </xf>
    <xf numFmtId="2" fontId="10" fillId="0" borderId="0" xfId="0" applyNumberFormat="1" applyFont="1" applyAlignment="1" applyProtection="1">
      <alignment horizontal="right"/>
    </xf>
    <xf numFmtId="2" fontId="10" fillId="0" borderId="0" xfId="0" applyNumberFormat="1" applyFont="1" applyAlignment="1" applyProtection="1">
      <alignment horizontal="left"/>
    </xf>
    <xf numFmtId="2" fontId="7" fillId="0" borderId="0" xfId="0" applyNumberFormat="1" applyFont="1" applyAlignment="1" applyProtection="1">
      <alignment horizontal="left"/>
    </xf>
    <xf numFmtId="2" fontId="7" fillId="0" borderId="0" xfId="0" applyNumberFormat="1" applyFont="1" applyAlignment="1" applyProtection="1">
      <alignment horizontal="right"/>
    </xf>
    <xf numFmtId="0" fontId="7" fillId="0" borderId="0" xfId="0" applyFont="1" applyAlignment="1" applyProtection="1">
      <alignment horizontal="left"/>
    </xf>
    <xf numFmtId="1" fontId="7" fillId="0" borderId="0" xfId="0" applyNumberFormat="1" applyFont="1" applyAlignment="1" applyProtection="1">
      <alignment horizontal="right"/>
    </xf>
    <xf numFmtId="0" fontId="5" fillId="0" borderId="0" xfId="1" applyFont="1" applyProtection="1"/>
    <xf numFmtId="0" fontId="7" fillId="0" borderId="1" xfId="0" applyFont="1" applyBorder="1" applyAlignment="1" applyProtection="1">
      <alignment horizontal="left"/>
    </xf>
    <xf numFmtId="1" fontId="7" fillId="0" borderId="1" xfId="0" applyNumberFormat="1" applyFont="1" applyBorder="1" applyAlignment="1" applyProtection="1">
      <alignment horizontal="right"/>
    </xf>
    <xf numFmtId="2" fontId="7" fillId="0" borderId="0" xfId="1" applyNumberFormat="1" applyFont="1" applyProtection="1"/>
    <xf numFmtId="0" fontId="4" fillId="4" borderId="0" xfId="1" applyFont="1" applyFill="1" applyProtection="1">
      <protection locked="0"/>
    </xf>
    <xf numFmtId="3" fontId="4" fillId="4" borderId="0" xfId="1" applyNumberFormat="1" applyFont="1" applyFill="1" applyAlignment="1" applyProtection="1">
      <alignment horizontal="right"/>
      <protection locked="0"/>
    </xf>
    <xf numFmtId="167" fontId="4" fillId="4" borderId="0" xfId="1" applyNumberFormat="1" applyFont="1" applyFill="1" applyProtection="1">
      <protection locked="0"/>
    </xf>
    <xf numFmtId="1" fontId="4" fillId="4" borderId="0" xfId="1" applyNumberFormat="1" applyFont="1" applyFill="1" applyAlignment="1" applyProtection="1">
      <alignment horizontal="right"/>
      <protection locked="0"/>
    </xf>
    <xf numFmtId="2" fontId="4" fillId="4" borderId="0" xfId="1" applyNumberFormat="1" applyFont="1" applyFill="1" applyProtection="1">
      <protection locked="0"/>
    </xf>
    <xf numFmtId="167" fontId="4" fillId="4" borderId="0" xfId="1" applyNumberFormat="1" applyFont="1" applyFill="1" applyAlignment="1" applyProtection="1">
      <alignment horizontal="right"/>
      <protection locked="0"/>
    </xf>
    <xf numFmtId="166" fontId="4" fillId="4" borderId="0" xfId="2" applyNumberFormat="1" applyFont="1" applyFill="1" applyBorder="1" applyAlignment="1" applyProtection="1">
      <protection locked="0"/>
    </xf>
    <xf numFmtId="40" fontId="4" fillId="4" borderId="13" xfId="1" applyNumberFormat="1" applyFont="1" applyFill="1" applyBorder="1" applyAlignment="1" applyProtection="1">
      <alignment horizontal="right"/>
      <protection locked="0"/>
    </xf>
    <xf numFmtId="2" fontId="7" fillId="4" borderId="0" xfId="1" applyNumberFormat="1" applyFont="1" applyFill="1" applyProtection="1">
      <protection locked="0"/>
    </xf>
  </cellXfs>
  <cellStyles count="7">
    <cellStyle name="Comma" xfId="5" builtinId="3"/>
    <cellStyle name="Currency" xfId="3" builtinId="4"/>
    <cellStyle name="Normal" xfId="0" builtinId="0"/>
    <cellStyle name="Normal 2" xfId="1" xr:uid="{00000000-0005-0000-0000-000001000000}"/>
    <cellStyle name="Normal 2 2" xfId="6" xr:uid="{89C8AF6F-0153-4530-901E-6E7955900719}"/>
    <cellStyle name="Output" xfId="4" builtinId="21"/>
    <cellStyle name="Percent" xfId="2" builtinId="5"/>
  </cellStyles>
  <dxfs count="77">
    <dxf>
      <font>
        <strike val="0"/>
        <color theme="0"/>
      </font>
    </dxf>
    <dxf>
      <font>
        <strike val="0"/>
        <color theme="0"/>
      </font>
      <fill>
        <patternFill patternType="none">
          <bgColor auto="1"/>
        </patternFill>
      </fill>
    </dxf>
    <dxf>
      <font>
        <strike val="0"/>
        <color theme="0"/>
      </font>
    </dxf>
    <dxf>
      <font>
        <b val="0"/>
        <i/>
        <condense val="0"/>
        <extend val="0"/>
      </font>
    </dxf>
    <dxf>
      <font>
        <b val="0"/>
        <i/>
        <condense val="0"/>
        <extend val="0"/>
      </font>
    </dxf>
    <dxf>
      <font>
        <b val="0"/>
        <i/>
        <condense val="0"/>
        <extend val="0"/>
      </font>
    </dxf>
    <dxf>
      <font>
        <b val="0"/>
        <i/>
        <condense val="0"/>
        <extend val="0"/>
      </font>
    </dxf>
    <dxf>
      <font>
        <strike val="0"/>
        <outline val="0"/>
        <shadow val="0"/>
        <u val="none"/>
        <vertAlign val="baseline"/>
        <sz val="10"/>
        <name val="Segoe UI"/>
        <family val="2"/>
        <scheme val="none"/>
      </font>
      <fill>
        <patternFill patternType="solid">
          <fgColor indexed="64"/>
          <bgColor theme="2"/>
        </patternFill>
      </fill>
    </dxf>
    <dxf>
      <font>
        <strike val="0"/>
        <outline val="0"/>
        <shadow val="0"/>
        <u val="none"/>
        <vertAlign val="baseline"/>
        <sz val="10"/>
        <name val="Segoe UI"/>
        <family val="2"/>
        <scheme val="none"/>
      </font>
      <numFmt numFmtId="12" formatCode="&quot;$&quot;#,##0.00_);[Red]\(&quot;$&quot;#,##0.00\)"/>
      <fill>
        <patternFill patternType="solid">
          <fgColor indexed="64"/>
          <bgColor theme="2"/>
        </patternFill>
      </fill>
    </dxf>
    <dxf>
      <font>
        <strike val="0"/>
        <outline val="0"/>
        <shadow val="0"/>
        <u val="none"/>
        <vertAlign val="baseline"/>
        <sz val="10"/>
        <name val="Segoe UI"/>
        <family val="2"/>
        <scheme val="none"/>
      </font>
      <fill>
        <patternFill patternType="solid">
          <fgColor indexed="64"/>
          <bgColor theme="2"/>
        </patternFill>
      </fill>
    </dxf>
    <dxf>
      <font>
        <strike val="0"/>
        <outline val="0"/>
        <shadow val="0"/>
        <u val="none"/>
        <vertAlign val="baseline"/>
        <sz val="10"/>
        <name val="Segoe UI"/>
        <family val="2"/>
        <scheme val="none"/>
      </font>
      <fill>
        <patternFill patternType="solid">
          <fgColor indexed="64"/>
          <bgColor theme="2"/>
        </patternFill>
      </fill>
    </dxf>
    <dxf>
      <font>
        <b/>
        <i val="0"/>
        <strike val="0"/>
        <condense val="0"/>
        <extend val="0"/>
        <outline val="0"/>
        <shadow val="0"/>
        <u val="none"/>
        <vertAlign val="baseline"/>
        <sz val="10"/>
        <color rgb="FFF1B82D"/>
        <name val="Segoe UI"/>
        <family val="2"/>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sz val="10"/>
        <name val="Segoe UI"/>
        <family val="2"/>
        <scheme val="none"/>
      </font>
      <numFmt numFmtId="12" formatCode="&quot;$&quot;#,##0.00_);[Red]\(&quot;$&quot;#,##0.00\)"/>
    </dxf>
    <dxf>
      <font>
        <strike val="0"/>
        <outline val="0"/>
        <shadow val="0"/>
        <u val="none"/>
        <vertAlign val="baseline"/>
        <sz val="10"/>
        <name val="Segoe UI"/>
        <family val="2"/>
        <scheme val="none"/>
      </font>
      <numFmt numFmtId="12" formatCode="&quot;$&quot;#,##0.00_);[Red]\(&quot;$&quot;#,##0.00\)"/>
    </dxf>
    <dxf>
      <font>
        <strike val="0"/>
        <outline val="0"/>
        <shadow val="0"/>
        <u val="none"/>
        <vertAlign val="baseline"/>
        <sz val="10"/>
        <name val="Segoe UI"/>
        <family val="2"/>
        <scheme val="none"/>
      </font>
      <numFmt numFmtId="12" formatCode="&quot;$&quot;#,##0.00_);[Red]\(&quot;$&quot;#,##0.00\)"/>
    </dxf>
    <dxf>
      <font>
        <strike val="0"/>
        <outline val="0"/>
        <shadow val="0"/>
        <u val="none"/>
        <vertAlign val="baseline"/>
        <sz val="10"/>
        <name val="Segoe UI"/>
        <family val="2"/>
        <scheme val="none"/>
      </font>
      <numFmt numFmtId="170" formatCode="#,##0.000"/>
    </dxf>
    <dxf>
      <font>
        <b val="0"/>
        <i val="0"/>
        <strike val="0"/>
        <condense val="0"/>
        <extend val="0"/>
        <outline val="0"/>
        <shadow val="0"/>
        <u val="none"/>
        <vertAlign val="baseline"/>
        <sz val="10"/>
        <color auto="1"/>
        <name val="Segoe UI"/>
        <family val="2"/>
        <scheme val="none"/>
      </font>
      <numFmt numFmtId="12" formatCode="&quot;$&quot;#,##0.00_);[Red]\(&quot;$&quot;#,##0.00\)"/>
      <fill>
        <patternFill patternType="none">
          <fgColor indexed="64"/>
          <bgColor indexed="65"/>
        </patternFill>
      </fill>
    </dxf>
    <dxf>
      <font>
        <b val="0"/>
        <i val="0"/>
        <strike val="0"/>
        <condense val="0"/>
        <extend val="0"/>
        <outline val="0"/>
        <shadow val="0"/>
        <u val="none"/>
        <vertAlign val="baseline"/>
        <sz val="10"/>
        <color auto="1"/>
        <name val="Segoe UI"/>
        <family val="2"/>
        <scheme val="none"/>
      </font>
      <numFmt numFmtId="12" formatCode="&quot;$&quot;#,##0.00_);[Red]\(&quot;$&quot;#,##0.00\)"/>
      <fill>
        <patternFill patternType="none">
          <fgColor indexed="64"/>
          <bgColor indexed="65"/>
        </patternFill>
      </fill>
    </dxf>
    <dxf>
      <font>
        <b val="0"/>
        <i val="0"/>
        <strike val="0"/>
        <condense val="0"/>
        <extend val="0"/>
        <outline val="0"/>
        <shadow val="0"/>
        <u val="none"/>
        <vertAlign val="baseline"/>
        <sz val="10"/>
        <color auto="1"/>
        <name val="Segoe UI"/>
        <family val="2"/>
        <scheme val="none"/>
      </font>
      <numFmt numFmtId="35" formatCode="_(* #,##0.00_);_(* \(#,##0.00\);_(* &quot;-&quot;??_);_(@_)"/>
      <fill>
        <patternFill patternType="none">
          <fgColor indexed="64"/>
          <bgColor indexed="65"/>
        </patternFill>
      </fill>
    </dxf>
    <dxf>
      <font>
        <b val="0"/>
        <i val="0"/>
        <strike val="0"/>
        <condense val="0"/>
        <extend val="0"/>
        <outline val="0"/>
        <shadow val="0"/>
        <u val="none"/>
        <vertAlign val="baseline"/>
        <sz val="10"/>
        <color auto="1"/>
        <name val="Segoe UI"/>
        <family val="2"/>
        <scheme val="none"/>
      </font>
      <numFmt numFmtId="10" formatCode="&quot;$&quot;#,##0_);[Red]\(&quot;$&quot;#,##0\)"/>
      <fill>
        <patternFill patternType="none">
          <fgColor indexed="64"/>
          <bgColor indexed="65"/>
        </patternFill>
      </fill>
    </dxf>
    <dxf>
      <font>
        <b val="0"/>
        <i val="0"/>
        <strike val="0"/>
        <condense val="0"/>
        <extend val="0"/>
        <outline val="0"/>
        <shadow val="0"/>
        <u val="none"/>
        <vertAlign val="baseline"/>
        <sz val="10"/>
        <color auto="1"/>
        <name val="Segoe UI"/>
        <family val="2"/>
        <scheme val="none"/>
      </font>
      <numFmt numFmtId="166" formatCode="0.0%"/>
      <fill>
        <patternFill patternType="none">
          <fgColor indexed="64"/>
          <bgColor indexed="65"/>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168" formatCode="_(* #,##0_);_(* \(#,##0\);_(* &quot;-&quot;??_);_(@_)"/>
      <fill>
        <patternFill patternType="solid">
          <fgColor indexed="64"/>
          <bgColor theme="2"/>
        </patternFill>
      </fill>
      <protection locked="1"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3" formatCode="#,##0"/>
      <fill>
        <patternFill patternType="solid">
          <fgColor indexed="64"/>
          <bgColor theme="2"/>
        </patternFill>
      </fill>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168" formatCode="_(* #,##0_);_(* \(#,##0\);_(* &quot;-&quot;??_);_(@_)"/>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alignment horizontal="left" vertical="bottom" textRotation="0" wrapText="0" indent="0" justifyLastLine="0" shrinkToFit="0" readingOrder="0"/>
      <protection locked="0" hidden="0"/>
    </dxf>
    <dxf>
      <font>
        <strike val="0"/>
        <outline val="0"/>
        <shadow val="0"/>
        <u val="none"/>
        <vertAlign val="baseline"/>
        <sz val="10"/>
        <name val="Segoe UI"/>
        <family val="2"/>
        <scheme val="none"/>
      </font>
      <numFmt numFmtId="0" formatCode="General"/>
    </dxf>
    <dxf>
      <font>
        <strike val="0"/>
        <outline val="0"/>
        <shadow val="0"/>
        <u val="none"/>
        <vertAlign val="baseline"/>
        <sz val="10"/>
        <name val="Segoe UI"/>
        <family val="2"/>
        <scheme val="none"/>
      </font>
    </dxf>
    <dxf>
      <font>
        <b val="0"/>
        <i val="0"/>
        <strike val="0"/>
        <condense val="0"/>
        <extend val="0"/>
        <outline val="0"/>
        <shadow val="0"/>
        <u val="none"/>
        <vertAlign val="baseline"/>
        <sz val="10"/>
        <color rgb="FFFFC000"/>
        <name val="Segoe UI"/>
        <family val="2"/>
        <scheme val="none"/>
      </font>
      <fill>
        <patternFill patternType="solid">
          <fgColor indexed="64"/>
          <bgColor theme="1"/>
        </patternFill>
      </fill>
      <alignment horizontal="general" vertical="bottom" textRotation="0" wrapText="1" indent="0" justifyLastLine="0" shrinkToFit="0" readingOrder="0"/>
    </dxf>
    <dxf>
      <font>
        <strike val="0"/>
        <outline val="0"/>
        <shadow val="0"/>
        <u val="none"/>
        <vertAlign val="baseline"/>
        <sz val="10"/>
        <color auto="1"/>
        <name val="Segoe UI"/>
        <family val="2"/>
        <scheme val="none"/>
      </font>
      <fill>
        <patternFill patternType="none">
          <fgColor indexed="64"/>
          <bgColor auto="1"/>
        </patternFill>
      </fill>
    </dxf>
    <dxf>
      <font>
        <b val="0"/>
        <i val="0"/>
        <strike val="0"/>
        <condense val="0"/>
        <extend val="0"/>
        <outline val="0"/>
        <shadow val="0"/>
        <u val="none"/>
        <vertAlign val="baseline"/>
        <sz val="10"/>
        <color auto="1"/>
        <name val="Segoe UI"/>
        <family val="2"/>
        <scheme val="none"/>
      </font>
    </dxf>
    <dxf>
      <font>
        <strike val="0"/>
        <outline val="0"/>
        <shadow val="0"/>
        <u val="none"/>
        <vertAlign val="baseline"/>
        <sz val="10"/>
        <name val="Segoe UI"/>
        <family val="2"/>
        <scheme val="none"/>
      </font>
    </dxf>
    <dxf>
      <font>
        <b val="0"/>
        <i val="0"/>
        <strike val="0"/>
        <condense val="0"/>
        <extend val="0"/>
        <outline val="0"/>
        <shadow val="0"/>
        <u val="none"/>
        <vertAlign val="baseline"/>
        <sz val="10"/>
        <color rgb="FFF1B82D"/>
        <name val="Segoe UI"/>
        <family val="2"/>
        <scheme val="none"/>
      </font>
      <alignment horizontal="right" vertical="bottom" textRotation="0" wrapText="1" indent="0" justifyLastLine="0" shrinkToFit="0" readingOrder="0"/>
    </dxf>
    <dxf>
      <font>
        <b val="0"/>
        <i val="0"/>
        <strike val="0"/>
        <condense val="0"/>
        <extend val="0"/>
        <outline val="0"/>
        <shadow val="0"/>
        <u val="none"/>
        <vertAlign val="baseline"/>
        <sz val="10"/>
        <color auto="1"/>
        <name val="Segoe UI"/>
        <family val="2"/>
        <scheme val="none"/>
      </font>
      <numFmt numFmtId="35" formatCode="_(* #,##0.00_);_(* \(#,##0.00\);_(* &quot;-&quot;??_);_(@_)"/>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4" formatCode="#,##0.00"/>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12" formatCode="&quot;$&quot;#,##0.00_);[Red]\(&quot;$&quot;#,##0.00\)"/>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35" formatCode="_(* #,##0.00_);_(* \(#,##0.00\);_(* &quot;-&quot;??_);_(@_)"/>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35" formatCode="_(* #,##0.00_);_(* \(#,##0.00\);_(* &quot;-&quot;??_);_(@_)"/>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10" formatCode="&quot;$&quot;#,##0_);[Red]\(&quot;$&quot;#,##0\)"/>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numFmt numFmtId="166" formatCode="0.0%"/>
      <fill>
        <patternFill patternType="none">
          <fgColor indexed="64"/>
          <bgColor auto="1"/>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3" formatCode="#,##0"/>
      <fill>
        <patternFill patternType="solid">
          <fgColor indexed="64"/>
          <bgColor theme="0"/>
        </patternFill>
      </fill>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numFmt numFmtId="168" formatCode="_(* #,##0_);_(* \(#,##0\);_(* &quot;-&quot;??_);_(@_)"/>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protection locked="0" hidden="0"/>
    </dxf>
    <dxf>
      <font>
        <b val="0"/>
        <i val="0"/>
        <strike val="0"/>
        <condense val="0"/>
        <extend val="0"/>
        <outline val="0"/>
        <shadow val="0"/>
        <u val="none"/>
        <vertAlign val="baseline"/>
        <sz val="10"/>
        <color auto="1"/>
        <name val="Segoe UI"/>
        <family val="2"/>
        <scheme val="none"/>
      </font>
      <fill>
        <patternFill patternType="solid">
          <fgColor indexed="64"/>
          <bgColor theme="2"/>
        </patternFill>
      </fill>
      <alignment horizontal="right" vertical="bottom" textRotation="0" wrapText="0" indent="0" justifyLastLine="0" shrinkToFit="0" readingOrder="0"/>
    </dxf>
    <dxf>
      <font>
        <b val="0"/>
        <i val="0"/>
        <strike val="0"/>
        <condense val="0"/>
        <extend val="0"/>
        <outline val="0"/>
        <shadow val="0"/>
        <u val="none"/>
        <vertAlign val="baseline"/>
        <sz val="10"/>
        <color indexed="8"/>
        <name val="Segoe UI"/>
        <family val="2"/>
        <scheme val="none"/>
      </font>
      <alignment horizontal="left" vertical="bottom" textRotation="0" wrapText="0" indent="0" justifyLastLine="0" shrinkToFit="0" readingOrder="0"/>
    </dxf>
    <dxf>
      <font>
        <b val="0"/>
        <i val="0"/>
        <strike val="0"/>
        <condense val="0"/>
        <extend val="0"/>
        <outline val="0"/>
        <shadow val="0"/>
        <u val="none"/>
        <vertAlign val="baseline"/>
        <sz val="10"/>
        <color indexed="12"/>
        <name val="Segoe UI"/>
        <family val="2"/>
        <scheme val="none"/>
      </font>
      <fill>
        <patternFill patternType="solid">
          <fgColor indexed="64"/>
          <bgColor rgb="FFFFFF66"/>
        </patternFill>
      </fill>
      <protection locked="0" hidden="0"/>
    </dxf>
    <dxf>
      <font>
        <b val="0"/>
        <i val="0"/>
        <strike val="0"/>
        <condense val="0"/>
        <extend val="0"/>
        <outline val="0"/>
        <shadow val="0"/>
        <u val="none"/>
        <vertAlign val="baseline"/>
        <sz val="10"/>
        <color rgb="FFF1B82D"/>
        <name val="Segoe UI"/>
        <family val="2"/>
        <scheme val="none"/>
      </font>
      <alignment horizontal="left" vertical="bottom" textRotation="0" wrapText="1" indent="0" justifyLastLine="0" shrinkToFit="0" readingOrder="0"/>
    </dxf>
    <dxf>
      <font>
        <b val="0"/>
        <i val="0"/>
        <strike val="0"/>
        <condense val="0"/>
        <extend val="0"/>
        <outline val="0"/>
        <shadow val="0"/>
        <u val="none"/>
        <vertAlign val="baseline"/>
        <sz val="10"/>
        <color auto="1"/>
        <name val="Segoe UI"/>
        <family val="2"/>
        <scheme val="none"/>
      </font>
      <fill>
        <patternFill patternType="none">
          <fgColor indexed="64"/>
          <bgColor auto="1"/>
        </patternFill>
      </fill>
      <alignment horizontal="right" vertical="bottom"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0"/>
        <color auto="1"/>
        <name val="Segoe UI"/>
        <family val="2"/>
        <scheme val="none"/>
      </font>
      <fill>
        <patternFill patternType="solid">
          <fgColor indexed="64"/>
          <bgColor theme="2"/>
        </patternFill>
      </fill>
      <border diagonalUp="0" diagonalDown="0" outline="0">
        <left/>
        <right/>
        <top style="thin">
          <color theme="4" tint="0.39997558519241921"/>
        </top>
        <bottom/>
      </border>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strike val="0"/>
        <outline val="0"/>
        <shadow val="0"/>
        <u val="none"/>
        <vertAlign val="baseline"/>
        <sz val="10"/>
        <name val="Segoe UI"/>
        <family val="2"/>
        <scheme val="none"/>
      </font>
      <fill>
        <patternFill patternType="none">
          <fgColor indexed="64"/>
          <bgColor auto="1"/>
        </patternFill>
      </fill>
    </dxf>
    <dxf>
      <font>
        <b val="0"/>
        <i val="0"/>
        <strike val="0"/>
        <condense val="0"/>
        <extend val="0"/>
        <outline val="0"/>
        <shadow val="0"/>
        <u val="none"/>
        <vertAlign val="baseline"/>
        <sz val="10"/>
        <color rgb="FFF1B82D"/>
        <name val="Segoe UI"/>
        <family val="2"/>
        <scheme val="none"/>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4086225</xdr:colOff>
      <xdr:row>3</xdr:row>
      <xdr:rowOff>92425</xdr:rowOff>
    </xdr:from>
    <xdr:to>
      <xdr:col>4</xdr:col>
      <xdr:colOff>6350</xdr:colOff>
      <xdr:row>6</xdr:row>
      <xdr:rowOff>181550</xdr:rowOff>
    </xdr:to>
    <xdr:pic>
      <xdr:nvPicPr>
        <xdr:cNvPr id="2" name="Picture 1">
          <a:extLst>
            <a:ext uri="{FF2B5EF4-FFF2-40B4-BE49-F238E27FC236}">
              <a16:creationId xmlns:a16="http://schemas.microsoft.com/office/drawing/2014/main" id="{4C130C21-48B4-4B3A-B2EC-638B84B4B5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375" y="787750"/>
          <a:ext cx="2292350" cy="7177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318091-4DE7-48D4-919F-77A0714FD02A}" name="ASABECoefficients" displayName="ASABECoefficients" ref="BE5:BO49" totalsRowShown="0" headerRowDxfId="76" dataDxfId="75">
  <autoFilter ref="BE5:BO49" xr:uid="{C121A10E-9958-40F7-A4B0-D018206F36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sortState xmlns:xlrd2="http://schemas.microsoft.com/office/spreadsheetml/2017/richdata2" ref="BE6:BM48">
    <sortCondition ref="BE207:BE258"/>
  </sortState>
  <tableColumns count="11">
    <tableColumn id="5" xr3:uid="{9666F472-910A-44D3-81C0-1968F925B0F7}" name="ASABE Category" dataDxfId="74"/>
    <tableColumn id="6" xr3:uid="{FFFA8432-C30C-4BBF-9532-B3604D34A1C6}" name="RF1" dataDxfId="73"/>
    <tableColumn id="7" xr3:uid="{09839EA2-FFEC-4243-B4CF-47620586C1FD}" name="RF2" dataDxfId="72"/>
    <tableColumn id="8" xr3:uid="{CDBFF627-7947-4F95-9BE4-ED7A6FBD6747}" name="Life (hr)" dataDxfId="71"/>
    <tableColumn id="9" xr3:uid="{8C6582D0-BB7D-4499-A0A5-8358CBE1F922}" name="RV1" dataDxfId="70"/>
    <tableColumn id="10" xr3:uid="{03D6BF91-ED5B-4E51-8EA9-4414706792E5}" name="RV2" dataDxfId="69"/>
    <tableColumn id="11" xr3:uid="{C5857EF3-2E8B-433F-A80E-FFAA687BD600}" name="RV3" dataDxfId="68"/>
    <tableColumn id="12" xr3:uid="{8B73F807-A14E-4CAC-9533-6B1B1106A92A}" name="RV4" dataDxfId="67"/>
    <tableColumn id="14" xr3:uid="{4A03BB0B-F305-4E21-80D1-EEFB1FE098B6}" name="RV5" dataDxfId="66"/>
    <tableColumn id="1" xr3:uid="{5DA729F1-5A56-4FBD-BDAD-BB1718174FFF}" name="δ" dataDxfId="65"/>
    <tableColumn id="2" xr3:uid="{E8BC196A-1E6B-4594-948A-4916EABAA826}" name="Note" dataDxfId="64"/>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9D0BFC9-C311-4C6D-B597-8E50D429ABC4}" name="Power1" displayName="Power1" ref="AL5:BC23" totalsRowShown="0" headerRowDxfId="63" dataDxfId="62">
  <autoFilter ref="AL5:BC23" xr:uid="{240C76D1-DF28-4C0F-9814-9FD24E01ECF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BD269431-CE4A-4718-87C7-C186A822D33A}" name="HP &amp; descriptive information" dataDxfId="61"/>
    <tableColumn id="2" xr3:uid="{C5639F9F-347F-400A-9B97-907FB342DBCB}" name="HP" dataDxfId="60"/>
    <tableColumn id="3" xr3:uid="{D1E56B26-5DC6-48DE-9AD7-F41CF7F52460}" name="Information" dataDxfId="59"/>
    <tableColumn id="4" xr3:uid="{FC941094-362C-4D99-AEAE-596759E1043D}" name="PriceP" dataDxfId="58" dataCellStyle="Comma"/>
    <tableColumn id="5" xr3:uid="{17BD00EB-467B-4E80-BBBE-60822D46FE71}" name="Discount" dataDxfId="57" dataCellStyle="Percent"/>
    <tableColumn id="6" xr3:uid="{9B5797DD-26C3-4855-9BA2-49730C418627}" name="PriceL" dataDxfId="56">
      <calculatedColumnFormula>AO6/(1-AP6)</calculatedColumnFormula>
    </tableColumn>
    <tableColumn id="7" xr3:uid="{AA57E595-4289-413C-BB3F-B34EE1777858}" name="Life (yr)" dataDxfId="55"/>
    <tableColumn id="8" xr3:uid="{45773B5D-85E2-45F2-9EE0-4C08DD831168}" name="Use (hr/yr)" dataDxfId="54"/>
    <tableColumn id="9" xr3:uid="{2DD058BB-2A8D-415B-8D09-76D50314EEF2}" name="Fuel (gal/hph)" dataDxfId="53"/>
    <tableColumn id="10" xr3:uid="{598BA199-B3AD-4C45-8E62-6184CCA186AA}" name="ASABEtype" dataDxfId="52"/>
    <tableColumn id="11" xr3:uid="{B26F571F-D87B-4BDF-8293-09AFBA97F4B7}" name="Shed (ft^2)" dataDxfId="51"/>
    <tableColumn id="13" xr3:uid="{9399F814-2F15-4F06-89D9-42ECFB17D90E}" name="TradeIn%" dataDxfId="50">
      <calculatedColumnFormula>(VLOOKUP(Power1[[#This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calculatedColumnFormula>
    </tableColumn>
    <tableColumn id="14" xr3:uid="{E2E5522A-2264-41D3-AA3A-81071AF0715C}" name="TradeIn$" dataDxfId="49">
      <calculatedColumnFormula>Power1[[#This Row],[TradeIn%]]*Power1[[#This Row],[PriceL]]</calculatedColumnFormula>
    </tableColumn>
    <tableColumn id="15" xr3:uid="{AC88189C-6E67-420F-B481-DAE851406941}" name="Depr ($/hr)" dataDxfId="48">
      <calculatedColumnFormula>(Power1[[#This Row],[PriceP]]-Power1[[#This Row],[TradeIn$]])/Power1[[#This Row],[Life (yr)]]/Power1[[#This Row],[Use (hr/yr)]]</calculatedColumnFormula>
    </tableColumn>
    <tableColumn id="16" xr3:uid="{274E1EB3-0EE7-4B17-B82C-E1E8A71DF569}" name="OH ($/hr)" dataDxfId="47">
      <calculatedColumnFormula>((Power1[[#This Row],[PriceP]]+Power1[[#This Row],[TradeIn$]])*($BR$7+$BR$8+$BR$9)+Power1[[#This Row],[Shed (ft^2)]]*$BR$12)/Power1[[#This Row],[Use (hr/yr)]]</calculatedColumnFormula>
    </tableColumn>
    <tableColumn id="17" xr3:uid="{4D45F251-91E9-4E88-93C2-AD51CC45483A}" name="Rep ($/hr)" dataDxfId="46"/>
    <tableColumn id="18" xr3:uid="{BE874BCA-B7C0-4F60-B45E-C6FC10CC1F75}" name="Fuel (gal/hr)" dataDxfId="45">
      <calculatedColumnFormula>Power1[[#This Row],[Fuel (gal/hph)]]*Power1[[#This Row],[HP]]*(1+$BR$11)</calculatedColumnFormula>
    </tableColumn>
    <tableColumn id="12" xr3:uid="{4F15369C-CC4A-40AD-A09E-B01C79EA300E}" name="Ownership costs ($/hr)" dataDxfId="44">
      <calculatedColumnFormula>SUM(AY6:AZ6)</calculatedColumnFormula>
    </tableColumn>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2EC2A0-F2E9-43DC-A00C-CF63474C9E2C}" name="Prices" displayName="Prices" ref="BQ5:BR18" totalsRowShown="0" headerRowDxfId="43" dataDxfId="42">
  <autoFilter ref="BQ5:BR18" xr:uid="{CF1319A9-3CEE-4A31-AA49-C632A8017268}">
    <filterColumn colId="0" hiddenButton="1"/>
    <filterColumn colId="1" hiddenButton="1"/>
  </autoFilter>
  <tableColumns count="2">
    <tableColumn id="1" xr3:uid="{07AA7B2F-5F10-46D0-8784-055B38F0F3E0}" name="Item" dataDxfId="41"/>
    <tableColumn id="2" xr3:uid="{060EF873-680A-4B4C-874B-364335352C1C}" name="Value" dataDxfId="40"/>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1E34CD-51D0-4D46-9241-75423194E0D8}" name="Implements7" displayName="Implements7" ref="K5:AJ69" totalsRowShown="0" headerRowDxfId="39" dataDxfId="38">
  <autoFilter ref="K5:AJ69" xr:uid="{84A14725-BB4A-4A0D-B4C3-0DBAD43EDE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sortState xmlns:xlrd2="http://schemas.microsoft.com/office/spreadsheetml/2017/richdata2" ref="K6:AJ69">
    <sortCondition ref="AJ6:AJ69"/>
    <sortCondition ref="K6:K69"/>
  </sortState>
  <tableColumns count="26">
    <tableColumn id="2" xr3:uid="{6C17EEA8-0D93-4B5F-A44E-9BA8AAC9B71E}" name="Selection" dataDxfId="37">
      <calculatedColumnFormula>Implements7[[#This Row],[Implement type]]&amp;", "&amp;Implements7[[#This Row],[Width]]&amp;" "&amp;Implements7[[#This Row],[Width Unit]]</calculatedColumnFormula>
    </tableColumn>
    <tableColumn id="3" xr3:uid="{0BD2096D-7FFC-4C0A-A109-FE148FAB9188}" name="Implement type" dataDxfId="36"/>
    <tableColumn id="4" xr3:uid="{89953684-8DE5-47C5-B4F2-AEB90DD52E30}" name="Width" dataDxfId="35"/>
    <tableColumn id="5" xr3:uid="{E3DF4055-343C-400E-8614-6A656F3ADFC3}" name="Width Unit" dataDxfId="34"/>
    <tableColumn id="6" xr3:uid="{1536D4C6-DCB9-444B-82B4-B9053A2A26AB}" name="Size" dataDxfId="33"/>
    <tableColumn id="7" xr3:uid="{C3D9B361-2729-4D03-85A6-7D276922190A}" name="Size unit" dataDxfId="32"/>
    <tableColumn id="9" xr3:uid="{8A125BEE-70C2-4652-8A56-B6559DD070BF}" name="PriceP" dataDxfId="31" dataCellStyle="Comma"/>
    <tableColumn id="10" xr3:uid="{9AE7FABC-B571-4D1E-A618-63B564F522E6}" name="Discount" dataDxfId="30" dataCellStyle="Percent"/>
    <tableColumn id="11" xr3:uid="{04AB8C2D-1361-4FC9-A1A3-608C2FF2A880}" name="PriceL" dataDxfId="29">
      <calculatedColumnFormula>Q6/(1-R6)</calculatedColumnFormula>
    </tableColumn>
    <tableColumn id="12" xr3:uid="{0BF2A9B9-E8E4-4B23-8F0A-B90F9845F14A}" name="Life (yr)" dataDxfId="28"/>
    <tableColumn id="13" xr3:uid="{CB177D39-57F9-48EB-9E20-5620E698B1F2}" name="Use (hr/yr)" dataDxfId="27"/>
    <tableColumn id="14" xr3:uid="{A53F0F8D-0F8C-43D6-A97A-14E5CD2C560A}" name="Use (ac/yr)" dataDxfId="26" dataCellStyle="Comma">
      <calculatedColumnFormula>IF(AND(X6&lt;&gt;0,Y6&lt;&gt;0),U6*(M6*X6*Y6)/8.25,U6*M6)</calculatedColumnFormula>
    </tableColumn>
    <tableColumn id="15" xr3:uid="{C8D36B50-6BFF-4B00-B4E8-CF56DC993AB6}" name="ASABEtype" dataDxfId="25"/>
    <tableColumn id="16" xr3:uid="{59BC6FC5-FF45-470D-89DD-C5FF1B703241}" name="Speed" dataDxfId="24"/>
    <tableColumn id="17" xr3:uid="{66D47DA3-29D9-49B0-868B-264914113381}" name="Efficiency" dataDxfId="23" dataCellStyle="Percent"/>
    <tableColumn id="19" xr3:uid="{10D74F79-7E1D-4DFA-9F8C-935673721F27}" name="LaborUse" dataDxfId="22" dataCellStyle="Percent"/>
    <tableColumn id="22" xr3:uid="{916897AA-2B33-4B70-8108-3E802AB4837C}" name="Shed (ft^2)" dataDxfId="21"/>
    <tableColumn id="23" xr3:uid="{066D7BE1-A996-4372-B5AE-B8EAF0F0AEC6}" name="TradeIn%" dataDxfId="20" dataCellStyle="Comma">
      <calculatedColumnFormula>(VLOOKUP(Implements7[[#This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calculatedColumnFormula>
    </tableColumn>
    <tableColumn id="24" xr3:uid="{6CD2E69E-6DCF-4DF4-90A3-47258DD907B7}" name="TradeIn$" dataDxfId="19" dataCellStyle="Comma">
      <calculatedColumnFormula>Implements7[[#This Row],[TradeIn%]]*Implements7[[#This Row],[PriceL]]</calculatedColumnFormula>
    </tableColumn>
    <tableColumn id="25" xr3:uid="{5E4D0E2B-20A7-42DD-9403-828B277EAAEF}" name="Depr ($/ac)" dataDxfId="18" dataCellStyle="Comma">
      <calculatedColumnFormula>(Implements7[[#This Row],[PriceP]]-Implements7[[#This Row],[TradeIn$]])/Implements7[[#This Row],[Life (yr)]]/Implements7[[#This Row],[Use (ac/yr)]]</calculatedColumnFormula>
    </tableColumn>
    <tableColumn id="26" xr3:uid="{E14689B8-B450-4403-B4C8-1AAAB5BCF9DD}" name="OH ($/ac)" dataDxfId="17" dataCellStyle="Comma">
      <calculatedColumnFormula>((Implements7[[#This Row],[PriceP]]+Implements7[[#This Row],[TradeIn$]])/2*($BR$7+$BR$8+$BR$9)+Implements7[[#This Row],[Shed (ft^2)]]*$BR$12)/Implements7[[#This Row],[Use (ac/yr)]]</calculatedColumnFormula>
    </tableColumn>
    <tableColumn id="27" xr3:uid="{1B19A690-82FA-4B7B-89E7-C7770F16EA9F}" name="Rep ($/ac)" dataDxfId="16" dataCellStyle="Currency">
      <calculatedColumnFormula>Implements7[[#This Row],[PriceL]]*(VLOOKUP(Implements7[[#This Row],[ASABEtype]],ASABECoefficients[],2)*(Implements7[[#This Row],[Life (yr)]]*Implements7[[#This Row],[Use (hr/yr)]]/1000)^VLOOKUP(Implements7[[#This Row],[ASABEtype]],ASABECoefficients[],3))/Implements7[[#This Row],[Life (yr)]]/Implements7[[#This Row],[Use (ac/yr)]]</calculatedColumnFormula>
    </tableColumn>
    <tableColumn id="8" xr3:uid="{EE855BD1-C660-4D70-ABA7-57EF9E40B62F}" name="hr/ac" dataDxfId="15">
      <calculatedColumnFormula>$BR$18/(Implements7[[#This Row],[Width]]*Implements7[[#This Row],[Speed]]*Implements7[[#This Row],[Efficiency]])</calculatedColumnFormula>
    </tableColumn>
    <tableColumn id="1" xr3:uid="{196CC838-3614-4101-8B14-2E1533820967}" name="Ownership costs($/ac)" dataDxfId="14">
      <calculatedColumnFormula>SUM(Implements7[[#This Row],[Depr ($/ac)]:[OH ($/ac)]])</calculatedColumnFormula>
    </tableColumn>
    <tableColumn id="18" xr3:uid="{E150B4D2-81F0-4CAE-A338-F914CC31DCC5}" name="Order in Lazarus" dataDxfId="13"/>
    <tableColumn id="21" xr3:uid="{55736F58-A13B-4C7A-AC58-BED07B7545FA}" name="Operation type" dataDxfId="12"/>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9B9BFB3-9F8F-46DF-BBE4-12628DA36BDC}" name="Table4" displayName="Table4" ref="H3:J53" totalsRowShown="0" headerRowDxfId="11" dataDxfId="10">
  <autoFilter ref="H3:J53" xr:uid="{00000000-0009-0000-0100-000004000000}"/>
  <tableColumns count="3">
    <tableColumn id="1" xr3:uid="{67340488-1095-48F6-BAC2-0353A6C76D63}" name="Activity" dataDxfId="9"/>
    <tableColumn id="2" xr3:uid="{A119EB06-A15C-40B5-BF7B-1E9CBE51048A}" name="Avg. cost/unit" dataDxfId="8"/>
    <tableColumn id="3" xr3:uid="{7519E974-2559-426B-B0CC-8D8C8B85F48D}" name="Unit" dataDxfId="7"/>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2">
      <a:majorFont>
        <a:latin typeface="Segoe UI Black"/>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7721E-FC66-4515-94B2-0CCD049481B5}">
  <dimension ref="A1:M26"/>
  <sheetViews>
    <sheetView tabSelected="1" workbookViewId="0">
      <selection activeCell="E12" sqref="E12"/>
    </sheetView>
  </sheetViews>
  <sheetFormatPr defaultColWidth="0" defaultRowHeight="16.5" zeroHeight="1"/>
  <cols>
    <col min="1" max="1" width="2.875" style="1" customWidth="1"/>
    <col min="2" max="2" width="17.875" style="1" customWidth="1"/>
    <col min="3" max="3" width="74.625" style="1" customWidth="1"/>
    <col min="4" max="5" width="9" style="1" customWidth="1"/>
    <col min="6" max="8" width="9" style="1" hidden="1" customWidth="1"/>
    <col min="9" max="13" width="0" style="1" hidden="1" customWidth="1"/>
    <col min="14" max="16384" width="9" style="1" hidden="1"/>
  </cols>
  <sheetData>
    <row r="1" spans="1:13" ht="17.25" thickBot="1">
      <c r="A1" s="88"/>
      <c r="B1" s="88"/>
      <c r="C1" s="88"/>
      <c r="D1" s="88"/>
      <c r="E1" s="88"/>
      <c r="F1" s="88"/>
      <c r="G1" s="88"/>
      <c r="H1" s="88"/>
      <c r="I1" s="88"/>
      <c r="J1" s="88"/>
      <c r="K1" s="88"/>
      <c r="L1" s="88"/>
      <c r="M1" s="88"/>
    </row>
    <row r="2" spans="1:13" ht="21" thickBot="1">
      <c r="A2" s="88"/>
      <c r="B2" s="105" t="s">
        <v>658</v>
      </c>
      <c r="C2" s="106"/>
      <c r="D2" s="107"/>
      <c r="E2" s="88"/>
      <c r="F2" s="88"/>
      <c r="G2" s="88"/>
      <c r="H2" s="88"/>
    </row>
    <row r="3" spans="1:13">
      <c r="A3" s="88"/>
      <c r="B3" s="108" t="s">
        <v>370</v>
      </c>
      <c r="C3" s="108"/>
      <c r="D3" s="108"/>
      <c r="E3" s="88"/>
      <c r="F3" s="88"/>
      <c r="G3" s="88"/>
      <c r="H3" s="88"/>
    </row>
    <row r="4" spans="1:13">
      <c r="A4" s="88"/>
      <c r="B4" s="109"/>
      <c r="C4" s="109"/>
      <c r="D4" s="109"/>
      <c r="E4" s="88"/>
      <c r="F4" s="88"/>
      <c r="G4" s="88"/>
      <c r="H4" s="88"/>
    </row>
    <row r="5" spans="1:13">
      <c r="A5" s="88"/>
      <c r="B5" s="88"/>
      <c r="C5" s="89" t="s">
        <v>0</v>
      </c>
      <c r="D5" s="88"/>
      <c r="E5" s="88"/>
      <c r="F5" s="88"/>
      <c r="G5" s="88"/>
      <c r="H5" s="88"/>
    </row>
    <row r="6" spans="1:13">
      <c r="A6" s="88"/>
      <c r="B6" s="88"/>
      <c r="C6" s="90" t="s">
        <v>656</v>
      </c>
      <c r="D6" s="88"/>
      <c r="E6" s="88"/>
      <c r="F6" s="88"/>
      <c r="G6" s="88"/>
      <c r="H6" s="88"/>
    </row>
    <row r="7" spans="1:13">
      <c r="A7" s="88"/>
      <c r="B7" s="88"/>
      <c r="C7" s="90" t="s">
        <v>1</v>
      </c>
      <c r="D7" s="88"/>
      <c r="E7" s="88"/>
      <c r="F7" s="88"/>
      <c r="G7" s="88"/>
      <c r="H7" s="88"/>
    </row>
    <row r="8" spans="1:13">
      <c r="A8" s="88"/>
      <c r="B8" s="88"/>
      <c r="C8" s="88"/>
      <c r="D8" s="88"/>
      <c r="E8" s="88"/>
      <c r="F8" s="88"/>
      <c r="G8" s="88"/>
      <c r="H8" s="88"/>
    </row>
    <row r="9" spans="1:13" ht="17.25">
      <c r="A9" s="88"/>
      <c r="B9" s="110" t="s">
        <v>659</v>
      </c>
      <c r="C9" s="110"/>
      <c r="D9" s="110"/>
      <c r="E9" s="88"/>
      <c r="F9" s="88"/>
      <c r="G9" s="88"/>
      <c r="H9" s="88"/>
    </row>
    <row r="10" spans="1:13" ht="21" customHeight="1">
      <c r="A10" s="88"/>
      <c r="B10" s="113"/>
      <c r="C10" s="113"/>
      <c r="D10" s="113"/>
      <c r="E10" s="88"/>
      <c r="F10" s="88"/>
      <c r="G10" s="88"/>
      <c r="H10" s="88"/>
    </row>
    <row r="11" spans="1:13">
      <c r="A11" s="88"/>
      <c r="B11" s="88"/>
      <c r="C11" s="88"/>
      <c r="D11" s="88"/>
      <c r="E11" s="88"/>
      <c r="F11" s="88"/>
      <c r="G11" s="88"/>
      <c r="H11" s="88"/>
    </row>
    <row r="12" spans="1:13" ht="15" customHeight="1">
      <c r="A12" s="88"/>
      <c r="B12" s="114" t="s">
        <v>2</v>
      </c>
      <c r="C12" s="115"/>
      <c r="D12" s="116"/>
      <c r="E12" s="88"/>
      <c r="F12" s="88"/>
      <c r="G12" s="88"/>
      <c r="H12" s="88"/>
    </row>
    <row r="13" spans="1:13" ht="17.25" thickBot="1">
      <c r="A13" s="88"/>
      <c r="B13" s="88"/>
      <c r="C13" s="88"/>
      <c r="D13" s="88"/>
      <c r="E13" s="88"/>
      <c r="F13" s="88"/>
      <c r="G13" s="88"/>
      <c r="H13" s="88"/>
    </row>
    <row r="14" spans="1:13" ht="21" thickBot="1">
      <c r="A14" s="88"/>
      <c r="B14" s="111"/>
      <c r="C14" s="112"/>
      <c r="D14" s="112"/>
      <c r="E14" s="88"/>
      <c r="F14" s="88"/>
      <c r="G14" s="88"/>
      <c r="H14" s="88"/>
    </row>
    <row r="15" spans="1:13">
      <c r="A15" s="88"/>
      <c r="B15" s="88"/>
      <c r="C15" s="88"/>
      <c r="D15" s="88"/>
      <c r="E15" s="88"/>
      <c r="F15" s="88"/>
      <c r="G15" s="88"/>
      <c r="H15" s="88"/>
    </row>
    <row r="16" spans="1:13" hidden="1">
      <c r="A16" s="88"/>
      <c r="B16" s="88"/>
      <c r="C16" s="88"/>
      <c r="D16" s="88"/>
      <c r="E16" s="88"/>
      <c r="F16" s="88"/>
      <c r="G16" s="88"/>
      <c r="H16" s="88"/>
    </row>
    <row r="17" spans="1:8" hidden="1">
      <c r="A17" s="88"/>
      <c r="B17" s="88"/>
      <c r="C17" s="88"/>
      <c r="D17" s="88"/>
      <c r="E17" s="88"/>
      <c r="F17" s="88"/>
      <c r="G17" s="88"/>
      <c r="H17" s="88"/>
    </row>
    <row r="18" spans="1:8" hidden="1">
      <c r="A18" s="88"/>
      <c r="B18" s="88"/>
      <c r="C18" s="88"/>
      <c r="D18" s="88"/>
      <c r="E18" s="88"/>
      <c r="F18" s="88"/>
      <c r="G18" s="88"/>
      <c r="H18" s="88"/>
    </row>
    <row r="19" spans="1:8" hidden="1">
      <c r="A19" s="88"/>
      <c r="B19" s="88"/>
      <c r="C19" s="88"/>
      <c r="D19" s="88"/>
      <c r="E19" s="88"/>
      <c r="F19" s="88"/>
      <c r="G19" s="88"/>
      <c r="H19" s="88"/>
    </row>
    <row r="20" spans="1:8" hidden="1">
      <c r="A20" s="88"/>
      <c r="B20" s="88"/>
      <c r="C20" s="88"/>
      <c r="D20" s="88"/>
      <c r="E20" s="88"/>
      <c r="F20" s="88"/>
      <c r="G20" s="88"/>
      <c r="H20" s="88"/>
    </row>
    <row r="21" spans="1:8" hidden="1">
      <c r="A21" s="88"/>
      <c r="B21" s="88"/>
      <c r="C21" s="88"/>
      <c r="D21" s="88"/>
      <c r="E21" s="88"/>
      <c r="F21" s="88"/>
      <c r="G21" s="88"/>
      <c r="H21" s="88"/>
    </row>
    <row r="22" spans="1:8" hidden="1">
      <c r="A22" s="88"/>
      <c r="B22" s="88"/>
      <c r="C22" s="88"/>
      <c r="D22" s="88"/>
      <c r="E22" s="88"/>
      <c r="F22" s="88"/>
      <c r="G22" s="88"/>
      <c r="H22" s="88"/>
    </row>
    <row r="23" spans="1:8" hidden="1">
      <c r="A23" s="88"/>
      <c r="B23" s="88"/>
      <c r="C23" s="88"/>
      <c r="D23" s="88"/>
      <c r="E23" s="88"/>
      <c r="F23" s="88"/>
      <c r="G23" s="88"/>
      <c r="H23" s="88"/>
    </row>
    <row r="24" spans="1:8" hidden="1">
      <c r="A24" s="88"/>
    </row>
    <row r="25" spans="1:8" hidden="1">
      <c r="A25" s="88"/>
    </row>
    <row r="26" spans="1:8" hidden="1">
      <c r="A26" s="88"/>
    </row>
  </sheetData>
  <sheetProtection sheet="1" objects="1" scenarios="1" selectLockedCells="1" selectUnlockedCells="1"/>
  <mergeCells count="7">
    <mergeCell ref="B2:D2"/>
    <mergeCell ref="B3:D3"/>
    <mergeCell ref="B4:D4"/>
    <mergeCell ref="B9:D9"/>
    <mergeCell ref="B14:D14"/>
    <mergeCell ref="B10:D10"/>
    <mergeCell ref="B12: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B18C7-28D3-43C1-9570-395A0D8062F2}">
  <dimension ref="A1:WVP1072"/>
  <sheetViews>
    <sheetView workbookViewId="0">
      <selection activeCell="E8" sqref="E8"/>
    </sheetView>
  </sheetViews>
  <sheetFormatPr defaultColWidth="0" defaultRowHeight="16.5" zeroHeight="1"/>
  <cols>
    <col min="1" max="1" width="2.625" style="126" customWidth="1"/>
    <col min="2" max="2" width="33.875" style="126" customWidth="1"/>
    <col min="3" max="3" width="10.375" style="126" customWidth="1"/>
    <col min="4" max="4" width="9.625" style="126" customWidth="1"/>
    <col min="5" max="6" width="13.5" style="126" customWidth="1"/>
    <col min="7" max="7" width="7.75" style="126" customWidth="1"/>
    <col min="8" max="8" width="8.625" style="126" customWidth="1"/>
    <col min="9" max="9" width="9" style="126" hidden="1"/>
    <col min="10" max="257" width="8" style="126" hidden="1"/>
    <col min="258" max="258" width="28.125" style="126" hidden="1"/>
    <col min="259" max="259" width="8.125" style="126" hidden="1"/>
    <col min="260" max="260" width="9.125" style="126" hidden="1"/>
    <col min="261" max="261" width="9.75" style="126" hidden="1"/>
    <col min="262" max="262" width="11.125" style="126" hidden="1"/>
    <col min="263" max="263" width="10.375" style="126" hidden="1"/>
    <col min="264" max="264" width="10.5" style="126" hidden="1"/>
    <col min="265" max="513" width="8" style="126" hidden="1"/>
    <col min="514" max="514" width="28.125" style="126" hidden="1"/>
    <col min="515" max="515" width="8.125" style="126" hidden="1"/>
    <col min="516" max="516" width="9.125" style="126" hidden="1"/>
    <col min="517" max="517" width="9.75" style="126" hidden="1"/>
    <col min="518" max="518" width="11.125" style="126" hidden="1"/>
    <col min="519" max="519" width="10.375" style="126" hidden="1"/>
    <col min="520" max="520" width="10.5" style="126" hidden="1"/>
    <col min="521" max="769" width="8" style="126" hidden="1"/>
    <col min="770" max="770" width="28.125" style="126" hidden="1"/>
    <col min="771" max="771" width="8.125" style="126" hidden="1"/>
    <col min="772" max="772" width="9.125" style="126" hidden="1"/>
    <col min="773" max="773" width="9.75" style="126" hidden="1"/>
    <col min="774" max="774" width="11.125" style="126" hidden="1"/>
    <col min="775" max="775" width="10.375" style="126" hidden="1"/>
    <col min="776" max="776" width="10.5" style="126" hidden="1"/>
    <col min="777" max="1025" width="9" style="126" hidden="1"/>
    <col min="1026" max="1026" width="28.125" style="126" hidden="1"/>
    <col min="1027" max="1027" width="8.125" style="126" hidden="1"/>
    <col min="1028" max="1028" width="9.125" style="126" hidden="1"/>
    <col min="1029" max="1029" width="9.75" style="126" hidden="1"/>
    <col min="1030" max="1030" width="11.125" style="126" hidden="1"/>
    <col min="1031" max="1031" width="10.375" style="126" hidden="1"/>
    <col min="1032" max="1032" width="10.5" style="126" hidden="1"/>
    <col min="1033" max="1281" width="8" style="126" hidden="1"/>
    <col min="1282" max="1282" width="28.125" style="126" hidden="1"/>
    <col min="1283" max="1283" width="8.125" style="126" hidden="1"/>
    <col min="1284" max="1284" width="9.125" style="126" hidden="1"/>
    <col min="1285" max="1285" width="9.75" style="126" hidden="1"/>
    <col min="1286" max="1286" width="11.125" style="126" hidden="1"/>
    <col min="1287" max="1287" width="10.375" style="126" hidden="1"/>
    <col min="1288" max="1288" width="10.5" style="126" hidden="1"/>
    <col min="1289" max="1537" width="8" style="126" hidden="1"/>
    <col min="1538" max="1538" width="28.125" style="126" hidden="1"/>
    <col min="1539" max="1539" width="8.125" style="126" hidden="1"/>
    <col min="1540" max="1540" width="9.125" style="126" hidden="1"/>
    <col min="1541" max="1541" width="9.75" style="126" hidden="1"/>
    <col min="1542" max="1542" width="11.125" style="126" hidden="1"/>
    <col min="1543" max="1543" width="10.375" style="126" hidden="1"/>
    <col min="1544" max="1544" width="10.5" style="126" hidden="1"/>
    <col min="1545" max="1793" width="8" style="126" hidden="1"/>
    <col min="1794" max="1794" width="28.125" style="126" hidden="1"/>
    <col min="1795" max="1795" width="8.125" style="126" hidden="1"/>
    <col min="1796" max="1796" width="9.125" style="126" hidden="1"/>
    <col min="1797" max="1797" width="9.75" style="126" hidden="1"/>
    <col min="1798" max="1798" width="11.125" style="126" hidden="1"/>
    <col min="1799" max="1799" width="10.375" style="126" hidden="1"/>
    <col min="1800" max="1800" width="10.5" style="126" hidden="1"/>
    <col min="1801" max="2049" width="9" style="126" hidden="1"/>
    <col min="2050" max="2050" width="28.125" style="126" hidden="1"/>
    <col min="2051" max="2051" width="8.125" style="126" hidden="1"/>
    <col min="2052" max="2052" width="9.125" style="126" hidden="1"/>
    <col min="2053" max="2053" width="9.75" style="126" hidden="1"/>
    <col min="2054" max="2054" width="11.125" style="126" hidden="1"/>
    <col min="2055" max="2055" width="10.375" style="126" hidden="1"/>
    <col min="2056" max="2056" width="10.5" style="126" hidden="1"/>
    <col min="2057" max="2305" width="8" style="126" hidden="1"/>
    <col min="2306" max="2306" width="28.125" style="126" hidden="1"/>
    <col min="2307" max="2307" width="8.125" style="126" hidden="1"/>
    <col min="2308" max="2308" width="9.125" style="126" hidden="1"/>
    <col min="2309" max="2309" width="9.75" style="126" hidden="1"/>
    <col min="2310" max="2310" width="11.125" style="126" hidden="1"/>
    <col min="2311" max="2311" width="10.375" style="126" hidden="1"/>
    <col min="2312" max="2312" width="10.5" style="126" hidden="1"/>
    <col min="2313" max="2561" width="8" style="126" hidden="1"/>
    <col min="2562" max="2562" width="28.125" style="126" hidden="1"/>
    <col min="2563" max="2563" width="8.125" style="126" hidden="1"/>
    <col min="2564" max="2564" width="9.125" style="126" hidden="1"/>
    <col min="2565" max="2565" width="9.75" style="126" hidden="1"/>
    <col min="2566" max="2566" width="11.125" style="126" hidden="1"/>
    <col min="2567" max="2567" width="10.375" style="126" hidden="1"/>
    <col min="2568" max="2568" width="10.5" style="126" hidden="1"/>
    <col min="2569" max="2817" width="8" style="126" hidden="1"/>
    <col min="2818" max="2818" width="28.125" style="126" hidden="1"/>
    <col min="2819" max="2819" width="8.125" style="126" hidden="1"/>
    <col min="2820" max="2820" width="9.125" style="126" hidden="1"/>
    <col min="2821" max="2821" width="9.75" style="126" hidden="1"/>
    <col min="2822" max="2822" width="11.125" style="126" hidden="1"/>
    <col min="2823" max="2823" width="10.375" style="126" hidden="1"/>
    <col min="2824" max="2824" width="10.5" style="126" hidden="1"/>
    <col min="2825" max="3073" width="9" style="126" hidden="1"/>
    <col min="3074" max="3074" width="28.125" style="126" hidden="1"/>
    <col min="3075" max="3075" width="8.125" style="126" hidden="1"/>
    <col min="3076" max="3076" width="9.125" style="126" hidden="1"/>
    <col min="3077" max="3077" width="9.75" style="126" hidden="1"/>
    <col min="3078" max="3078" width="11.125" style="126" hidden="1"/>
    <col min="3079" max="3079" width="10.375" style="126" hidden="1"/>
    <col min="3080" max="3080" width="10.5" style="126" hidden="1"/>
    <col min="3081" max="3329" width="8" style="126" hidden="1"/>
    <col min="3330" max="3330" width="28.125" style="126" hidden="1"/>
    <col min="3331" max="3331" width="8.125" style="126" hidden="1"/>
    <col min="3332" max="3332" width="9.125" style="126" hidden="1"/>
    <col min="3333" max="3333" width="9.75" style="126" hidden="1"/>
    <col min="3334" max="3334" width="11.125" style="126" hidden="1"/>
    <col min="3335" max="3335" width="10.375" style="126" hidden="1"/>
    <col min="3336" max="3336" width="10.5" style="126" hidden="1"/>
    <col min="3337" max="3585" width="8" style="126" hidden="1"/>
    <col min="3586" max="3586" width="28.125" style="126" hidden="1"/>
    <col min="3587" max="3587" width="8.125" style="126" hidden="1"/>
    <col min="3588" max="3588" width="9.125" style="126" hidden="1"/>
    <col min="3589" max="3589" width="9.75" style="126" hidden="1"/>
    <col min="3590" max="3590" width="11.125" style="126" hidden="1"/>
    <col min="3591" max="3591" width="10.375" style="126" hidden="1"/>
    <col min="3592" max="3592" width="10.5" style="126" hidden="1"/>
    <col min="3593" max="3841" width="8" style="126" hidden="1"/>
    <col min="3842" max="3842" width="28.125" style="126" hidden="1"/>
    <col min="3843" max="3843" width="8.125" style="126" hidden="1"/>
    <col min="3844" max="3844" width="9.125" style="126" hidden="1"/>
    <col min="3845" max="3845" width="9.75" style="126" hidden="1"/>
    <col min="3846" max="3846" width="11.125" style="126" hidden="1"/>
    <col min="3847" max="3847" width="10.375" style="126" hidden="1"/>
    <col min="3848" max="3848" width="10.5" style="126" hidden="1"/>
    <col min="3849" max="4097" width="9" style="126" hidden="1"/>
    <col min="4098" max="4098" width="28.125" style="126" hidden="1"/>
    <col min="4099" max="4099" width="8.125" style="126" hidden="1"/>
    <col min="4100" max="4100" width="9.125" style="126" hidden="1"/>
    <col min="4101" max="4101" width="9.75" style="126" hidden="1"/>
    <col min="4102" max="4102" width="11.125" style="126" hidden="1"/>
    <col min="4103" max="4103" width="10.375" style="126" hidden="1"/>
    <col min="4104" max="4104" width="10.5" style="126" hidden="1"/>
    <col min="4105" max="4353" width="8" style="126" hidden="1"/>
    <col min="4354" max="4354" width="28.125" style="126" hidden="1"/>
    <col min="4355" max="4355" width="8.125" style="126" hidden="1"/>
    <col min="4356" max="4356" width="9.125" style="126" hidden="1"/>
    <col min="4357" max="4357" width="9.75" style="126" hidden="1"/>
    <col min="4358" max="4358" width="11.125" style="126" hidden="1"/>
    <col min="4359" max="4359" width="10.375" style="126" hidden="1"/>
    <col min="4360" max="4360" width="10.5" style="126" hidden="1"/>
    <col min="4361" max="4609" width="8" style="126" hidden="1"/>
    <col min="4610" max="4610" width="28.125" style="126" hidden="1"/>
    <col min="4611" max="4611" width="8.125" style="126" hidden="1"/>
    <col min="4612" max="4612" width="9.125" style="126" hidden="1"/>
    <col min="4613" max="4613" width="9.75" style="126" hidden="1"/>
    <col min="4614" max="4614" width="11.125" style="126" hidden="1"/>
    <col min="4615" max="4615" width="10.375" style="126" hidden="1"/>
    <col min="4616" max="4616" width="10.5" style="126" hidden="1"/>
    <col min="4617" max="4865" width="8" style="126" hidden="1"/>
    <col min="4866" max="4866" width="28.125" style="126" hidden="1"/>
    <col min="4867" max="4867" width="8.125" style="126" hidden="1"/>
    <col min="4868" max="4868" width="9.125" style="126" hidden="1"/>
    <col min="4869" max="4869" width="9.75" style="126" hidden="1"/>
    <col min="4870" max="4870" width="11.125" style="126" hidden="1"/>
    <col min="4871" max="4871" width="10.375" style="126" hidden="1"/>
    <col min="4872" max="4872" width="10.5" style="126" hidden="1"/>
    <col min="4873" max="5121" width="9" style="126" hidden="1"/>
    <col min="5122" max="5122" width="28.125" style="126" hidden="1"/>
    <col min="5123" max="5123" width="8.125" style="126" hidden="1"/>
    <col min="5124" max="5124" width="9.125" style="126" hidden="1"/>
    <col min="5125" max="5125" width="9.75" style="126" hidden="1"/>
    <col min="5126" max="5126" width="11.125" style="126" hidden="1"/>
    <col min="5127" max="5127" width="10.375" style="126" hidden="1"/>
    <col min="5128" max="5128" width="10.5" style="126" hidden="1"/>
    <col min="5129" max="5377" width="8" style="126" hidden="1"/>
    <col min="5378" max="5378" width="28.125" style="126" hidden="1"/>
    <col min="5379" max="5379" width="8.125" style="126" hidden="1"/>
    <col min="5380" max="5380" width="9.125" style="126" hidden="1"/>
    <col min="5381" max="5381" width="9.75" style="126" hidden="1"/>
    <col min="5382" max="5382" width="11.125" style="126" hidden="1"/>
    <col min="5383" max="5383" width="10.375" style="126" hidden="1"/>
    <col min="5384" max="5384" width="10.5" style="126" hidden="1"/>
    <col min="5385" max="5633" width="8" style="126" hidden="1"/>
    <col min="5634" max="5634" width="28.125" style="126" hidden="1"/>
    <col min="5635" max="5635" width="8.125" style="126" hidden="1"/>
    <col min="5636" max="5636" width="9.125" style="126" hidden="1"/>
    <col min="5637" max="5637" width="9.75" style="126" hidden="1"/>
    <col min="5638" max="5638" width="11.125" style="126" hidden="1"/>
    <col min="5639" max="5639" width="10.375" style="126" hidden="1"/>
    <col min="5640" max="5640" width="10.5" style="126" hidden="1"/>
    <col min="5641" max="5889" width="8" style="126" hidden="1"/>
    <col min="5890" max="5890" width="28.125" style="126" hidden="1"/>
    <col min="5891" max="5891" width="8.125" style="126" hidden="1"/>
    <col min="5892" max="5892" width="9.125" style="126" hidden="1"/>
    <col min="5893" max="5893" width="9.75" style="126" hidden="1"/>
    <col min="5894" max="5894" width="11.125" style="126" hidden="1"/>
    <col min="5895" max="5895" width="10.375" style="126" hidden="1"/>
    <col min="5896" max="5896" width="10.5" style="126" hidden="1"/>
    <col min="5897" max="6145" width="9" style="126" hidden="1"/>
    <col min="6146" max="6146" width="28.125" style="126" hidden="1"/>
    <col min="6147" max="6147" width="8.125" style="126" hidden="1"/>
    <col min="6148" max="6148" width="9.125" style="126" hidden="1"/>
    <col min="6149" max="6149" width="9.75" style="126" hidden="1"/>
    <col min="6150" max="6150" width="11.125" style="126" hidden="1"/>
    <col min="6151" max="6151" width="10.375" style="126" hidden="1"/>
    <col min="6152" max="6152" width="10.5" style="126" hidden="1"/>
    <col min="6153" max="6401" width="8" style="126" hidden="1"/>
    <col min="6402" max="6402" width="28.125" style="126" hidden="1"/>
    <col min="6403" max="6403" width="8.125" style="126" hidden="1"/>
    <col min="6404" max="6404" width="9.125" style="126" hidden="1"/>
    <col min="6405" max="6405" width="9.75" style="126" hidden="1"/>
    <col min="6406" max="6406" width="11.125" style="126" hidden="1"/>
    <col min="6407" max="6407" width="10.375" style="126" hidden="1"/>
    <col min="6408" max="6408" width="10.5" style="126" hidden="1"/>
    <col min="6409" max="6657" width="8" style="126" hidden="1"/>
    <col min="6658" max="6658" width="28.125" style="126" hidden="1"/>
    <col min="6659" max="6659" width="8.125" style="126" hidden="1"/>
    <col min="6660" max="6660" width="9.125" style="126" hidden="1"/>
    <col min="6661" max="6661" width="9.75" style="126" hidden="1"/>
    <col min="6662" max="6662" width="11.125" style="126" hidden="1"/>
    <col min="6663" max="6663" width="10.375" style="126" hidden="1"/>
    <col min="6664" max="6664" width="10.5" style="126" hidden="1"/>
    <col min="6665" max="6913" width="8" style="126" hidden="1"/>
    <col min="6914" max="6914" width="28.125" style="126" hidden="1"/>
    <col min="6915" max="6915" width="8.125" style="126" hidden="1"/>
    <col min="6916" max="6916" width="9.125" style="126" hidden="1"/>
    <col min="6917" max="6917" width="9.75" style="126" hidden="1"/>
    <col min="6918" max="6918" width="11.125" style="126" hidden="1"/>
    <col min="6919" max="6919" width="10.375" style="126" hidden="1"/>
    <col min="6920" max="6920" width="10.5" style="126" hidden="1"/>
    <col min="6921" max="7169" width="9" style="126" hidden="1"/>
    <col min="7170" max="7170" width="28.125" style="126" hidden="1"/>
    <col min="7171" max="7171" width="8.125" style="126" hidden="1"/>
    <col min="7172" max="7172" width="9.125" style="126" hidden="1"/>
    <col min="7173" max="7173" width="9.75" style="126" hidden="1"/>
    <col min="7174" max="7174" width="11.125" style="126" hidden="1"/>
    <col min="7175" max="7175" width="10.375" style="126" hidden="1"/>
    <col min="7176" max="7176" width="10.5" style="126" hidden="1"/>
    <col min="7177" max="7425" width="8" style="126" hidden="1"/>
    <col min="7426" max="7426" width="28.125" style="126" hidden="1"/>
    <col min="7427" max="7427" width="8.125" style="126" hidden="1"/>
    <col min="7428" max="7428" width="9.125" style="126" hidden="1"/>
    <col min="7429" max="7429" width="9.75" style="126" hidden="1"/>
    <col min="7430" max="7430" width="11.125" style="126" hidden="1"/>
    <col min="7431" max="7431" width="10.375" style="126" hidden="1"/>
    <col min="7432" max="7432" width="10.5" style="126" hidden="1"/>
    <col min="7433" max="7681" width="8" style="126" hidden="1"/>
    <col min="7682" max="7682" width="28.125" style="126" hidden="1"/>
    <col min="7683" max="7683" width="8.125" style="126" hidden="1"/>
    <col min="7684" max="7684" width="9.125" style="126" hidden="1"/>
    <col min="7685" max="7685" width="9.75" style="126" hidden="1"/>
    <col min="7686" max="7686" width="11.125" style="126" hidden="1"/>
    <col min="7687" max="7687" width="10.375" style="126" hidden="1"/>
    <col min="7688" max="7688" width="10.5" style="126" hidden="1"/>
    <col min="7689" max="7937" width="8" style="126" hidden="1"/>
    <col min="7938" max="7938" width="28.125" style="126" hidden="1"/>
    <col min="7939" max="7939" width="8.125" style="126" hidden="1"/>
    <col min="7940" max="7940" width="9.125" style="126" hidden="1"/>
    <col min="7941" max="7941" width="9.75" style="126" hidden="1"/>
    <col min="7942" max="7942" width="11.125" style="126" hidden="1"/>
    <col min="7943" max="7943" width="10.375" style="126" hidden="1"/>
    <col min="7944" max="7944" width="10.5" style="126" hidden="1"/>
    <col min="7945" max="8193" width="9" style="126" hidden="1"/>
    <col min="8194" max="8194" width="28.125" style="126" hidden="1"/>
    <col min="8195" max="8195" width="8.125" style="126" hidden="1"/>
    <col min="8196" max="8196" width="9.125" style="126" hidden="1"/>
    <col min="8197" max="8197" width="9.75" style="126" hidden="1"/>
    <col min="8198" max="8198" width="11.125" style="126" hidden="1"/>
    <col min="8199" max="8199" width="10.375" style="126" hidden="1"/>
    <col min="8200" max="8200" width="10.5" style="126" hidden="1"/>
    <col min="8201" max="8449" width="8" style="126" hidden="1"/>
    <col min="8450" max="8450" width="28.125" style="126" hidden="1"/>
    <col min="8451" max="8451" width="8.125" style="126" hidden="1"/>
    <col min="8452" max="8452" width="9.125" style="126" hidden="1"/>
    <col min="8453" max="8453" width="9.75" style="126" hidden="1"/>
    <col min="8454" max="8454" width="11.125" style="126" hidden="1"/>
    <col min="8455" max="8455" width="10.375" style="126" hidden="1"/>
    <col min="8456" max="8456" width="10.5" style="126" hidden="1"/>
    <col min="8457" max="8705" width="8" style="126" hidden="1"/>
    <col min="8706" max="8706" width="28.125" style="126" hidden="1"/>
    <col min="8707" max="8707" width="8.125" style="126" hidden="1"/>
    <col min="8708" max="8708" width="9.125" style="126" hidden="1"/>
    <col min="8709" max="8709" width="9.75" style="126" hidden="1"/>
    <col min="8710" max="8710" width="11.125" style="126" hidden="1"/>
    <col min="8711" max="8711" width="10.375" style="126" hidden="1"/>
    <col min="8712" max="8712" width="10.5" style="126" hidden="1"/>
    <col min="8713" max="8961" width="8" style="126" hidden="1"/>
    <col min="8962" max="8962" width="28.125" style="126" hidden="1"/>
    <col min="8963" max="8963" width="8.125" style="126" hidden="1"/>
    <col min="8964" max="8964" width="9.125" style="126" hidden="1"/>
    <col min="8965" max="8965" width="9.75" style="126" hidden="1"/>
    <col min="8966" max="8966" width="11.125" style="126" hidden="1"/>
    <col min="8967" max="8967" width="10.375" style="126" hidden="1"/>
    <col min="8968" max="8968" width="10.5" style="126" hidden="1"/>
    <col min="8969" max="9217" width="9" style="126" hidden="1"/>
    <col min="9218" max="9218" width="28.125" style="126" hidden="1"/>
    <col min="9219" max="9219" width="8.125" style="126" hidden="1"/>
    <col min="9220" max="9220" width="9.125" style="126" hidden="1"/>
    <col min="9221" max="9221" width="9.75" style="126" hidden="1"/>
    <col min="9222" max="9222" width="11.125" style="126" hidden="1"/>
    <col min="9223" max="9223" width="10.375" style="126" hidden="1"/>
    <col min="9224" max="9224" width="10.5" style="126" hidden="1"/>
    <col min="9225" max="9473" width="8" style="126" hidden="1"/>
    <col min="9474" max="9474" width="28.125" style="126" hidden="1"/>
    <col min="9475" max="9475" width="8.125" style="126" hidden="1"/>
    <col min="9476" max="9476" width="9.125" style="126" hidden="1"/>
    <col min="9477" max="9477" width="9.75" style="126" hidden="1"/>
    <col min="9478" max="9478" width="11.125" style="126" hidden="1"/>
    <col min="9479" max="9479" width="10.375" style="126" hidden="1"/>
    <col min="9480" max="9480" width="10.5" style="126" hidden="1"/>
    <col min="9481" max="9729" width="8" style="126" hidden="1"/>
    <col min="9730" max="9730" width="28.125" style="126" hidden="1"/>
    <col min="9731" max="9731" width="8.125" style="126" hidden="1"/>
    <col min="9732" max="9732" width="9.125" style="126" hidden="1"/>
    <col min="9733" max="9733" width="9.75" style="126" hidden="1"/>
    <col min="9734" max="9734" width="11.125" style="126" hidden="1"/>
    <col min="9735" max="9735" width="10.375" style="126" hidden="1"/>
    <col min="9736" max="9736" width="10.5" style="126" hidden="1"/>
    <col min="9737" max="9985" width="8" style="126" hidden="1"/>
    <col min="9986" max="9986" width="28.125" style="126" hidden="1"/>
    <col min="9987" max="9987" width="8.125" style="126" hidden="1"/>
    <col min="9988" max="9988" width="9.125" style="126" hidden="1"/>
    <col min="9989" max="9989" width="9.75" style="126" hidden="1"/>
    <col min="9990" max="9990" width="11.125" style="126" hidden="1"/>
    <col min="9991" max="9991" width="10.375" style="126" hidden="1"/>
    <col min="9992" max="9992" width="10.5" style="126" hidden="1"/>
    <col min="9993" max="10241" width="9" style="126" hidden="1"/>
    <col min="10242" max="10242" width="28.125" style="126" hidden="1"/>
    <col min="10243" max="10243" width="8.125" style="126" hidden="1"/>
    <col min="10244" max="10244" width="9.125" style="126" hidden="1"/>
    <col min="10245" max="10245" width="9.75" style="126" hidden="1"/>
    <col min="10246" max="10246" width="11.125" style="126" hidden="1"/>
    <col min="10247" max="10247" width="10.375" style="126" hidden="1"/>
    <col min="10248" max="10248" width="10.5" style="126" hidden="1"/>
    <col min="10249" max="10497" width="8" style="126" hidden="1"/>
    <col min="10498" max="10498" width="28.125" style="126" hidden="1"/>
    <col min="10499" max="10499" width="8.125" style="126" hidden="1"/>
    <col min="10500" max="10500" width="9.125" style="126" hidden="1"/>
    <col min="10501" max="10501" width="9.75" style="126" hidden="1"/>
    <col min="10502" max="10502" width="11.125" style="126" hidden="1"/>
    <col min="10503" max="10503" width="10.375" style="126" hidden="1"/>
    <col min="10504" max="10504" width="10.5" style="126" hidden="1"/>
    <col min="10505" max="10753" width="8" style="126" hidden="1"/>
    <col min="10754" max="10754" width="28.125" style="126" hidden="1"/>
    <col min="10755" max="10755" width="8.125" style="126" hidden="1"/>
    <col min="10756" max="10756" width="9.125" style="126" hidden="1"/>
    <col min="10757" max="10757" width="9.75" style="126" hidden="1"/>
    <col min="10758" max="10758" width="11.125" style="126" hidden="1"/>
    <col min="10759" max="10759" width="10.375" style="126" hidden="1"/>
    <col min="10760" max="10760" width="10.5" style="126" hidden="1"/>
    <col min="10761" max="11009" width="8" style="126" hidden="1"/>
    <col min="11010" max="11010" width="28.125" style="126" hidden="1"/>
    <col min="11011" max="11011" width="8.125" style="126" hidden="1"/>
    <col min="11012" max="11012" width="9.125" style="126" hidden="1"/>
    <col min="11013" max="11013" width="9.75" style="126" hidden="1"/>
    <col min="11014" max="11014" width="11.125" style="126" hidden="1"/>
    <col min="11015" max="11015" width="10.375" style="126" hidden="1"/>
    <col min="11016" max="11016" width="10.5" style="126" hidden="1"/>
    <col min="11017" max="11265" width="9" style="126" hidden="1"/>
    <col min="11266" max="11266" width="28.125" style="126" hidden="1"/>
    <col min="11267" max="11267" width="8.125" style="126" hidden="1"/>
    <col min="11268" max="11268" width="9.125" style="126" hidden="1"/>
    <col min="11269" max="11269" width="9.75" style="126" hidden="1"/>
    <col min="11270" max="11270" width="11.125" style="126" hidden="1"/>
    <col min="11271" max="11271" width="10.375" style="126" hidden="1"/>
    <col min="11272" max="11272" width="10.5" style="126" hidden="1"/>
    <col min="11273" max="11521" width="8" style="126" hidden="1"/>
    <col min="11522" max="11522" width="28.125" style="126" hidden="1"/>
    <col min="11523" max="11523" width="8.125" style="126" hidden="1"/>
    <col min="11524" max="11524" width="9.125" style="126" hidden="1"/>
    <col min="11525" max="11525" width="9.75" style="126" hidden="1"/>
    <col min="11526" max="11526" width="11.125" style="126" hidden="1"/>
    <col min="11527" max="11527" width="10.375" style="126" hidden="1"/>
    <col min="11528" max="11528" width="10.5" style="126" hidden="1"/>
    <col min="11529" max="11777" width="8" style="126" hidden="1"/>
    <col min="11778" max="11778" width="28.125" style="126" hidden="1"/>
    <col min="11779" max="11779" width="8.125" style="126" hidden="1"/>
    <col min="11780" max="11780" width="9.125" style="126" hidden="1"/>
    <col min="11781" max="11781" width="9.75" style="126" hidden="1"/>
    <col min="11782" max="11782" width="11.125" style="126" hidden="1"/>
    <col min="11783" max="11783" width="10.375" style="126" hidden="1"/>
    <col min="11784" max="11784" width="10.5" style="126" hidden="1"/>
    <col min="11785" max="12033" width="8" style="126" hidden="1"/>
    <col min="12034" max="12034" width="28.125" style="126" hidden="1"/>
    <col min="12035" max="12035" width="8.125" style="126" hidden="1"/>
    <col min="12036" max="12036" width="9.125" style="126" hidden="1"/>
    <col min="12037" max="12037" width="9.75" style="126" hidden="1"/>
    <col min="12038" max="12038" width="11.125" style="126" hidden="1"/>
    <col min="12039" max="12039" width="10.375" style="126" hidden="1"/>
    <col min="12040" max="12040" width="10.5" style="126" hidden="1"/>
    <col min="12041" max="12289" width="9" style="126" hidden="1"/>
    <col min="12290" max="12290" width="28.125" style="126" hidden="1"/>
    <col min="12291" max="12291" width="8.125" style="126" hidden="1"/>
    <col min="12292" max="12292" width="9.125" style="126" hidden="1"/>
    <col min="12293" max="12293" width="9.75" style="126" hidden="1"/>
    <col min="12294" max="12294" width="11.125" style="126" hidden="1"/>
    <col min="12295" max="12295" width="10.375" style="126" hidden="1"/>
    <col min="12296" max="12296" width="10.5" style="126" hidden="1"/>
    <col min="12297" max="12545" width="8" style="126" hidden="1"/>
    <col min="12546" max="12546" width="28.125" style="126" hidden="1"/>
    <col min="12547" max="12547" width="8.125" style="126" hidden="1"/>
    <col min="12548" max="12548" width="9.125" style="126" hidden="1"/>
    <col min="12549" max="12549" width="9.75" style="126" hidden="1"/>
    <col min="12550" max="12550" width="11.125" style="126" hidden="1"/>
    <col min="12551" max="12551" width="10.375" style="126" hidden="1"/>
    <col min="12552" max="12552" width="10.5" style="126" hidden="1"/>
    <col min="12553" max="12801" width="8" style="126" hidden="1"/>
    <col min="12802" max="12802" width="28.125" style="126" hidden="1"/>
    <col min="12803" max="12803" width="8.125" style="126" hidden="1"/>
    <col min="12804" max="12804" width="9.125" style="126" hidden="1"/>
    <col min="12805" max="12805" width="9.75" style="126" hidden="1"/>
    <col min="12806" max="12806" width="11.125" style="126" hidden="1"/>
    <col min="12807" max="12807" width="10.375" style="126" hidden="1"/>
    <col min="12808" max="12808" width="10.5" style="126" hidden="1"/>
    <col min="12809" max="13057" width="8" style="126" hidden="1"/>
    <col min="13058" max="13058" width="28.125" style="126" hidden="1"/>
    <col min="13059" max="13059" width="8.125" style="126" hidden="1"/>
    <col min="13060" max="13060" width="9.125" style="126" hidden="1"/>
    <col min="13061" max="13061" width="9.75" style="126" hidden="1"/>
    <col min="13062" max="13062" width="11.125" style="126" hidden="1"/>
    <col min="13063" max="13063" width="10.375" style="126" hidden="1"/>
    <col min="13064" max="13064" width="10.5" style="126" hidden="1"/>
    <col min="13065" max="13313" width="9" style="126" hidden="1"/>
    <col min="13314" max="13314" width="28.125" style="126" hidden="1"/>
    <col min="13315" max="13315" width="8.125" style="126" hidden="1"/>
    <col min="13316" max="13316" width="9.125" style="126" hidden="1"/>
    <col min="13317" max="13317" width="9.75" style="126" hidden="1"/>
    <col min="13318" max="13318" width="11.125" style="126" hidden="1"/>
    <col min="13319" max="13319" width="10.375" style="126" hidden="1"/>
    <col min="13320" max="13320" width="10.5" style="126" hidden="1"/>
    <col min="13321" max="13569" width="8" style="126" hidden="1"/>
    <col min="13570" max="13570" width="28.125" style="126" hidden="1"/>
    <col min="13571" max="13571" width="8.125" style="126" hidden="1"/>
    <col min="13572" max="13572" width="9.125" style="126" hidden="1"/>
    <col min="13573" max="13573" width="9.75" style="126" hidden="1"/>
    <col min="13574" max="13574" width="11.125" style="126" hidden="1"/>
    <col min="13575" max="13575" width="10.375" style="126" hidden="1"/>
    <col min="13576" max="13576" width="10.5" style="126" hidden="1"/>
    <col min="13577" max="13825" width="8" style="126" hidden="1"/>
    <col min="13826" max="13826" width="28.125" style="126" hidden="1"/>
    <col min="13827" max="13827" width="8.125" style="126" hidden="1"/>
    <col min="13828" max="13828" width="9.125" style="126" hidden="1"/>
    <col min="13829" max="13829" width="9.75" style="126" hidden="1"/>
    <col min="13830" max="13830" width="11.125" style="126" hidden="1"/>
    <col min="13831" max="13831" width="10.375" style="126" hidden="1"/>
    <col min="13832" max="13832" width="10.5" style="126" hidden="1"/>
    <col min="13833" max="14081" width="8" style="126" hidden="1"/>
    <col min="14082" max="14082" width="28.125" style="126" hidden="1"/>
    <col min="14083" max="14083" width="8.125" style="126" hidden="1"/>
    <col min="14084" max="14084" width="9.125" style="126" hidden="1"/>
    <col min="14085" max="14085" width="9.75" style="126" hidden="1"/>
    <col min="14086" max="14086" width="11.125" style="126" hidden="1"/>
    <col min="14087" max="14087" width="10.375" style="126" hidden="1"/>
    <col min="14088" max="14088" width="10.5" style="126" hidden="1"/>
    <col min="14089" max="14337" width="9" style="126" hidden="1"/>
    <col min="14338" max="14338" width="28.125" style="126" hidden="1"/>
    <col min="14339" max="14339" width="8.125" style="126" hidden="1"/>
    <col min="14340" max="14340" width="9.125" style="126" hidden="1"/>
    <col min="14341" max="14341" width="9.75" style="126" hidden="1"/>
    <col min="14342" max="14342" width="11.125" style="126" hidden="1"/>
    <col min="14343" max="14343" width="10.375" style="126" hidden="1"/>
    <col min="14344" max="14344" width="10.5" style="126" hidden="1"/>
    <col min="14345" max="14593" width="8" style="126" hidden="1"/>
    <col min="14594" max="14594" width="28.125" style="126" hidden="1"/>
    <col min="14595" max="14595" width="8.125" style="126" hidden="1"/>
    <col min="14596" max="14596" width="9.125" style="126" hidden="1"/>
    <col min="14597" max="14597" width="9.75" style="126" hidden="1"/>
    <col min="14598" max="14598" width="11.125" style="126" hidden="1"/>
    <col min="14599" max="14599" width="10.375" style="126" hidden="1"/>
    <col min="14600" max="14600" width="10.5" style="126" hidden="1"/>
    <col min="14601" max="14849" width="8" style="126" hidden="1"/>
    <col min="14850" max="14850" width="28.125" style="126" hidden="1"/>
    <col min="14851" max="14851" width="8.125" style="126" hidden="1"/>
    <col min="14852" max="14852" width="9.125" style="126" hidden="1"/>
    <col min="14853" max="14853" width="9.75" style="126" hidden="1"/>
    <col min="14854" max="14854" width="11.125" style="126" hidden="1"/>
    <col min="14855" max="14855" width="10.375" style="126" hidden="1"/>
    <col min="14856" max="14856" width="10.5" style="126" hidden="1"/>
    <col min="14857" max="15105" width="8" style="126" hidden="1"/>
    <col min="15106" max="15106" width="28.125" style="126" hidden="1"/>
    <col min="15107" max="15107" width="8.125" style="126" hidden="1"/>
    <col min="15108" max="15108" width="9.125" style="126" hidden="1"/>
    <col min="15109" max="15109" width="9.75" style="126" hidden="1"/>
    <col min="15110" max="15110" width="11.125" style="126" hidden="1"/>
    <col min="15111" max="15111" width="10.375" style="126" hidden="1"/>
    <col min="15112" max="15112" width="10.5" style="126" hidden="1"/>
    <col min="15113" max="15361" width="9" style="126" hidden="1"/>
    <col min="15362" max="15362" width="28.125" style="126" hidden="1"/>
    <col min="15363" max="15363" width="8.125" style="126" hidden="1"/>
    <col min="15364" max="15364" width="9.125" style="126" hidden="1"/>
    <col min="15365" max="15365" width="9.75" style="126" hidden="1"/>
    <col min="15366" max="15366" width="11.125" style="126" hidden="1"/>
    <col min="15367" max="15367" width="10.375" style="126" hidden="1"/>
    <col min="15368" max="15368" width="10.5" style="126" hidden="1"/>
    <col min="15369" max="15617" width="8" style="126" hidden="1"/>
    <col min="15618" max="15618" width="28.125" style="126" hidden="1"/>
    <col min="15619" max="15619" width="8.125" style="126" hidden="1"/>
    <col min="15620" max="15620" width="9.125" style="126" hidden="1"/>
    <col min="15621" max="15621" width="9.75" style="126" hidden="1"/>
    <col min="15622" max="15622" width="11.125" style="126" hidden="1"/>
    <col min="15623" max="15623" width="10.375" style="126" hidden="1"/>
    <col min="15624" max="15624" width="10.5" style="126" hidden="1"/>
    <col min="15625" max="15873" width="8" style="126" hidden="1"/>
    <col min="15874" max="15874" width="28.125" style="126" hidden="1"/>
    <col min="15875" max="15875" width="8.125" style="126" hidden="1"/>
    <col min="15876" max="15876" width="9.125" style="126" hidden="1"/>
    <col min="15877" max="15877" width="9.75" style="126" hidden="1"/>
    <col min="15878" max="15878" width="11.125" style="126" hidden="1"/>
    <col min="15879" max="15879" width="10.375" style="126" hidden="1"/>
    <col min="15880" max="15880" width="10.5" style="126" hidden="1"/>
    <col min="15881" max="16129" width="8" style="126" hidden="1"/>
    <col min="16130" max="16130" width="28.125" style="126" hidden="1"/>
    <col min="16131" max="16131" width="8.125" style="126" hidden="1"/>
    <col min="16132" max="16132" width="9.125" style="126" hidden="1"/>
    <col min="16133" max="16133" width="9.75" style="126" hidden="1"/>
    <col min="16134" max="16134" width="11.125" style="126" hidden="1"/>
    <col min="16135" max="16135" width="10.375" style="126" hidden="1"/>
    <col min="16136" max="16136" width="10.5" style="126" hidden="1"/>
    <col min="16137" max="16384" width="9" style="126" hidden="1"/>
  </cols>
  <sheetData>
    <row r="1" spans="2:8" ht="15.95" customHeight="1">
      <c r="B1" s="124"/>
      <c r="C1" s="125"/>
      <c r="E1" s="127" t="s">
        <v>8</v>
      </c>
      <c r="F1" s="204" t="s">
        <v>351</v>
      </c>
      <c r="H1" s="128"/>
    </row>
    <row r="2" spans="2:8" ht="15.95" customHeight="1" thickBot="1">
      <c r="B2" s="124"/>
      <c r="C2" s="129"/>
      <c r="E2" s="129"/>
      <c r="F2" s="130"/>
      <c r="G2" s="130"/>
      <c r="H2" s="130"/>
    </row>
    <row r="3" spans="2:8" ht="20.25" customHeight="1" thickBot="1">
      <c r="B3" s="131" t="s">
        <v>667</v>
      </c>
      <c r="C3" s="132"/>
      <c r="D3" s="132"/>
      <c r="E3" s="132"/>
      <c r="F3" s="133"/>
      <c r="G3" s="130"/>
      <c r="H3" s="130"/>
    </row>
    <row r="4" spans="2:8" ht="15.95" customHeight="1">
      <c r="B4" s="134"/>
      <c r="C4" s="135"/>
      <c r="D4" s="136"/>
      <c r="E4" s="137"/>
      <c r="F4" s="138"/>
      <c r="G4" s="139"/>
      <c r="H4" s="139"/>
    </row>
    <row r="5" spans="2:8" ht="15.95" customHeight="1">
      <c r="B5" s="140"/>
      <c r="C5" s="141" t="s">
        <v>3</v>
      </c>
      <c r="D5" s="141" t="s">
        <v>4</v>
      </c>
      <c r="E5" s="142" t="s">
        <v>377</v>
      </c>
      <c r="F5" s="143" t="s">
        <v>372</v>
      </c>
      <c r="G5" s="144"/>
      <c r="H5" s="144"/>
    </row>
    <row r="6" spans="2:8" ht="15.95" customHeight="1">
      <c r="B6" s="145" t="s">
        <v>371</v>
      </c>
      <c r="C6" s="146"/>
      <c r="D6" s="146"/>
      <c r="E6" s="144"/>
      <c r="F6" s="147"/>
      <c r="G6" s="144"/>
      <c r="H6" s="144"/>
    </row>
    <row r="7" spans="2:8" ht="15.95" customHeight="1">
      <c r="B7" s="148" t="s">
        <v>660</v>
      </c>
      <c r="C7" s="125" t="s">
        <v>661</v>
      </c>
      <c r="D7" s="205">
        <v>7000</v>
      </c>
      <c r="E7" s="3">
        <v>0.15</v>
      </c>
      <c r="F7" s="149">
        <f>D7*E7</f>
        <v>1050</v>
      </c>
      <c r="G7" s="129"/>
      <c r="H7" s="129"/>
    </row>
    <row r="8" spans="2:8" ht="15.95" customHeight="1">
      <c r="B8" s="150" t="s">
        <v>342</v>
      </c>
      <c r="C8" s="129"/>
      <c r="D8" s="4"/>
      <c r="E8" s="3"/>
      <c r="F8" s="151">
        <f t="shared" ref="F8" si="0">D8*E8</f>
        <v>0</v>
      </c>
      <c r="G8" s="129"/>
      <c r="H8" s="129"/>
    </row>
    <row r="9" spans="2:8" ht="15.95" customHeight="1">
      <c r="B9" s="152" t="s">
        <v>373</v>
      </c>
      <c r="C9" s="129"/>
      <c r="D9" s="153"/>
      <c r="E9" s="153"/>
      <c r="F9" s="154">
        <f>SUM(F7:F8)</f>
        <v>1050</v>
      </c>
      <c r="G9" s="129"/>
      <c r="H9" s="129"/>
    </row>
    <row r="10" spans="2:8" ht="15.95" customHeight="1">
      <c r="B10" s="155"/>
      <c r="C10" s="129"/>
      <c r="D10" s="153"/>
      <c r="E10" s="129"/>
      <c r="F10" s="156"/>
      <c r="G10" s="157"/>
      <c r="H10" s="157"/>
    </row>
    <row r="11" spans="2:8" ht="15.95" customHeight="1">
      <c r="B11" s="158" t="s">
        <v>379</v>
      </c>
      <c r="C11" s="142" t="s">
        <v>11</v>
      </c>
      <c r="D11" s="142" t="s">
        <v>10</v>
      </c>
      <c r="E11" s="142" t="s">
        <v>378</v>
      </c>
      <c r="F11" s="143" t="s">
        <v>372</v>
      </c>
      <c r="G11" s="129"/>
      <c r="H11" s="129"/>
    </row>
    <row r="12" spans="2:8" ht="15.95" customHeight="1">
      <c r="B12" s="150" t="s">
        <v>12</v>
      </c>
      <c r="C12" s="206">
        <v>55</v>
      </c>
      <c r="D12" s="3">
        <v>4.25</v>
      </c>
      <c r="F12" s="149">
        <f>C12*D12</f>
        <v>233.75</v>
      </c>
      <c r="G12" s="129"/>
      <c r="H12" s="129"/>
    </row>
    <row r="13" spans="2:8" ht="15.95" customHeight="1">
      <c r="B13" s="150" t="s">
        <v>13</v>
      </c>
      <c r="C13" s="129"/>
      <c r="D13" s="153"/>
      <c r="E13" s="129"/>
      <c r="F13" s="149">
        <f>SUM(E14:E17)</f>
        <v>150.6</v>
      </c>
      <c r="G13" s="129"/>
      <c r="H13" s="129"/>
    </row>
    <row r="14" spans="2:8" ht="15.95" customHeight="1">
      <c r="B14" s="159" t="s">
        <v>14</v>
      </c>
      <c r="C14" s="207">
        <v>100</v>
      </c>
      <c r="D14" s="208">
        <v>0.6</v>
      </c>
      <c r="E14" s="129">
        <f>C14*D14</f>
        <v>60</v>
      </c>
      <c r="F14" s="149"/>
      <c r="G14" s="129"/>
      <c r="H14" s="129"/>
    </row>
    <row r="15" spans="2:8" ht="15.95" customHeight="1">
      <c r="B15" s="159" t="s">
        <v>15</v>
      </c>
      <c r="C15" s="207">
        <v>60</v>
      </c>
      <c r="D15" s="208">
        <v>0.62</v>
      </c>
      <c r="E15" s="129">
        <f t="shared" ref="E15:E17" si="1">C15*D15</f>
        <v>37.200000000000003</v>
      </c>
      <c r="F15" s="149"/>
      <c r="G15" s="129"/>
      <c r="H15" s="129"/>
    </row>
    <row r="16" spans="2:8" ht="15.95" customHeight="1">
      <c r="B16" s="159" t="s">
        <v>5</v>
      </c>
      <c r="C16" s="207">
        <v>90</v>
      </c>
      <c r="D16" s="208">
        <v>0.41</v>
      </c>
      <c r="E16" s="129">
        <f t="shared" si="1"/>
        <v>36.9</v>
      </c>
      <c r="F16" s="149"/>
      <c r="G16" s="129"/>
      <c r="H16" s="129"/>
    </row>
    <row r="17" spans="2:8" ht="15.95" customHeight="1">
      <c r="B17" s="159" t="s">
        <v>16</v>
      </c>
      <c r="C17" s="209">
        <v>0.6</v>
      </c>
      <c r="D17" s="208">
        <v>27.5</v>
      </c>
      <c r="E17" s="129">
        <f t="shared" si="1"/>
        <v>16.5</v>
      </c>
      <c r="F17" s="160"/>
      <c r="G17" s="129"/>
      <c r="H17" s="129"/>
    </row>
    <row r="18" spans="2:8" ht="15.95" customHeight="1">
      <c r="B18" s="150" t="s">
        <v>17</v>
      </c>
      <c r="C18" s="129"/>
      <c r="D18" s="153"/>
      <c r="E18" s="129"/>
      <c r="F18" s="97">
        <v>0</v>
      </c>
      <c r="G18" s="130"/>
      <c r="H18" s="130"/>
    </row>
    <row r="19" spans="2:8" ht="15.95" customHeight="1">
      <c r="B19" s="150" t="s">
        <v>641</v>
      </c>
      <c r="C19" s="129"/>
      <c r="D19" s="153"/>
      <c r="E19" s="129"/>
      <c r="F19" s="97">
        <v>15</v>
      </c>
      <c r="G19" s="129"/>
      <c r="H19" s="129"/>
    </row>
    <row r="20" spans="2:8" ht="15.95" customHeight="1">
      <c r="B20" s="150" t="s">
        <v>18</v>
      </c>
      <c r="C20" s="129"/>
      <c r="D20" s="153"/>
      <c r="E20" s="129"/>
      <c r="F20" s="97">
        <v>0</v>
      </c>
      <c r="G20" s="129"/>
      <c r="H20" s="129"/>
    </row>
    <row r="21" spans="2:8" ht="15.95" customHeight="1">
      <c r="B21" s="150" t="s">
        <v>19</v>
      </c>
      <c r="C21" s="129"/>
      <c r="D21" s="153"/>
      <c r="E21" s="129"/>
      <c r="F21" s="149">
        <f>H58</f>
        <v>83.083333333333329</v>
      </c>
      <c r="G21" s="129"/>
      <c r="H21" s="129"/>
    </row>
    <row r="22" spans="2:8" ht="15.95" customHeight="1">
      <c r="B22" s="150" t="s">
        <v>626</v>
      </c>
      <c r="C22" s="129">
        <f>D71</f>
        <v>4.0433238667582412</v>
      </c>
      <c r="D22" s="208">
        <v>4</v>
      </c>
      <c r="E22" s="129"/>
      <c r="F22" s="149">
        <f>C22*D22</f>
        <v>16.173295467032965</v>
      </c>
      <c r="G22" s="129"/>
      <c r="H22" s="129"/>
    </row>
    <row r="23" spans="2:8" ht="15.95" customHeight="1">
      <c r="B23" s="150" t="s">
        <v>20</v>
      </c>
      <c r="D23" s="153"/>
      <c r="E23" s="129"/>
      <c r="F23" s="149">
        <f>E71-F22-(H50*C71)</f>
        <v>54.61903116413982</v>
      </c>
      <c r="G23" s="129"/>
      <c r="H23" s="129"/>
    </row>
    <row r="24" spans="2:8" ht="15.95" customHeight="1">
      <c r="B24" s="150" t="s">
        <v>21</v>
      </c>
      <c r="C24" s="129">
        <f>C71+C50</f>
        <v>1.2806486950549452</v>
      </c>
      <c r="D24" s="208">
        <v>17.309999999999999</v>
      </c>
      <c r="E24" s="129"/>
      <c r="F24" s="149">
        <f>D24*C24</f>
        <v>22.168028911401098</v>
      </c>
      <c r="G24" s="129"/>
      <c r="H24" s="129"/>
    </row>
    <row r="25" spans="2:8" ht="15.95" customHeight="1">
      <c r="B25" s="150" t="s">
        <v>676</v>
      </c>
      <c r="C25" s="129"/>
      <c r="D25" s="153"/>
      <c r="E25" s="129"/>
      <c r="F25" s="97">
        <v>20</v>
      </c>
      <c r="G25" s="129"/>
      <c r="H25" s="129"/>
    </row>
    <row r="26" spans="2:8" ht="15.95" customHeight="1">
      <c r="B26" s="150" t="s">
        <v>22</v>
      </c>
      <c r="C26" s="129"/>
      <c r="D26" s="153"/>
      <c r="E26" s="129"/>
      <c r="F26" s="97">
        <v>5</v>
      </c>
      <c r="G26" s="129"/>
      <c r="H26" s="129"/>
    </row>
    <row r="27" spans="2:8" ht="15.95" customHeight="1">
      <c r="B27" s="150" t="s">
        <v>6</v>
      </c>
      <c r="C27" s="129">
        <f>SUM(F12:F26)/2</f>
        <v>300.19684443795359</v>
      </c>
      <c r="D27" s="210">
        <v>0.09</v>
      </c>
      <c r="F27" s="151">
        <f>D27*C27</f>
        <v>27.01771599941582</v>
      </c>
      <c r="G27" s="129"/>
      <c r="H27" s="129"/>
    </row>
    <row r="28" spans="2:8" ht="15.95" customHeight="1">
      <c r="B28" s="152" t="s">
        <v>374</v>
      </c>
      <c r="C28" s="129"/>
      <c r="D28" s="153"/>
      <c r="E28" s="129"/>
      <c r="F28" s="154">
        <f>SUM(F12:F27)</f>
        <v>627.411404875323</v>
      </c>
      <c r="G28" s="129"/>
      <c r="H28" s="129"/>
    </row>
    <row r="29" spans="2:8" ht="15.95" customHeight="1">
      <c r="B29" s="155"/>
      <c r="C29" s="129"/>
      <c r="D29" s="153"/>
      <c r="E29" s="129"/>
      <c r="F29" s="160"/>
      <c r="G29" s="157"/>
      <c r="H29" s="157"/>
    </row>
    <row r="30" spans="2:8" ht="15.95" customHeight="1">
      <c r="B30" s="158" t="s">
        <v>644</v>
      </c>
      <c r="C30" s="129"/>
      <c r="D30" s="153"/>
      <c r="E30" s="129"/>
      <c r="F30" s="149"/>
      <c r="G30" s="130"/>
      <c r="H30" s="130"/>
    </row>
    <row r="31" spans="2:8" ht="15.95" customHeight="1">
      <c r="B31" s="150" t="s">
        <v>7</v>
      </c>
      <c r="C31" s="130"/>
      <c r="D31" s="153"/>
      <c r="E31" s="129"/>
      <c r="F31" s="97">
        <v>21.66</v>
      </c>
      <c r="G31" s="129"/>
      <c r="H31" s="129"/>
    </row>
    <row r="32" spans="2:8" ht="15.95" customHeight="1">
      <c r="B32" s="150" t="s">
        <v>632</v>
      </c>
      <c r="C32" s="129"/>
      <c r="D32" s="153"/>
      <c r="E32" s="129"/>
      <c r="F32" s="149">
        <f>F71</f>
        <v>60.097788639481124</v>
      </c>
      <c r="G32" s="129"/>
      <c r="H32" s="129"/>
    </row>
    <row r="33" spans="2:8" ht="15.95" customHeight="1">
      <c r="B33" s="150" t="s">
        <v>23</v>
      </c>
      <c r="C33" s="129"/>
      <c r="D33" s="153"/>
      <c r="E33" s="129"/>
      <c r="F33" s="211">
        <v>155.21</v>
      </c>
      <c r="G33" s="129"/>
      <c r="H33" s="129"/>
    </row>
    <row r="34" spans="2:8" ht="15.95" customHeight="1">
      <c r="B34" s="152" t="s">
        <v>375</v>
      </c>
      <c r="C34" s="129"/>
      <c r="D34" s="153"/>
      <c r="E34" s="129"/>
      <c r="F34" s="154">
        <f>SUM(F31:F33)</f>
        <v>236.96778863948111</v>
      </c>
      <c r="G34" s="129"/>
      <c r="H34" s="129"/>
    </row>
    <row r="35" spans="2:8" ht="15.95" customHeight="1">
      <c r="B35" s="155"/>
      <c r="C35" s="129"/>
      <c r="D35" s="153"/>
      <c r="E35" s="129"/>
      <c r="F35" s="149"/>
      <c r="G35" s="129"/>
      <c r="H35" s="129"/>
    </row>
    <row r="36" spans="2:8" ht="15.95" customHeight="1">
      <c r="B36" s="161" t="s">
        <v>376</v>
      </c>
      <c r="C36" s="162"/>
      <c r="D36" s="163"/>
      <c r="E36" s="163"/>
      <c r="F36" s="164">
        <f>F28+F34</f>
        <v>864.37919351480411</v>
      </c>
      <c r="G36" s="157"/>
      <c r="H36" s="157"/>
    </row>
    <row r="37" spans="2:8" ht="15.95" customHeight="1">
      <c r="B37" s="155"/>
      <c r="C37" s="129"/>
      <c r="D37" s="153"/>
      <c r="E37" s="129"/>
      <c r="F37" s="149"/>
      <c r="G37" s="129"/>
      <c r="H37" s="129"/>
    </row>
    <row r="38" spans="2:8" ht="15.95" customHeight="1">
      <c r="B38" s="165" t="s">
        <v>642</v>
      </c>
      <c r="C38" s="129"/>
      <c r="D38" s="153"/>
      <c r="E38" s="129"/>
      <c r="F38" s="154">
        <f>F9-F28</f>
        <v>422.588595124677</v>
      </c>
      <c r="G38" s="157"/>
      <c r="H38" s="157"/>
    </row>
    <row r="39" spans="2:8" ht="15.95" customHeight="1">
      <c r="B39" s="165" t="s">
        <v>643</v>
      </c>
      <c r="C39" s="129"/>
      <c r="D39" s="153"/>
      <c r="E39" s="129"/>
      <c r="F39" s="154">
        <f>F9-F36</f>
        <v>185.62080648519589</v>
      </c>
      <c r="G39" s="130"/>
      <c r="H39" s="129"/>
    </row>
    <row r="40" spans="2:8" ht="15.95" customHeight="1" thickBot="1">
      <c r="B40" s="166"/>
      <c r="C40" s="167"/>
      <c r="D40" s="168"/>
      <c r="E40" s="167"/>
      <c r="F40" s="169"/>
      <c r="G40" s="129"/>
      <c r="H40" s="129"/>
    </row>
    <row r="41" spans="2:8" ht="15.95" customHeight="1">
      <c r="B41" s="130"/>
      <c r="C41" s="129"/>
      <c r="D41" s="129"/>
      <c r="E41" s="129"/>
      <c r="F41" s="129"/>
      <c r="G41" s="129"/>
      <c r="H41" s="129"/>
    </row>
    <row r="42" spans="2:8">
      <c r="B42" s="130"/>
      <c r="C42" s="129"/>
      <c r="D42" s="129"/>
      <c r="E42" s="129"/>
      <c r="F42" s="129"/>
      <c r="G42" s="130"/>
      <c r="H42" s="130"/>
    </row>
    <row r="43" spans="2:8">
      <c r="B43" s="170"/>
      <c r="C43" s="171"/>
      <c r="D43" s="171"/>
      <c r="E43" s="171"/>
      <c r="F43" s="171"/>
      <c r="G43" s="171"/>
      <c r="H43" s="171"/>
    </row>
    <row r="44" spans="2:8">
      <c r="B44" s="172" t="s">
        <v>343</v>
      </c>
      <c r="C44" s="173" t="s">
        <v>649</v>
      </c>
      <c r="D44" s="174"/>
      <c r="E44" s="172" t="s">
        <v>347</v>
      </c>
      <c r="F44" s="172"/>
      <c r="G44" s="175"/>
      <c r="H44" s="173" t="s">
        <v>356</v>
      </c>
    </row>
    <row r="45" spans="2:8">
      <c r="B45" s="176" t="s">
        <v>662</v>
      </c>
      <c r="C45" s="177">
        <f>D7</f>
        <v>7000</v>
      </c>
      <c r="D45" s="176"/>
      <c r="E45" s="176" t="s">
        <v>663</v>
      </c>
      <c r="F45" s="176"/>
      <c r="G45" s="176"/>
      <c r="H45" s="178">
        <f>E7</f>
        <v>0.15</v>
      </c>
    </row>
    <row r="46" spans="2:8">
      <c r="B46" s="176" t="s">
        <v>361</v>
      </c>
      <c r="C46" s="179">
        <f>C14</f>
        <v>100</v>
      </c>
      <c r="D46" s="176"/>
      <c r="E46" s="176" t="s">
        <v>359</v>
      </c>
      <c r="F46" s="176"/>
      <c r="G46" s="176"/>
      <c r="H46" s="178">
        <f>D14</f>
        <v>0.6</v>
      </c>
    </row>
    <row r="47" spans="2:8">
      <c r="B47" s="176" t="s">
        <v>344</v>
      </c>
      <c r="C47" s="179">
        <f>C15</f>
        <v>60</v>
      </c>
      <c r="D47" s="176"/>
      <c r="E47" s="176" t="s">
        <v>357</v>
      </c>
      <c r="F47" s="176"/>
      <c r="G47" s="176"/>
      <c r="H47" s="178">
        <f>D15</f>
        <v>0.62</v>
      </c>
    </row>
    <row r="48" spans="2:8">
      <c r="B48" s="176" t="s">
        <v>345</v>
      </c>
      <c r="C48" s="179">
        <f>C16</f>
        <v>90</v>
      </c>
      <c r="D48" s="176"/>
      <c r="E48" s="176" t="s">
        <v>348</v>
      </c>
      <c r="F48" s="176"/>
      <c r="G48" s="176"/>
      <c r="H48" s="178">
        <f>D16</f>
        <v>0.41</v>
      </c>
    </row>
    <row r="49" spans="2:8">
      <c r="B49" s="176" t="s">
        <v>346</v>
      </c>
      <c r="C49" s="180">
        <f>C17</f>
        <v>0.6</v>
      </c>
      <c r="D49" s="176"/>
      <c r="E49" s="176" t="s">
        <v>349</v>
      </c>
      <c r="F49" s="176"/>
      <c r="G49" s="176"/>
      <c r="H49" s="178">
        <f>D17</f>
        <v>27.5</v>
      </c>
    </row>
    <row r="50" spans="2:8">
      <c r="B50" s="176" t="s">
        <v>666</v>
      </c>
      <c r="C50" s="212">
        <v>0.5</v>
      </c>
      <c r="D50" s="176"/>
      <c r="E50" s="176" t="s">
        <v>360</v>
      </c>
      <c r="F50" s="176"/>
      <c r="G50" s="176"/>
      <c r="H50" s="178">
        <f>D24</f>
        <v>17.309999999999999</v>
      </c>
    </row>
    <row r="51" spans="2:8">
      <c r="B51" s="176"/>
      <c r="C51" s="93"/>
      <c r="D51" s="176"/>
      <c r="E51" s="176" t="s">
        <v>350</v>
      </c>
      <c r="F51" s="176"/>
      <c r="G51" s="176"/>
      <c r="H51" s="178">
        <f>D22</f>
        <v>4</v>
      </c>
    </row>
    <row r="52" spans="2:8">
      <c r="B52" s="176"/>
      <c r="C52" s="176"/>
      <c r="D52" s="176"/>
      <c r="E52" s="176"/>
      <c r="F52" s="176"/>
      <c r="G52" s="176"/>
      <c r="H52" s="176"/>
    </row>
    <row r="53" spans="2:8">
      <c r="B53" s="176" t="s">
        <v>634</v>
      </c>
      <c r="C53" s="181" t="s">
        <v>636</v>
      </c>
      <c r="D53" s="176"/>
      <c r="E53" s="176"/>
      <c r="F53" s="176"/>
      <c r="G53" s="127" t="s">
        <v>3</v>
      </c>
      <c r="H53" s="127" t="s">
        <v>673</v>
      </c>
    </row>
    <row r="54" spans="2:8">
      <c r="B54" s="182" t="s">
        <v>381</v>
      </c>
      <c r="C54" s="182"/>
      <c r="D54" s="183" t="s">
        <v>595</v>
      </c>
      <c r="E54" s="184" t="s">
        <v>625</v>
      </c>
      <c r="F54" s="175" t="s">
        <v>635</v>
      </c>
      <c r="G54" s="183" t="s">
        <v>355</v>
      </c>
      <c r="H54" s="183" t="s">
        <v>368</v>
      </c>
    </row>
    <row r="55" spans="2:8">
      <c r="B55" s="185" t="str">
        <f>'Custom Hire'!A6</f>
        <v>Apply dry fertilizer on pasture, topdressing</v>
      </c>
      <c r="C55" s="185"/>
      <c r="D55" s="186">
        <f>'Custom Hire'!D6</f>
        <v>1</v>
      </c>
      <c r="E55" s="187">
        <f>'Custom Hire'!B6</f>
        <v>7.25</v>
      </c>
      <c r="F55" s="176" t="str">
        <f>'Custom Hire'!C6</f>
        <v>per acre</v>
      </c>
      <c r="G55" s="176" t="str">
        <f>IF(F55="per acre","",IF(F55="per bale",$D$7*2000/#REF!,$D$7))</f>
        <v/>
      </c>
      <c r="H55" s="187">
        <f>E55*MAX(D55,G55)</f>
        <v>7.25</v>
      </c>
    </row>
    <row r="56" spans="2:8">
      <c r="B56" s="185" t="str">
        <f>'Custom Hire'!A7</f>
        <v>Move round (or large square) bales on farm</v>
      </c>
      <c r="C56" s="185"/>
      <c r="D56" s="186">
        <f>'Custom Hire'!D7</f>
        <v>0</v>
      </c>
      <c r="E56" s="187">
        <f>'Custom Hire'!B7</f>
        <v>6.5</v>
      </c>
      <c r="F56" s="176" t="str">
        <f>'Custom Hire'!C7</f>
        <v>per bale</v>
      </c>
      <c r="G56" s="180">
        <f>IF(F56="per acre","",IF(F56="per bale",$D$7/1200,$D$7))</f>
        <v>5.833333333333333</v>
      </c>
      <c r="H56" s="187">
        <f>E56*MAX(D56,G56)</f>
        <v>37.916666666666664</v>
      </c>
    </row>
    <row r="57" spans="2:8">
      <c r="B57" s="182" t="str">
        <f>'Custom Hire'!A8</f>
        <v>Move round (or large square) bales locally</v>
      </c>
      <c r="C57" s="182"/>
      <c r="D57" s="188">
        <f>'Custom Hire'!D8</f>
        <v>0</v>
      </c>
      <c r="E57" s="189">
        <f>'Custom Hire'!B8</f>
        <v>6.5</v>
      </c>
      <c r="F57" s="175" t="str">
        <f>'Custom Hire'!C8</f>
        <v>per bale</v>
      </c>
      <c r="G57" s="190">
        <f>IF(F57="per acre","",IF(F57="per bale",$D$7/1200,$D$7))</f>
        <v>5.833333333333333</v>
      </c>
      <c r="H57" s="189">
        <f>E57*MAX(D57,G56)</f>
        <v>37.916666666666664</v>
      </c>
    </row>
    <row r="58" spans="2:8">
      <c r="B58" s="127" t="s">
        <v>372</v>
      </c>
      <c r="C58" s="191"/>
      <c r="D58" s="192"/>
      <c r="E58" s="191"/>
      <c r="F58" s="191"/>
      <c r="G58" s="191"/>
      <c r="H58" s="187">
        <f>SUM(H55:H57)</f>
        <v>83.083333333333329</v>
      </c>
    </row>
    <row r="59" spans="2:8">
      <c r="B59" s="176"/>
      <c r="C59" s="176"/>
      <c r="D59" s="176"/>
      <c r="E59" s="176"/>
      <c r="F59" s="176"/>
      <c r="G59" s="176"/>
      <c r="H59" s="176"/>
    </row>
    <row r="60" spans="2:8">
      <c r="B60" s="176" t="s">
        <v>645</v>
      </c>
      <c r="C60" s="181" t="s">
        <v>599</v>
      </c>
      <c r="D60" s="193"/>
      <c r="E60" s="194"/>
      <c r="F60" s="194"/>
      <c r="G60" s="194"/>
      <c r="H60" s="195"/>
    </row>
    <row r="61" spans="2:8">
      <c r="B61" s="196"/>
      <c r="C61" s="197" t="s">
        <v>352</v>
      </c>
      <c r="D61" s="197" t="s">
        <v>353</v>
      </c>
      <c r="E61" s="197" t="s">
        <v>362</v>
      </c>
      <c r="F61" s="197" t="s">
        <v>363</v>
      </c>
      <c r="G61" s="197"/>
      <c r="H61" s="197" t="s">
        <v>364</v>
      </c>
    </row>
    <row r="62" spans="2:8">
      <c r="B62" s="196"/>
      <c r="C62" s="197" t="s">
        <v>365</v>
      </c>
      <c r="D62" s="197" t="s">
        <v>366</v>
      </c>
      <c r="E62" s="197" t="s">
        <v>605</v>
      </c>
      <c r="F62" s="197" t="s">
        <v>369</v>
      </c>
      <c r="G62" s="197" t="s">
        <v>595</v>
      </c>
      <c r="H62" s="197" t="s">
        <v>367</v>
      </c>
    </row>
    <row r="63" spans="2:8">
      <c r="B63" s="172" t="s">
        <v>354</v>
      </c>
      <c r="C63" s="173" t="s">
        <v>355</v>
      </c>
      <c r="D63" s="173" t="s">
        <v>355</v>
      </c>
      <c r="E63" s="173" t="s">
        <v>368</v>
      </c>
      <c r="F63" s="173" t="s">
        <v>368</v>
      </c>
      <c r="G63" s="173" t="s">
        <v>355</v>
      </c>
      <c r="H63" s="173" t="s">
        <v>606</v>
      </c>
    </row>
    <row r="64" spans="2:8">
      <c r="B64" s="198" t="str">
        <f>CONCATENATE(Equipment!B6," - ",Equipment!C6)</f>
        <v>Tandem disk, 21 Ft Folding - 160 HP MFWD</v>
      </c>
      <c r="C64" s="197">
        <f>Equipment!E6</f>
        <v>8.3482142857142852E-2</v>
      </c>
      <c r="D64" s="197">
        <f>Equipment!D6</f>
        <v>0.63380952380952371</v>
      </c>
      <c r="E64" s="197">
        <f>Equipment!F6</f>
        <v>11.433998842344574</v>
      </c>
      <c r="F64" s="197">
        <f>Equipment!G6</f>
        <v>9.6306540886643663</v>
      </c>
      <c r="G64" s="199">
        <f>Equipment!H6</f>
        <v>2</v>
      </c>
      <c r="H64" s="197">
        <f>Equipment!I6</f>
        <v>42.12930586201788</v>
      </c>
    </row>
    <row r="65" spans="1:8">
      <c r="B65" s="198" t="str">
        <f>CONCATENATE(Equipment!B7," - ",Equipment!C7)</f>
        <v>Cultimulcher, 21 Ft Folding - 160 HP MFWD</v>
      </c>
      <c r="C65" s="197">
        <f>Equipment!E7</f>
        <v>8.3482142857142852E-2</v>
      </c>
      <c r="D65" s="197">
        <f>Equipment!D7</f>
        <v>0.63380952380952371</v>
      </c>
      <c r="E65" s="197">
        <f>Equipment!F7</f>
        <v>10.806929992609799</v>
      </c>
      <c r="F65" s="197">
        <f>Equipment!G7</f>
        <v>9.5107068310335396</v>
      </c>
      <c r="G65" s="199">
        <f>Equipment!H7</f>
        <v>1</v>
      </c>
      <c r="H65" s="197">
        <f>Equipment!I7</f>
        <v>20.31763682364334</v>
      </c>
    </row>
    <row r="66" spans="1:8">
      <c r="A66" s="200"/>
      <c r="B66" s="198" t="str">
        <f>CONCATENATE(Equipment!B8," - ",Equipment!C8)</f>
        <v>Presswheel drill, 16 Ft - 75 HP TWD</v>
      </c>
      <c r="C66" s="197">
        <f>Equipment!E8</f>
        <v>0.16352678571428572</v>
      </c>
      <c r="D66" s="197">
        <f>Equipment!D8</f>
        <v>0.53477678571428566</v>
      </c>
      <c r="E66" s="197">
        <f>Equipment!F8</f>
        <v>8.5860162939406948</v>
      </c>
      <c r="F66" s="197">
        <f>Equipment!G8</f>
        <v>8.3174800511022582</v>
      </c>
      <c r="G66" s="199">
        <f>Equipment!H8</f>
        <v>1</v>
      </c>
      <c r="H66" s="197">
        <f>Equipment!I8</f>
        <v>16.903496345042953</v>
      </c>
    </row>
    <row r="67" spans="1:8" s="200" customFormat="1">
      <c r="B67" s="198" t="str">
        <f>CONCATENATE(Equipment!B9," - ",Equipment!C9)</f>
        <v>Disk mower, 9 Ft - 75 HP TWD</v>
      </c>
      <c r="C67" s="197">
        <f>Equipment!E9</f>
        <v>0.18509615384615383</v>
      </c>
      <c r="D67" s="197">
        <f>Equipment!D9</f>
        <v>0.6399038461538461</v>
      </c>
      <c r="E67" s="197">
        <f>Equipment!F9</f>
        <v>9.1091108299595138</v>
      </c>
      <c r="F67" s="197">
        <f>Equipment!G9</f>
        <v>5.5903666603370956</v>
      </c>
      <c r="G67" s="199">
        <f>Equipment!H9</f>
        <v>1</v>
      </c>
      <c r="H67" s="197">
        <f>Equipment!I9</f>
        <v>14.699477490296609</v>
      </c>
    </row>
    <row r="68" spans="1:8" s="200" customFormat="1">
      <c r="B68" s="198" t="str">
        <f>CONCATENATE(Equipment!B10," - ",Equipment!C10)</f>
        <v>Hay rake, 30 Ft Folding - 75 HP TWD</v>
      </c>
      <c r="C68" s="197">
        <f>Equipment!E10</f>
        <v>4.3828125000000002E-2</v>
      </c>
      <c r="D68" s="197">
        <f>Equipment!D10</f>
        <v>0.1559765625</v>
      </c>
      <c r="E68" s="197">
        <f>Equipment!F10</f>
        <v>3.8211744615069421</v>
      </c>
      <c r="F68" s="197">
        <f>Equipment!G10</f>
        <v>1.6794004194562353</v>
      </c>
      <c r="G68" s="199">
        <f>Equipment!H10</f>
        <v>2</v>
      </c>
      <c r="H68" s="197">
        <f>Equipment!I10</f>
        <v>11.001149761926355</v>
      </c>
    </row>
    <row r="69" spans="1:8" s="200" customFormat="1">
      <c r="A69" s="126"/>
      <c r="B69" s="198" t="str">
        <f>CONCATENATE(Equipment!B11," - ",Equipment!C11)</f>
        <v>Round baler, 30 Ft - 160 HP MFWD</v>
      </c>
      <c r="C69" s="197">
        <f>Equipment!E11</f>
        <v>9.3923076923076942E-2</v>
      </c>
      <c r="D69" s="197">
        <f>Equipment!D11</f>
        <v>0.65526153846153845</v>
      </c>
      <c r="E69" s="197">
        <f>Equipment!F11</f>
        <v>18.292951818360844</v>
      </c>
      <c r="F69" s="197">
        <f>Equipment!G11</f>
        <v>7.0591260807670189</v>
      </c>
      <c r="G69" s="199">
        <f>Equipment!H11</f>
        <v>1</v>
      </c>
      <c r="H69" s="197">
        <f>Equipment!I11</f>
        <v>25.352077899127863</v>
      </c>
    </row>
    <row r="70" spans="1:8">
      <c r="B70" s="201" t="str">
        <f>CONCATENATE(Equipment!B12," - ",Equipment!C12)</f>
        <v xml:space="preserve">Pickup truck - </v>
      </c>
      <c r="C70" s="173"/>
      <c r="D70" s="173"/>
      <c r="E70" s="173">
        <f>Equipment!F12</f>
        <v>7</v>
      </c>
      <c r="F70" s="173">
        <f>Equipment!G12</f>
        <v>7</v>
      </c>
      <c r="G70" s="202"/>
      <c r="H70" s="173">
        <f>Equipment!I12</f>
        <v>14</v>
      </c>
    </row>
    <row r="71" spans="1:8">
      <c r="B71" s="197" t="s">
        <v>372</v>
      </c>
      <c r="C71" s="197">
        <f>SUMPRODUCT(C64:C69,$G$64:$G$69)</f>
        <v>0.78064869505494516</v>
      </c>
      <c r="D71" s="197">
        <f>SUMPRODUCT(D64:D69,$G$64:$G$69)</f>
        <v>4.0433238667582412</v>
      </c>
      <c r="E71" s="197">
        <f>SUMPRODUCT(E64:E69,$G$64:$G$69)+E70</f>
        <v>84.305355542573878</v>
      </c>
      <c r="F71" s="197">
        <f>SUMPRODUCT(F64:F69,$G$64:$G$69)+F70</f>
        <v>60.097788639481124</v>
      </c>
      <c r="G71" s="199">
        <f>SUM(G64:G69)</f>
        <v>8</v>
      </c>
      <c r="H71" s="197">
        <f>SUM(H64:H70)</f>
        <v>144.40314418205497</v>
      </c>
    </row>
    <row r="72" spans="1:8">
      <c r="B72" s="176" t="s">
        <v>646</v>
      </c>
      <c r="C72" s="176"/>
      <c r="D72" s="176"/>
      <c r="E72" s="176"/>
      <c r="F72" s="176"/>
      <c r="G72" s="176"/>
      <c r="H72" s="191"/>
    </row>
    <row r="73" spans="1:8">
      <c r="B73" s="176" t="s">
        <v>647</v>
      </c>
      <c r="C73" s="176"/>
      <c r="D73" s="176"/>
      <c r="E73" s="176"/>
      <c r="F73" s="176"/>
      <c r="G73" s="176"/>
      <c r="H73" s="176"/>
    </row>
    <row r="74" spans="1:8">
      <c r="B74" s="176" t="s">
        <v>648</v>
      </c>
      <c r="C74" s="176"/>
      <c r="D74" s="176"/>
      <c r="E74" s="176"/>
      <c r="F74" s="176"/>
      <c r="G74" s="203"/>
      <c r="H74" s="176"/>
    </row>
    <row r="75" spans="1:8">
      <c r="B75" s="176"/>
      <c r="C75" s="176"/>
      <c r="D75" s="176"/>
      <c r="E75" s="176"/>
      <c r="F75" s="176"/>
      <c r="G75" s="176"/>
      <c r="H75" s="176"/>
    </row>
    <row r="76" spans="1:8">
      <c r="B76" s="176"/>
      <c r="C76" s="176"/>
      <c r="D76" s="176"/>
      <c r="E76" s="176"/>
      <c r="F76" s="176"/>
      <c r="G76" s="176"/>
      <c r="H76" s="176"/>
    </row>
    <row r="77" spans="1:8">
      <c r="B77" s="176" t="s">
        <v>609</v>
      </c>
      <c r="C77" s="176"/>
      <c r="D77" s="176"/>
      <c r="E77" s="176"/>
      <c r="F77" s="176"/>
      <c r="G77" s="176"/>
      <c r="H77" s="176"/>
    </row>
    <row r="78" spans="1:8">
      <c r="B78" s="176" t="s">
        <v>610</v>
      </c>
      <c r="C78" s="176"/>
      <c r="D78" s="176"/>
      <c r="E78" s="176"/>
      <c r="F78" s="176"/>
      <c r="G78" s="176"/>
      <c r="H78" s="176"/>
    </row>
    <row r="79" spans="1:8">
      <c r="B79" s="176" t="s">
        <v>611</v>
      </c>
      <c r="C79" s="176"/>
      <c r="D79" s="176"/>
      <c r="E79" s="176"/>
      <c r="F79" s="176"/>
      <c r="G79" s="176"/>
      <c r="H79" s="176"/>
    </row>
    <row r="80" spans="1:8">
      <c r="B80" s="176" t="s">
        <v>612</v>
      </c>
      <c r="C80" s="176"/>
      <c r="D80" s="176"/>
      <c r="E80" s="176"/>
      <c r="F80" s="176"/>
      <c r="G80" s="176"/>
      <c r="H80" s="176"/>
    </row>
    <row r="81" s="126" customFormat="1" hidden="1"/>
    <row r="777" spans="2:3" hidden="1">
      <c r="B777" s="126" t="s">
        <v>24</v>
      </c>
    </row>
    <row r="778" spans="2:3" hidden="1">
      <c r="B778" s="126" t="s">
        <v>25</v>
      </c>
      <c r="C778" s="126">
        <v>6</v>
      </c>
    </row>
    <row r="779" spans="2:3" hidden="1">
      <c r="B779" s="126" t="s">
        <v>26</v>
      </c>
      <c r="C779" s="126">
        <v>1</v>
      </c>
    </row>
    <row r="780" spans="2:3" hidden="1">
      <c r="B780" s="126" t="s">
        <v>27</v>
      </c>
      <c r="C780" s="126">
        <v>1</v>
      </c>
    </row>
    <row r="781" spans="2:3" hidden="1">
      <c r="B781" s="126" t="s">
        <v>28</v>
      </c>
      <c r="C781" s="126">
        <v>2</v>
      </c>
    </row>
    <row r="782" spans="2:3" hidden="1">
      <c r="B782" s="126" t="s">
        <v>29</v>
      </c>
      <c r="C782" s="126">
        <v>1</v>
      </c>
    </row>
    <row r="783" spans="2:3" hidden="1">
      <c r="B783" s="126" t="s">
        <v>30</v>
      </c>
      <c r="C783" s="126">
        <v>0</v>
      </c>
    </row>
    <row r="784" spans="2:3" hidden="1">
      <c r="B784" s="126" t="s">
        <v>31</v>
      </c>
      <c r="C784" s="126">
        <v>0</v>
      </c>
    </row>
    <row r="785" spans="2:3" hidden="1">
      <c r="B785" s="126" t="s">
        <v>32</v>
      </c>
      <c r="C785" s="126">
        <v>0</v>
      </c>
    </row>
    <row r="786" spans="2:3" hidden="1">
      <c r="B786" s="126" t="s">
        <v>33</v>
      </c>
      <c r="C786" s="126">
        <v>0</v>
      </c>
    </row>
    <row r="787" spans="2:3" hidden="1">
      <c r="B787" s="126" t="s">
        <v>34</v>
      </c>
      <c r="C787" s="126">
        <v>0</v>
      </c>
    </row>
    <row r="788" spans="2:3" hidden="1">
      <c r="B788" s="126" t="s">
        <v>35</v>
      </c>
      <c r="C788" s="126">
        <v>0</v>
      </c>
    </row>
    <row r="789" spans="2:3" hidden="1">
      <c r="B789" s="126" t="s">
        <v>36</v>
      </c>
      <c r="C789" s="126" t="b">
        <v>1</v>
      </c>
    </row>
    <row r="790" spans="2:3" hidden="1">
      <c r="B790" s="126" t="s">
        <v>37</v>
      </c>
      <c r="C790" s="126">
        <v>0</v>
      </c>
    </row>
    <row r="791" spans="2:3" hidden="1">
      <c r="B791" s="126" t="s">
        <v>38</v>
      </c>
      <c r="C791" s="126" t="b">
        <v>1</v>
      </c>
    </row>
    <row r="792" spans="2:3" hidden="1">
      <c r="B792" s="126" t="s">
        <v>39</v>
      </c>
      <c r="C792" s="126">
        <v>0</v>
      </c>
    </row>
    <row r="793" spans="2:3" hidden="1">
      <c r="B793" s="126" t="s">
        <v>40</v>
      </c>
      <c r="C793" s="126">
        <v>0</v>
      </c>
    </row>
    <row r="794" spans="2:3" hidden="1">
      <c r="B794" s="126" t="s">
        <v>41</v>
      </c>
      <c r="C794" s="126">
        <v>0</v>
      </c>
    </row>
    <row r="795" spans="2:3" hidden="1">
      <c r="B795" s="126" t="s">
        <v>42</v>
      </c>
      <c r="C795" s="126">
        <v>0</v>
      </c>
    </row>
    <row r="796" spans="2:3" hidden="1">
      <c r="B796" s="126" t="s">
        <v>43</v>
      </c>
      <c r="C796" s="126">
        <v>0</v>
      </c>
    </row>
    <row r="797" spans="2:3" hidden="1">
      <c r="B797" s="126" t="s">
        <v>44</v>
      </c>
      <c r="C797" s="126">
        <v>0</v>
      </c>
    </row>
    <row r="798" spans="2:3" hidden="1">
      <c r="B798" s="126" t="s">
        <v>45</v>
      </c>
      <c r="C798" s="126">
        <v>0</v>
      </c>
    </row>
    <row r="799" spans="2:3" hidden="1">
      <c r="B799" s="126" t="s">
        <v>46</v>
      </c>
      <c r="C799" s="126" t="s">
        <v>47</v>
      </c>
    </row>
    <row r="800" spans="2:3" hidden="1">
      <c r="B800" s="126" t="s">
        <v>48</v>
      </c>
      <c r="C800" s="126">
        <v>100</v>
      </c>
    </row>
    <row r="801" spans="2:3" hidden="1">
      <c r="B801" s="126" t="s">
        <v>49</v>
      </c>
      <c r="C801" s="126">
        <v>55</v>
      </c>
    </row>
    <row r="802" spans="2:3" hidden="1">
      <c r="B802" s="126" t="s">
        <v>50</v>
      </c>
      <c r="C802" s="126">
        <v>5.3</v>
      </c>
    </row>
    <row r="803" spans="2:3" hidden="1">
      <c r="B803" s="126" t="s">
        <v>51</v>
      </c>
      <c r="C803" s="126">
        <v>0</v>
      </c>
    </row>
    <row r="804" spans="2:3" hidden="1">
      <c r="B804" s="126" t="s">
        <v>52</v>
      </c>
      <c r="C804" s="126">
        <v>0</v>
      </c>
    </row>
    <row r="805" spans="2:3" hidden="1">
      <c r="B805" s="126" t="s">
        <v>53</v>
      </c>
      <c r="C805" s="126">
        <v>0</v>
      </c>
    </row>
    <row r="806" spans="2:3" hidden="1">
      <c r="B806" s="126" t="s">
        <v>54</v>
      </c>
      <c r="C806" s="126">
        <v>0</v>
      </c>
    </row>
    <row r="807" spans="2:3" hidden="1">
      <c r="B807" s="126" t="s">
        <v>55</v>
      </c>
      <c r="C807" s="126">
        <v>0</v>
      </c>
    </row>
    <row r="808" spans="2:3" hidden="1">
      <c r="B808" s="126" t="s">
        <v>56</v>
      </c>
      <c r="C808" s="126">
        <v>0</v>
      </c>
    </row>
    <row r="809" spans="2:3" hidden="1">
      <c r="B809" s="126" t="s">
        <v>57</v>
      </c>
      <c r="C809" s="126">
        <v>0</v>
      </c>
    </row>
    <row r="810" spans="2:3" hidden="1">
      <c r="B810" s="126" t="s">
        <v>58</v>
      </c>
      <c r="C810" s="126">
        <v>18</v>
      </c>
    </row>
    <row r="811" spans="2:3" hidden="1">
      <c r="B811" s="126" t="s">
        <v>59</v>
      </c>
      <c r="C811" s="126">
        <v>0</v>
      </c>
    </row>
    <row r="812" spans="2:3" hidden="1">
      <c r="B812" s="126" t="s">
        <v>60</v>
      </c>
      <c r="C812" s="126">
        <v>0</v>
      </c>
    </row>
    <row r="813" spans="2:3" hidden="1">
      <c r="B813" s="126" t="s">
        <v>61</v>
      </c>
      <c r="C813" s="126">
        <v>0</v>
      </c>
    </row>
    <row r="814" spans="2:3" hidden="1">
      <c r="B814" s="126" t="s">
        <v>62</v>
      </c>
      <c r="C814" s="126">
        <v>0</v>
      </c>
    </row>
    <row r="815" spans="2:3" hidden="1">
      <c r="B815" s="126" t="s">
        <v>63</v>
      </c>
      <c r="C815" s="126">
        <v>0</v>
      </c>
    </row>
    <row r="816" spans="2:3" hidden="1">
      <c r="B816" s="126" t="s">
        <v>64</v>
      </c>
      <c r="C816" s="126">
        <v>100</v>
      </c>
    </row>
    <row r="817" spans="2:3" hidden="1">
      <c r="B817" s="126" t="s">
        <v>65</v>
      </c>
      <c r="C817" s="126">
        <v>0</v>
      </c>
    </row>
    <row r="818" spans="2:3" hidden="1">
      <c r="B818" s="126" t="s">
        <v>66</v>
      </c>
      <c r="C818" s="126">
        <v>0</v>
      </c>
    </row>
    <row r="819" spans="2:3" hidden="1">
      <c r="B819" s="126" t="s">
        <v>67</v>
      </c>
      <c r="C819" s="126">
        <v>0</v>
      </c>
    </row>
    <row r="820" spans="2:3" hidden="1">
      <c r="B820" s="126" t="s">
        <v>68</v>
      </c>
      <c r="C820" s="126">
        <v>75</v>
      </c>
    </row>
    <row r="821" spans="2:3" hidden="1">
      <c r="B821" s="126" t="s">
        <v>69</v>
      </c>
      <c r="C821" s="126">
        <v>0</v>
      </c>
    </row>
    <row r="822" spans="2:3" hidden="1">
      <c r="B822" s="126" t="s">
        <v>70</v>
      </c>
      <c r="C822" s="126">
        <v>35</v>
      </c>
    </row>
    <row r="823" spans="2:3" hidden="1">
      <c r="B823" s="126" t="s">
        <v>71</v>
      </c>
      <c r="C823" s="126">
        <v>20</v>
      </c>
    </row>
    <row r="824" spans="2:3" hidden="1">
      <c r="B824" s="126" t="s">
        <v>72</v>
      </c>
      <c r="C824" s="126">
        <v>0.5</v>
      </c>
    </row>
    <row r="825" spans="2:3" hidden="1">
      <c r="B825" s="126" t="s">
        <v>73</v>
      </c>
      <c r="C825" s="126">
        <v>10</v>
      </c>
    </row>
    <row r="826" spans="2:3" hidden="1">
      <c r="B826" s="126" t="s">
        <v>74</v>
      </c>
      <c r="C826" s="126">
        <v>0</v>
      </c>
    </row>
    <row r="827" spans="2:3" hidden="1">
      <c r="B827" s="126" t="s">
        <v>75</v>
      </c>
      <c r="C827" s="126">
        <v>0</v>
      </c>
    </row>
    <row r="828" spans="2:3" hidden="1">
      <c r="B828" s="126" t="s">
        <v>76</v>
      </c>
      <c r="C828" s="126">
        <v>0.53</v>
      </c>
    </row>
    <row r="829" spans="2:3" hidden="1">
      <c r="B829" s="126" t="s">
        <v>77</v>
      </c>
      <c r="C829" s="126">
        <v>0</v>
      </c>
    </row>
    <row r="830" spans="2:3" hidden="1">
      <c r="B830" s="126" t="s">
        <v>78</v>
      </c>
      <c r="C830" s="126">
        <v>0.49</v>
      </c>
    </row>
    <row r="831" spans="2:3" hidden="1">
      <c r="B831" s="126" t="s">
        <v>79</v>
      </c>
      <c r="C831" s="126">
        <v>0.4</v>
      </c>
    </row>
    <row r="832" spans="2:3" hidden="1">
      <c r="B832" s="126" t="s">
        <v>80</v>
      </c>
      <c r="C832" s="126">
        <v>15</v>
      </c>
    </row>
    <row r="833" spans="2:3" hidden="1">
      <c r="B833" s="126" t="s">
        <v>81</v>
      </c>
      <c r="C833" s="126">
        <v>0.55000000000000004</v>
      </c>
    </row>
    <row r="834" spans="2:3" hidden="1">
      <c r="B834" s="126" t="s">
        <v>82</v>
      </c>
      <c r="C834" s="126">
        <v>0</v>
      </c>
    </row>
    <row r="835" spans="2:3" hidden="1">
      <c r="B835" s="126" t="s">
        <v>83</v>
      </c>
      <c r="C835" s="126">
        <v>0</v>
      </c>
    </row>
    <row r="836" spans="2:3" hidden="1">
      <c r="B836" s="126" t="s">
        <v>84</v>
      </c>
      <c r="C836" s="126">
        <v>0</v>
      </c>
    </row>
    <row r="837" spans="2:3" hidden="1">
      <c r="B837" s="126" t="s">
        <v>85</v>
      </c>
      <c r="C837" s="126">
        <v>0</v>
      </c>
    </row>
    <row r="838" spans="2:3" hidden="1">
      <c r="B838" s="126" t="s">
        <v>86</v>
      </c>
      <c r="C838" s="126">
        <v>1</v>
      </c>
    </row>
    <row r="839" spans="2:3" hidden="1">
      <c r="B839" s="126" t="s">
        <v>87</v>
      </c>
      <c r="C839" s="126">
        <v>0</v>
      </c>
    </row>
    <row r="840" spans="2:3" hidden="1">
      <c r="B840" s="126" t="s">
        <v>88</v>
      </c>
      <c r="C840" s="126">
        <v>0</v>
      </c>
    </row>
    <row r="841" spans="2:3" hidden="1">
      <c r="B841" s="126" t="s">
        <v>89</v>
      </c>
      <c r="C841" s="126">
        <v>0</v>
      </c>
    </row>
    <row r="842" spans="2:3" hidden="1">
      <c r="B842" s="126" t="s">
        <v>90</v>
      </c>
      <c r="C842" s="126">
        <v>0</v>
      </c>
    </row>
    <row r="843" spans="2:3" hidden="1">
      <c r="B843" s="126" t="s">
        <v>91</v>
      </c>
      <c r="C843" s="126">
        <v>0</v>
      </c>
    </row>
    <row r="844" spans="2:3" hidden="1">
      <c r="B844" s="126" t="s">
        <v>92</v>
      </c>
      <c r="C844" s="126">
        <v>0</v>
      </c>
    </row>
    <row r="845" spans="2:3" hidden="1">
      <c r="B845" s="126" t="s">
        <v>93</v>
      </c>
      <c r="C845" s="126">
        <v>0</v>
      </c>
    </row>
    <row r="846" spans="2:3" hidden="1">
      <c r="B846" s="126" t="s">
        <v>94</v>
      </c>
      <c r="C846" s="126">
        <v>19.38</v>
      </c>
    </row>
    <row r="847" spans="2:3" hidden="1">
      <c r="B847" s="126" t="s">
        <v>95</v>
      </c>
      <c r="C847" s="126">
        <v>0</v>
      </c>
    </row>
    <row r="848" spans="2:3" hidden="1">
      <c r="B848" s="126" t="s">
        <v>96</v>
      </c>
      <c r="C848" s="126">
        <v>0</v>
      </c>
    </row>
    <row r="849" spans="2:3" hidden="1">
      <c r="B849" s="126" t="s">
        <v>97</v>
      </c>
      <c r="C849" s="126">
        <v>0</v>
      </c>
    </row>
    <row r="850" spans="2:3" hidden="1">
      <c r="B850" s="126" t="s">
        <v>98</v>
      </c>
      <c r="C850" s="126">
        <v>0</v>
      </c>
    </row>
    <row r="851" spans="2:3" hidden="1">
      <c r="B851" s="126" t="s">
        <v>99</v>
      </c>
      <c r="C851" s="126">
        <v>0</v>
      </c>
    </row>
    <row r="852" spans="2:3" hidden="1">
      <c r="B852" s="126" t="s">
        <v>100</v>
      </c>
      <c r="C852" s="126">
        <v>0</v>
      </c>
    </row>
    <row r="853" spans="2:3" hidden="1">
      <c r="B853" s="126" t="s">
        <v>101</v>
      </c>
      <c r="C853" s="126">
        <v>0</v>
      </c>
    </row>
    <row r="854" spans="2:3" hidden="1">
      <c r="B854" s="126" t="s">
        <v>102</v>
      </c>
      <c r="C854" s="126">
        <v>0</v>
      </c>
    </row>
    <row r="855" spans="2:3" hidden="1">
      <c r="B855" s="126" t="s">
        <v>103</v>
      </c>
      <c r="C855" s="126">
        <v>0</v>
      </c>
    </row>
    <row r="856" spans="2:3" hidden="1">
      <c r="B856" s="126" t="s">
        <v>104</v>
      </c>
      <c r="C856" s="126">
        <v>0</v>
      </c>
    </row>
    <row r="857" spans="2:3" hidden="1">
      <c r="B857" s="126" t="s">
        <v>105</v>
      </c>
      <c r="C857" s="126">
        <v>0</v>
      </c>
    </row>
    <row r="858" spans="2:3" hidden="1">
      <c r="B858" s="126" t="s">
        <v>106</v>
      </c>
      <c r="C858" s="126">
        <v>0</v>
      </c>
    </row>
    <row r="859" spans="2:3" hidden="1">
      <c r="B859" s="126" t="s">
        <v>107</v>
      </c>
      <c r="C859" s="126">
        <v>0</v>
      </c>
    </row>
    <row r="860" spans="2:3" hidden="1">
      <c r="B860" s="126" t="s">
        <v>108</v>
      </c>
      <c r="C860" s="126">
        <v>0</v>
      </c>
    </row>
    <row r="861" spans="2:3" hidden="1">
      <c r="B861" s="126" t="s">
        <v>109</v>
      </c>
      <c r="C861" s="126">
        <v>0.5</v>
      </c>
    </row>
    <row r="862" spans="2:3" hidden="1">
      <c r="B862" s="126" t="s">
        <v>110</v>
      </c>
      <c r="C862" s="126">
        <v>13.5</v>
      </c>
    </row>
    <row r="863" spans="2:3" hidden="1">
      <c r="B863" s="126" t="s">
        <v>111</v>
      </c>
      <c r="C863" s="126">
        <v>18</v>
      </c>
    </row>
    <row r="864" spans="2:3" hidden="1">
      <c r="B864" s="126" t="s">
        <v>112</v>
      </c>
      <c r="C864" s="126">
        <v>0</v>
      </c>
    </row>
    <row r="865" spans="2:3" hidden="1">
      <c r="B865" s="126" t="s">
        <v>113</v>
      </c>
      <c r="C865" s="126">
        <v>0</v>
      </c>
    </row>
    <row r="866" spans="2:3" hidden="1">
      <c r="B866" s="126" t="s">
        <v>114</v>
      </c>
      <c r="C866" s="126">
        <v>0</v>
      </c>
    </row>
    <row r="867" spans="2:3" hidden="1">
      <c r="B867" s="126" t="s">
        <v>115</v>
      </c>
      <c r="C867" s="126">
        <v>3500</v>
      </c>
    </row>
    <row r="868" spans="2:3" hidden="1">
      <c r="B868" s="126" t="s">
        <v>116</v>
      </c>
      <c r="C868" s="126">
        <v>4</v>
      </c>
    </row>
    <row r="869" spans="2:3" hidden="1">
      <c r="B869" s="126" t="s">
        <v>117</v>
      </c>
      <c r="C869" s="126">
        <v>0</v>
      </c>
    </row>
    <row r="870" spans="2:3" hidden="1">
      <c r="B870" s="126" t="s">
        <v>118</v>
      </c>
      <c r="C870" s="126">
        <v>0</v>
      </c>
    </row>
    <row r="871" spans="2:3" hidden="1">
      <c r="B871" s="126" t="s">
        <v>119</v>
      </c>
      <c r="C871" s="126">
        <v>0</v>
      </c>
    </row>
    <row r="872" spans="2:3" hidden="1">
      <c r="B872" s="126" t="s">
        <v>120</v>
      </c>
      <c r="C872" s="126">
        <v>6</v>
      </c>
    </row>
    <row r="873" spans="2:3" hidden="1">
      <c r="B873" s="126" t="s">
        <v>121</v>
      </c>
      <c r="C873" s="126">
        <v>3.65</v>
      </c>
    </row>
    <row r="874" spans="2:3" hidden="1">
      <c r="B874" s="126" t="s">
        <v>122</v>
      </c>
      <c r="C874" s="126">
        <v>3.38</v>
      </c>
    </row>
    <row r="875" spans="2:3" hidden="1">
      <c r="B875" s="126" t="s">
        <v>123</v>
      </c>
      <c r="C875" s="126">
        <v>1</v>
      </c>
    </row>
    <row r="876" spans="2:3" hidden="1">
      <c r="B876" s="126" t="s">
        <v>124</v>
      </c>
      <c r="C876" s="126">
        <v>0</v>
      </c>
    </row>
    <row r="877" spans="2:3" hidden="1">
      <c r="B877" s="126" t="s">
        <v>125</v>
      </c>
      <c r="C877" s="126">
        <v>13</v>
      </c>
    </row>
    <row r="878" spans="2:3" hidden="1">
      <c r="B878" s="126" t="s">
        <v>126</v>
      </c>
      <c r="C878" s="126">
        <v>0</v>
      </c>
    </row>
    <row r="879" spans="2:3" hidden="1">
      <c r="B879" s="126" t="s">
        <v>127</v>
      </c>
      <c r="C879" s="126">
        <v>0</v>
      </c>
    </row>
    <row r="880" spans="2:3" hidden="1">
      <c r="B880" s="126" t="s">
        <v>128</v>
      </c>
      <c r="C880" s="126">
        <v>0</v>
      </c>
    </row>
    <row r="881" spans="2:3" hidden="1">
      <c r="B881" s="126" t="s">
        <v>129</v>
      </c>
      <c r="C881" s="126">
        <v>0</v>
      </c>
    </row>
    <row r="882" spans="2:3" hidden="1">
      <c r="B882" s="126" t="s">
        <v>130</v>
      </c>
      <c r="C882" s="126">
        <v>0</v>
      </c>
    </row>
    <row r="883" spans="2:3" hidden="1">
      <c r="B883" s="126" t="s">
        <v>131</v>
      </c>
      <c r="C883" s="126">
        <v>0</v>
      </c>
    </row>
    <row r="884" spans="2:3" hidden="1">
      <c r="B884" s="126" t="s">
        <v>132</v>
      </c>
      <c r="C884" s="126">
        <v>5</v>
      </c>
    </row>
    <row r="885" spans="2:3" hidden="1">
      <c r="B885" s="126" t="s">
        <v>133</v>
      </c>
      <c r="C885" s="126">
        <v>0</v>
      </c>
    </row>
    <row r="886" spans="2:3" hidden="1">
      <c r="B886" s="126" t="s">
        <v>134</v>
      </c>
      <c r="C886" s="126">
        <v>0</v>
      </c>
    </row>
    <row r="887" spans="2:3" hidden="1">
      <c r="B887" s="126" t="s">
        <v>135</v>
      </c>
      <c r="C887" s="126">
        <v>0</v>
      </c>
    </row>
    <row r="888" spans="2:3" hidden="1">
      <c r="B888" s="126" t="s">
        <v>136</v>
      </c>
      <c r="C888" s="126">
        <v>6800</v>
      </c>
    </row>
    <row r="889" spans="2:3" hidden="1">
      <c r="B889" s="126" t="s">
        <v>137</v>
      </c>
      <c r="C889" s="126">
        <v>0</v>
      </c>
    </row>
    <row r="890" spans="2:3" hidden="1">
      <c r="B890" s="126" t="s">
        <v>138</v>
      </c>
      <c r="C890" s="126">
        <v>0</v>
      </c>
    </row>
    <row r="891" spans="2:3" hidden="1">
      <c r="B891" s="126" t="s">
        <v>139</v>
      </c>
      <c r="C891" s="126">
        <v>8500</v>
      </c>
    </row>
    <row r="892" spans="2:3" hidden="1">
      <c r="B892" s="126" t="s">
        <v>140</v>
      </c>
      <c r="C892" s="126">
        <v>5</v>
      </c>
    </row>
    <row r="893" spans="2:3" hidden="1">
      <c r="B893" s="126" t="s">
        <v>141</v>
      </c>
      <c r="C893" s="126">
        <v>15000</v>
      </c>
    </row>
    <row r="894" spans="2:3" hidden="1">
      <c r="B894" s="126" t="s">
        <v>142</v>
      </c>
      <c r="C894" s="126">
        <v>5</v>
      </c>
    </row>
    <row r="895" spans="2:3" hidden="1">
      <c r="B895" s="126" t="s">
        <v>143</v>
      </c>
      <c r="C895" s="126">
        <v>0</v>
      </c>
    </row>
    <row r="896" spans="2:3" hidden="1">
      <c r="B896" s="126" t="s">
        <v>144</v>
      </c>
      <c r="C896" s="126">
        <v>0</v>
      </c>
    </row>
    <row r="897" spans="2:3" hidden="1">
      <c r="B897" s="126" t="s">
        <v>145</v>
      </c>
      <c r="C897" s="126">
        <v>0</v>
      </c>
    </row>
    <row r="898" spans="2:3" hidden="1">
      <c r="B898" s="126" t="s">
        <v>146</v>
      </c>
      <c r="C898" s="126">
        <v>0</v>
      </c>
    </row>
    <row r="899" spans="2:3" hidden="1">
      <c r="B899" s="126" t="s">
        <v>147</v>
      </c>
      <c r="C899" s="126">
        <v>0</v>
      </c>
    </row>
    <row r="900" spans="2:3" hidden="1">
      <c r="B900" s="126" t="s">
        <v>148</v>
      </c>
      <c r="C900" s="126">
        <v>0</v>
      </c>
    </row>
    <row r="901" spans="2:3" hidden="1">
      <c r="B901" s="126" t="s">
        <v>149</v>
      </c>
      <c r="C901" s="126">
        <v>0</v>
      </c>
    </row>
    <row r="902" spans="2:3" hidden="1">
      <c r="B902" s="126" t="s">
        <v>150</v>
      </c>
      <c r="C902" s="126">
        <v>0</v>
      </c>
    </row>
    <row r="903" spans="2:3" hidden="1">
      <c r="B903" s="126" t="s">
        <v>151</v>
      </c>
      <c r="C903" s="126">
        <v>0</v>
      </c>
    </row>
    <row r="904" spans="2:3" hidden="1">
      <c r="B904" s="126" t="s">
        <v>152</v>
      </c>
      <c r="C904" s="126">
        <v>0</v>
      </c>
    </row>
    <row r="905" spans="2:3" hidden="1">
      <c r="B905" s="126" t="s">
        <v>153</v>
      </c>
      <c r="C905" s="126">
        <v>0</v>
      </c>
    </row>
    <row r="906" spans="2:3" hidden="1">
      <c r="B906" s="126" t="s">
        <v>154</v>
      </c>
      <c r="C906" s="126">
        <v>6</v>
      </c>
    </row>
    <row r="907" spans="2:3" hidden="1">
      <c r="B907" s="126" t="s">
        <v>155</v>
      </c>
      <c r="C907" s="126">
        <v>0</v>
      </c>
    </row>
    <row r="908" spans="2:3" hidden="1">
      <c r="B908" s="126" t="s">
        <v>156</v>
      </c>
      <c r="C908" s="126">
        <v>0</v>
      </c>
    </row>
    <row r="909" spans="2:3" hidden="1">
      <c r="B909" s="126" t="s">
        <v>157</v>
      </c>
      <c r="C909" s="126">
        <v>0</v>
      </c>
    </row>
    <row r="910" spans="2:3" hidden="1">
      <c r="B910" s="126" t="s">
        <v>158</v>
      </c>
      <c r="C910" s="126">
        <v>0</v>
      </c>
    </row>
    <row r="911" spans="2:3" hidden="1">
      <c r="B911" s="126" t="s">
        <v>159</v>
      </c>
      <c r="C911" s="126">
        <v>0</v>
      </c>
    </row>
    <row r="912" spans="2:3" hidden="1">
      <c r="B912" s="126" t="s">
        <v>160</v>
      </c>
      <c r="C912" s="126">
        <v>0</v>
      </c>
    </row>
    <row r="913" spans="2:3" hidden="1">
      <c r="B913" s="126" t="s">
        <v>161</v>
      </c>
      <c r="C913" s="126">
        <v>0</v>
      </c>
    </row>
    <row r="914" spans="2:3" hidden="1">
      <c r="B914" s="126" t="s">
        <v>162</v>
      </c>
      <c r="C914" s="126">
        <v>0</v>
      </c>
    </row>
    <row r="915" spans="2:3" hidden="1">
      <c r="B915" s="126" t="s">
        <v>163</v>
      </c>
      <c r="C915" s="126">
        <v>0</v>
      </c>
    </row>
    <row r="916" spans="2:3" hidden="1">
      <c r="B916" s="126" t="s">
        <v>164</v>
      </c>
      <c r="C916" s="126">
        <v>0</v>
      </c>
    </row>
    <row r="917" spans="2:3" hidden="1">
      <c r="B917" s="126" t="s">
        <v>165</v>
      </c>
      <c r="C917" s="126">
        <v>0</v>
      </c>
    </row>
    <row r="918" spans="2:3" hidden="1">
      <c r="B918" s="126" t="s">
        <v>166</v>
      </c>
      <c r="C918" s="126">
        <v>0</v>
      </c>
    </row>
    <row r="919" spans="2:3" hidden="1">
      <c r="B919" s="126" t="s">
        <v>167</v>
      </c>
      <c r="C919" s="126">
        <v>2</v>
      </c>
    </row>
    <row r="920" spans="2:3" hidden="1">
      <c r="B920" s="126" t="s">
        <v>168</v>
      </c>
      <c r="C920" s="126">
        <v>0</v>
      </c>
    </row>
    <row r="921" spans="2:3" hidden="1">
      <c r="B921" s="126" t="s">
        <v>169</v>
      </c>
      <c r="C921" s="126">
        <v>0</v>
      </c>
    </row>
    <row r="922" spans="2:3" hidden="1">
      <c r="B922" s="126" t="s">
        <v>170</v>
      </c>
      <c r="C922" s="126">
        <v>0</v>
      </c>
    </row>
    <row r="923" spans="2:3" hidden="1">
      <c r="B923" s="126" t="s">
        <v>171</v>
      </c>
      <c r="C923" s="126">
        <v>0</v>
      </c>
    </row>
    <row r="924" spans="2:3" hidden="1">
      <c r="B924" s="126" t="s">
        <v>172</v>
      </c>
      <c r="C924" s="126">
        <v>0</v>
      </c>
    </row>
    <row r="925" spans="2:3" hidden="1">
      <c r="B925" s="126" t="s">
        <v>173</v>
      </c>
      <c r="C925" s="126">
        <v>0</v>
      </c>
    </row>
    <row r="926" spans="2:3" hidden="1">
      <c r="B926" s="126" t="s">
        <v>174</v>
      </c>
      <c r="C926" s="126">
        <v>0</v>
      </c>
    </row>
    <row r="927" spans="2:3" hidden="1">
      <c r="B927" s="126" t="s">
        <v>175</v>
      </c>
      <c r="C927" s="126" t="s">
        <v>176</v>
      </c>
    </row>
    <row r="928" spans="2:3" hidden="1">
      <c r="B928" s="126" t="s">
        <v>177</v>
      </c>
      <c r="C928" s="126" t="s">
        <v>178</v>
      </c>
    </row>
    <row r="929" spans="2:3" hidden="1">
      <c r="B929" s="126" t="s">
        <v>179</v>
      </c>
      <c r="C929" s="126" t="s">
        <v>180</v>
      </c>
    </row>
    <row r="930" spans="2:3" hidden="1">
      <c r="B930" s="126" t="s">
        <v>181</v>
      </c>
      <c r="C930" s="126" t="s">
        <v>182</v>
      </c>
    </row>
    <row r="931" spans="2:3" hidden="1">
      <c r="B931" s="126" t="s">
        <v>183</v>
      </c>
      <c r="C931" s="126" t="s">
        <v>184</v>
      </c>
    </row>
    <row r="932" spans="2:3" hidden="1">
      <c r="B932" s="126" t="s">
        <v>185</v>
      </c>
      <c r="C932" s="126" t="s">
        <v>186</v>
      </c>
    </row>
    <row r="933" spans="2:3" hidden="1">
      <c r="B933" s="126" t="s">
        <v>187</v>
      </c>
      <c r="C933" s="126" t="s">
        <v>188</v>
      </c>
    </row>
    <row r="934" spans="2:3" hidden="1">
      <c r="B934" s="126" t="s">
        <v>189</v>
      </c>
      <c r="C934" s="126" t="s">
        <v>190</v>
      </c>
    </row>
    <row r="935" spans="2:3" hidden="1">
      <c r="B935" s="126" t="s">
        <v>191</v>
      </c>
      <c r="C935" s="126" t="s">
        <v>192</v>
      </c>
    </row>
    <row r="936" spans="2:3" hidden="1">
      <c r="B936" s="126" t="s">
        <v>193</v>
      </c>
      <c r="C936" s="126" t="s">
        <v>194</v>
      </c>
    </row>
    <row r="937" spans="2:3" hidden="1">
      <c r="B937" s="126" t="s">
        <v>195</v>
      </c>
      <c r="C937" s="126" t="s">
        <v>196</v>
      </c>
    </row>
    <row r="938" spans="2:3" hidden="1">
      <c r="B938" s="126" t="s">
        <v>197</v>
      </c>
      <c r="C938" s="126" t="s">
        <v>198</v>
      </c>
    </row>
    <row r="939" spans="2:3" hidden="1">
      <c r="B939" s="126" t="s">
        <v>199</v>
      </c>
      <c r="C939" s="126" t="s">
        <v>196</v>
      </c>
    </row>
    <row r="940" spans="2:3" hidden="1">
      <c r="B940" s="126" t="s">
        <v>200</v>
      </c>
      <c r="C940" s="126" t="s">
        <v>188</v>
      </c>
    </row>
    <row r="941" spans="2:3" hidden="1">
      <c r="B941" s="126" t="s">
        <v>201</v>
      </c>
      <c r="C941" s="126" t="s">
        <v>202</v>
      </c>
    </row>
    <row r="942" spans="2:3" hidden="1">
      <c r="B942" s="126" t="s">
        <v>203</v>
      </c>
      <c r="C942" s="126" t="s">
        <v>196</v>
      </c>
    </row>
    <row r="943" spans="2:3" hidden="1">
      <c r="B943" s="126" t="s">
        <v>204</v>
      </c>
      <c r="C943" s="126" t="s">
        <v>196</v>
      </c>
    </row>
    <row r="944" spans="2:3" hidden="1">
      <c r="B944" s="126" t="s">
        <v>205</v>
      </c>
      <c r="C944" s="126" t="s">
        <v>184</v>
      </c>
    </row>
    <row r="945" spans="2:3" hidden="1">
      <c r="B945" s="126" t="s">
        <v>206</v>
      </c>
      <c r="C945" s="126" t="s">
        <v>207</v>
      </c>
    </row>
    <row r="946" spans="2:3" hidden="1">
      <c r="B946" s="126" t="s">
        <v>208</v>
      </c>
      <c r="C946" s="126" t="s">
        <v>180</v>
      </c>
    </row>
    <row r="947" spans="2:3" hidden="1">
      <c r="B947" s="126" t="s">
        <v>209</v>
      </c>
      <c r="C947" s="126" t="s">
        <v>207</v>
      </c>
    </row>
    <row r="948" spans="2:3" hidden="1">
      <c r="B948" s="126" t="s">
        <v>210</v>
      </c>
      <c r="C948" s="126" t="s">
        <v>211</v>
      </c>
    </row>
    <row r="949" spans="2:3" hidden="1">
      <c r="B949" s="126" t="s">
        <v>212</v>
      </c>
      <c r="C949" s="126" t="s">
        <v>213</v>
      </c>
    </row>
    <row r="950" spans="2:3" hidden="1">
      <c r="B950" s="126" t="s">
        <v>214</v>
      </c>
      <c r="C950" s="126" t="s">
        <v>215</v>
      </c>
    </row>
    <row r="951" spans="2:3" hidden="1">
      <c r="B951" s="126" t="s">
        <v>216</v>
      </c>
      <c r="C951" s="126" t="s">
        <v>184</v>
      </c>
    </row>
    <row r="952" spans="2:3" hidden="1">
      <c r="B952" s="126" t="s">
        <v>217</v>
      </c>
      <c r="C952" s="126" t="s">
        <v>184</v>
      </c>
    </row>
    <row r="953" spans="2:3" hidden="1">
      <c r="B953" s="126" t="s">
        <v>218</v>
      </c>
      <c r="C953" s="126" t="s">
        <v>219</v>
      </c>
    </row>
    <row r="954" spans="2:3" hidden="1">
      <c r="B954" s="126" t="s">
        <v>220</v>
      </c>
      <c r="C954" s="126" t="s">
        <v>221</v>
      </c>
    </row>
    <row r="955" spans="2:3" hidden="1">
      <c r="B955" s="126" t="s">
        <v>222</v>
      </c>
      <c r="C955" s="126">
        <v>0</v>
      </c>
    </row>
    <row r="956" spans="2:3" hidden="1">
      <c r="B956" s="126" t="s">
        <v>223</v>
      </c>
      <c r="C956" s="126">
        <v>0</v>
      </c>
    </row>
    <row r="957" spans="2:3" hidden="1">
      <c r="B957" s="126" t="s">
        <v>224</v>
      </c>
      <c r="C957" s="126">
        <v>0</v>
      </c>
    </row>
    <row r="958" spans="2:3" hidden="1">
      <c r="B958" s="126" t="s">
        <v>225</v>
      </c>
      <c r="C958" s="126">
        <v>0</v>
      </c>
    </row>
    <row r="959" spans="2:3" hidden="1">
      <c r="B959" s="126" t="s">
        <v>226</v>
      </c>
      <c r="C959" s="126">
        <v>0</v>
      </c>
    </row>
    <row r="960" spans="2:3" hidden="1">
      <c r="B960" s="126" t="s">
        <v>227</v>
      </c>
      <c r="C960" s="126">
        <v>0</v>
      </c>
    </row>
    <row r="961" spans="2:3" hidden="1">
      <c r="B961" s="126" t="s">
        <v>228</v>
      </c>
      <c r="C961" s="126">
        <v>0</v>
      </c>
    </row>
    <row r="962" spans="2:3" hidden="1">
      <c r="B962" s="126" t="s">
        <v>229</v>
      </c>
      <c r="C962" s="126">
        <v>0</v>
      </c>
    </row>
    <row r="963" spans="2:3" hidden="1">
      <c r="B963" s="126" t="s">
        <v>230</v>
      </c>
      <c r="C963" s="126">
        <v>0</v>
      </c>
    </row>
    <row r="964" spans="2:3" hidden="1">
      <c r="B964" s="126" t="s">
        <v>231</v>
      </c>
      <c r="C964" s="126">
        <v>0</v>
      </c>
    </row>
    <row r="965" spans="2:3" hidden="1">
      <c r="B965" s="126" t="s">
        <v>232</v>
      </c>
      <c r="C965" s="126">
        <v>0</v>
      </c>
    </row>
    <row r="966" spans="2:3" hidden="1">
      <c r="B966" s="126" t="s">
        <v>233</v>
      </c>
      <c r="C966" s="126">
        <v>0</v>
      </c>
    </row>
    <row r="967" spans="2:3" hidden="1">
      <c r="B967" s="126" t="s">
        <v>234</v>
      </c>
      <c r="C967" s="126">
        <v>0</v>
      </c>
    </row>
    <row r="968" spans="2:3" hidden="1">
      <c r="B968" s="126" t="s">
        <v>235</v>
      </c>
      <c r="C968" s="126">
        <v>0</v>
      </c>
    </row>
    <row r="969" spans="2:3" hidden="1">
      <c r="B969" s="126" t="s">
        <v>236</v>
      </c>
      <c r="C969" s="126" t="s">
        <v>237</v>
      </c>
    </row>
    <row r="970" spans="2:3" hidden="1">
      <c r="B970" s="126" t="s">
        <v>238</v>
      </c>
      <c r="C970" s="126">
        <v>0</v>
      </c>
    </row>
    <row r="971" spans="2:3" hidden="1">
      <c r="B971" s="126" t="s">
        <v>239</v>
      </c>
      <c r="C971" s="126">
        <v>0</v>
      </c>
    </row>
    <row r="972" spans="2:3" hidden="1">
      <c r="B972" s="126" t="s">
        <v>240</v>
      </c>
      <c r="C972" s="126">
        <v>0</v>
      </c>
    </row>
    <row r="973" spans="2:3" hidden="1">
      <c r="B973" s="126" t="s">
        <v>241</v>
      </c>
      <c r="C973" s="126">
        <v>0</v>
      </c>
    </row>
    <row r="974" spans="2:3" hidden="1">
      <c r="B974" s="126" t="s">
        <v>242</v>
      </c>
      <c r="C974" s="126" t="s">
        <v>243</v>
      </c>
    </row>
    <row r="975" spans="2:3" hidden="1">
      <c r="B975" s="126" t="s">
        <v>244</v>
      </c>
      <c r="C975" s="126">
        <v>0</v>
      </c>
    </row>
    <row r="976" spans="2:3" hidden="1">
      <c r="B976" s="126" t="s">
        <v>245</v>
      </c>
      <c r="C976" s="126">
        <v>0</v>
      </c>
    </row>
    <row r="977" spans="2:3" hidden="1">
      <c r="B977" s="126" t="s">
        <v>246</v>
      </c>
      <c r="C977" s="126">
        <v>0</v>
      </c>
    </row>
    <row r="978" spans="2:3" hidden="1">
      <c r="B978" s="126" t="s">
        <v>247</v>
      </c>
      <c r="C978" s="126">
        <v>0</v>
      </c>
    </row>
    <row r="979" spans="2:3" hidden="1">
      <c r="B979" s="126" t="s">
        <v>248</v>
      </c>
      <c r="C979" s="126">
        <v>0</v>
      </c>
    </row>
    <row r="980" spans="2:3" hidden="1">
      <c r="B980" s="126" t="s">
        <v>249</v>
      </c>
      <c r="C980" s="126">
        <v>0</v>
      </c>
    </row>
    <row r="981" spans="2:3" hidden="1">
      <c r="B981" s="126" t="s">
        <v>250</v>
      </c>
      <c r="C981" s="126">
        <v>0</v>
      </c>
    </row>
    <row r="982" spans="2:3" hidden="1">
      <c r="B982" s="126" t="s">
        <v>251</v>
      </c>
      <c r="C982" s="126">
        <v>0</v>
      </c>
    </row>
    <row r="983" spans="2:3" hidden="1">
      <c r="B983" s="126" t="s">
        <v>252</v>
      </c>
      <c r="C983" s="126">
        <v>0</v>
      </c>
    </row>
    <row r="984" spans="2:3" hidden="1">
      <c r="B984" s="126" t="s">
        <v>253</v>
      </c>
      <c r="C984" s="126">
        <v>0</v>
      </c>
    </row>
    <row r="985" spans="2:3" hidden="1">
      <c r="B985" s="126" t="s">
        <v>254</v>
      </c>
      <c r="C985" s="126">
        <v>0</v>
      </c>
    </row>
    <row r="986" spans="2:3" hidden="1">
      <c r="B986" s="126" t="s">
        <v>255</v>
      </c>
      <c r="C986" s="126">
        <v>0</v>
      </c>
    </row>
    <row r="987" spans="2:3" hidden="1">
      <c r="B987" s="126" t="s">
        <v>256</v>
      </c>
      <c r="C987" s="126">
        <v>0</v>
      </c>
    </row>
    <row r="988" spans="2:3" hidden="1">
      <c r="B988" s="126" t="s">
        <v>257</v>
      </c>
      <c r="C988" s="126">
        <v>0</v>
      </c>
    </row>
    <row r="989" spans="2:3" hidden="1">
      <c r="B989" s="126" t="s">
        <v>258</v>
      </c>
      <c r="C989" s="126">
        <v>0</v>
      </c>
    </row>
    <row r="990" spans="2:3" hidden="1">
      <c r="B990" s="126" t="s">
        <v>259</v>
      </c>
      <c r="C990" s="126">
        <v>0</v>
      </c>
    </row>
    <row r="991" spans="2:3" hidden="1">
      <c r="B991" s="126" t="s">
        <v>260</v>
      </c>
      <c r="C991" s="126" t="s">
        <v>237</v>
      </c>
    </row>
    <row r="992" spans="2:3" hidden="1">
      <c r="B992" s="126" t="s">
        <v>261</v>
      </c>
      <c r="C992" s="126" t="s">
        <v>243</v>
      </c>
    </row>
    <row r="993" spans="2:3" hidden="1">
      <c r="B993" s="126" t="s">
        <v>262</v>
      </c>
      <c r="C993" s="126">
        <v>0</v>
      </c>
    </row>
    <row r="994" spans="2:3" hidden="1">
      <c r="B994" s="126" t="s">
        <v>263</v>
      </c>
      <c r="C994" s="126">
        <v>0</v>
      </c>
    </row>
    <row r="995" spans="2:3" hidden="1">
      <c r="B995" s="126" t="s">
        <v>264</v>
      </c>
      <c r="C995" s="126">
        <v>0</v>
      </c>
    </row>
    <row r="996" spans="2:3" hidden="1">
      <c r="B996" s="126" t="s">
        <v>265</v>
      </c>
      <c r="C996" s="126">
        <v>0</v>
      </c>
    </row>
    <row r="997" spans="2:3" hidden="1">
      <c r="B997" s="126" t="s">
        <v>266</v>
      </c>
      <c r="C997" s="126">
        <v>0</v>
      </c>
    </row>
    <row r="998" spans="2:3" hidden="1">
      <c r="B998" s="126" t="s">
        <v>267</v>
      </c>
      <c r="C998" s="126">
        <v>0</v>
      </c>
    </row>
    <row r="999" spans="2:3" hidden="1">
      <c r="B999" s="126" t="s">
        <v>268</v>
      </c>
      <c r="C999" s="126">
        <v>0</v>
      </c>
    </row>
    <row r="1000" spans="2:3" hidden="1">
      <c r="B1000" s="126" t="s">
        <v>269</v>
      </c>
      <c r="C1000" s="126">
        <v>0</v>
      </c>
    </row>
    <row r="1001" spans="2:3" hidden="1">
      <c r="B1001" s="126" t="s">
        <v>270</v>
      </c>
      <c r="C1001" s="126">
        <v>0</v>
      </c>
    </row>
    <row r="1002" spans="2:3" hidden="1">
      <c r="B1002" s="126" t="s">
        <v>271</v>
      </c>
      <c r="C1002" s="126">
        <v>0</v>
      </c>
    </row>
    <row r="1003" spans="2:3" hidden="1">
      <c r="B1003" s="126" t="s">
        <v>272</v>
      </c>
      <c r="C1003" s="126">
        <v>0</v>
      </c>
    </row>
    <row r="1004" spans="2:3" hidden="1">
      <c r="B1004" s="126" t="s">
        <v>273</v>
      </c>
      <c r="C1004" s="126">
        <v>0</v>
      </c>
    </row>
    <row r="1005" spans="2:3" hidden="1">
      <c r="B1005" s="126" t="s">
        <v>274</v>
      </c>
      <c r="C1005" s="126">
        <v>0</v>
      </c>
    </row>
    <row r="1006" spans="2:3" hidden="1">
      <c r="B1006" s="126" t="s">
        <v>275</v>
      </c>
      <c r="C1006" s="126">
        <v>0</v>
      </c>
    </row>
    <row r="1007" spans="2:3" hidden="1">
      <c r="B1007" s="126" t="s">
        <v>276</v>
      </c>
      <c r="C1007" s="126">
        <v>1</v>
      </c>
    </row>
    <row r="1008" spans="2:3" hidden="1">
      <c r="B1008" s="126" t="s">
        <v>277</v>
      </c>
      <c r="C1008" s="126">
        <v>0</v>
      </c>
    </row>
    <row r="1009" spans="2:3" hidden="1">
      <c r="B1009" s="126" t="s">
        <v>278</v>
      </c>
      <c r="C1009" s="126">
        <v>0</v>
      </c>
    </row>
    <row r="1010" spans="2:3" hidden="1">
      <c r="B1010" s="126" t="s">
        <v>279</v>
      </c>
      <c r="C1010" s="126">
        <v>0</v>
      </c>
    </row>
    <row r="1011" spans="2:3" hidden="1">
      <c r="B1011" s="126" t="s">
        <v>280</v>
      </c>
      <c r="C1011" s="126">
        <v>0</v>
      </c>
    </row>
    <row r="1012" spans="2:3" hidden="1">
      <c r="B1012" s="126" t="s">
        <v>281</v>
      </c>
      <c r="C1012" s="126">
        <v>1</v>
      </c>
    </row>
    <row r="1013" spans="2:3" hidden="1">
      <c r="B1013" s="126" t="s">
        <v>282</v>
      </c>
      <c r="C1013" s="126">
        <v>0</v>
      </c>
    </row>
    <row r="1014" spans="2:3" hidden="1">
      <c r="B1014" s="126" t="s">
        <v>283</v>
      </c>
      <c r="C1014" s="126">
        <v>0</v>
      </c>
    </row>
    <row r="1015" spans="2:3" hidden="1">
      <c r="B1015" s="126" t="s">
        <v>284</v>
      </c>
      <c r="C1015" s="126">
        <v>0</v>
      </c>
    </row>
    <row r="1016" spans="2:3" hidden="1">
      <c r="B1016" s="126" t="s">
        <v>285</v>
      </c>
      <c r="C1016" s="126">
        <v>0</v>
      </c>
    </row>
    <row r="1017" spans="2:3" hidden="1">
      <c r="B1017" s="126" t="s">
        <v>286</v>
      </c>
      <c r="C1017" s="126">
        <v>0</v>
      </c>
    </row>
    <row r="1018" spans="2:3" hidden="1">
      <c r="B1018" s="126" t="s">
        <v>287</v>
      </c>
      <c r="C1018" s="126">
        <v>0</v>
      </c>
    </row>
    <row r="1019" spans="2:3" hidden="1">
      <c r="B1019" s="126" t="s">
        <v>288</v>
      </c>
      <c r="C1019" s="126">
        <v>0</v>
      </c>
    </row>
    <row r="1020" spans="2:3" hidden="1">
      <c r="B1020" s="126" t="s">
        <v>289</v>
      </c>
      <c r="C1020" s="126">
        <v>0</v>
      </c>
    </row>
    <row r="1021" spans="2:3" hidden="1">
      <c r="B1021" s="126" t="s">
        <v>290</v>
      </c>
      <c r="C1021" s="126">
        <v>0</v>
      </c>
    </row>
    <row r="1022" spans="2:3" hidden="1">
      <c r="B1022" s="126" t="s">
        <v>291</v>
      </c>
      <c r="C1022" s="126">
        <v>0</v>
      </c>
    </row>
    <row r="1023" spans="2:3" hidden="1">
      <c r="B1023" s="126" t="s">
        <v>292</v>
      </c>
      <c r="C1023" s="126">
        <v>0</v>
      </c>
    </row>
    <row r="1024" spans="2:3" hidden="1">
      <c r="B1024" s="126" t="s">
        <v>293</v>
      </c>
      <c r="C1024" s="126">
        <v>0</v>
      </c>
    </row>
    <row r="1025" spans="2:3" hidden="1">
      <c r="B1025" s="126" t="s">
        <v>294</v>
      </c>
      <c r="C1025" s="126">
        <v>0</v>
      </c>
    </row>
    <row r="1026" spans="2:3" hidden="1">
      <c r="B1026" s="126" t="s">
        <v>295</v>
      </c>
      <c r="C1026" s="126">
        <v>0</v>
      </c>
    </row>
    <row r="1027" spans="2:3" hidden="1">
      <c r="B1027" s="126" t="s">
        <v>296</v>
      </c>
      <c r="C1027" s="126">
        <v>0</v>
      </c>
    </row>
    <row r="1028" spans="2:3" hidden="1">
      <c r="B1028" s="126" t="s">
        <v>297</v>
      </c>
      <c r="C1028" s="126">
        <v>0</v>
      </c>
    </row>
    <row r="1029" spans="2:3" hidden="1">
      <c r="B1029" s="126" t="s">
        <v>298</v>
      </c>
      <c r="C1029" s="126">
        <v>0</v>
      </c>
    </row>
    <row r="1030" spans="2:3" hidden="1">
      <c r="B1030" s="126" t="s">
        <v>299</v>
      </c>
      <c r="C1030" s="126">
        <v>1</v>
      </c>
    </row>
    <row r="1031" spans="2:3" hidden="1">
      <c r="B1031" s="126" t="s">
        <v>300</v>
      </c>
      <c r="C1031" s="126">
        <v>0</v>
      </c>
    </row>
    <row r="1032" spans="2:3" hidden="1">
      <c r="B1032" s="126" t="s">
        <v>301</v>
      </c>
      <c r="C1032" s="126">
        <v>0</v>
      </c>
    </row>
    <row r="1033" spans="2:3" hidden="1">
      <c r="B1033" s="126" t="s">
        <v>302</v>
      </c>
      <c r="C1033" s="126">
        <v>0</v>
      </c>
    </row>
    <row r="1034" spans="2:3" hidden="1">
      <c r="B1034" s="126" t="s">
        <v>303</v>
      </c>
      <c r="C1034" s="126">
        <v>0</v>
      </c>
    </row>
    <row r="1035" spans="2:3" hidden="1">
      <c r="B1035" s="126" t="s">
        <v>304</v>
      </c>
      <c r="C1035" s="126">
        <v>0</v>
      </c>
    </row>
    <row r="1036" spans="2:3" hidden="1">
      <c r="B1036" s="126" t="s">
        <v>305</v>
      </c>
      <c r="C1036" s="126">
        <v>0</v>
      </c>
    </row>
    <row r="1037" spans="2:3" hidden="1">
      <c r="B1037" s="126" t="s">
        <v>306</v>
      </c>
      <c r="C1037" s="126">
        <v>0</v>
      </c>
    </row>
    <row r="1038" spans="2:3" hidden="1">
      <c r="B1038" s="126" t="s">
        <v>307</v>
      </c>
      <c r="C1038" s="126">
        <v>0</v>
      </c>
    </row>
    <row r="1039" spans="2:3" hidden="1">
      <c r="B1039" s="126" t="s">
        <v>308</v>
      </c>
      <c r="C1039" s="126">
        <v>0</v>
      </c>
    </row>
    <row r="1040" spans="2:3" hidden="1">
      <c r="B1040" s="126" t="s">
        <v>309</v>
      </c>
      <c r="C1040" s="126">
        <v>0</v>
      </c>
    </row>
    <row r="1041" spans="2:3" hidden="1">
      <c r="B1041" s="126" t="s">
        <v>310</v>
      </c>
      <c r="C1041" s="126">
        <v>0</v>
      </c>
    </row>
    <row r="1042" spans="2:3" hidden="1">
      <c r="B1042" s="126" t="s">
        <v>311</v>
      </c>
      <c r="C1042" s="126">
        <v>0</v>
      </c>
    </row>
    <row r="1043" spans="2:3" hidden="1">
      <c r="B1043" s="126" t="s">
        <v>312</v>
      </c>
      <c r="C1043" s="126">
        <v>0</v>
      </c>
    </row>
    <row r="1044" spans="2:3" hidden="1">
      <c r="B1044" s="126" t="s">
        <v>313</v>
      </c>
      <c r="C1044" s="126">
        <v>0</v>
      </c>
    </row>
    <row r="1045" spans="2:3" hidden="1">
      <c r="B1045" s="126" t="s">
        <v>314</v>
      </c>
      <c r="C1045" s="126">
        <v>0</v>
      </c>
    </row>
    <row r="1046" spans="2:3" hidden="1">
      <c r="B1046" s="126" t="s">
        <v>315</v>
      </c>
      <c r="C1046" s="126">
        <v>0</v>
      </c>
    </row>
    <row r="1047" spans="2:3" hidden="1">
      <c r="B1047" s="126" t="s">
        <v>316</v>
      </c>
      <c r="C1047" s="126">
        <v>0</v>
      </c>
    </row>
    <row r="1048" spans="2:3" hidden="1">
      <c r="B1048" s="126" t="s">
        <v>317</v>
      </c>
      <c r="C1048" s="126">
        <v>0</v>
      </c>
    </row>
    <row r="1049" spans="2:3" hidden="1">
      <c r="B1049" s="126" t="s">
        <v>318</v>
      </c>
      <c r="C1049" s="126">
        <v>0</v>
      </c>
    </row>
    <row r="1050" spans="2:3" hidden="1">
      <c r="B1050" s="126" t="s">
        <v>319</v>
      </c>
      <c r="C1050" s="126">
        <v>0</v>
      </c>
    </row>
    <row r="1051" spans="2:3" hidden="1">
      <c r="B1051" s="126" t="s">
        <v>320</v>
      </c>
      <c r="C1051" s="126">
        <v>0</v>
      </c>
    </row>
    <row r="1052" spans="2:3" hidden="1">
      <c r="B1052" s="126" t="s">
        <v>321</v>
      </c>
      <c r="C1052" s="126">
        <v>0</v>
      </c>
    </row>
    <row r="1053" spans="2:3" hidden="1">
      <c r="B1053" s="126" t="s">
        <v>322</v>
      </c>
      <c r="C1053" s="126">
        <v>0</v>
      </c>
    </row>
    <row r="1054" spans="2:3" hidden="1">
      <c r="B1054" s="126" t="s">
        <v>323</v>
      </c>
      <c r="C1054" s="126">
        <v>0</v>
      </c>
    </row>
    <row r="1055" spans="2:3" hidden="1">
      <c r="B1055" s="126" t="s">
        <v>324</v>
      </c>
      <c r="C1055" s="126">
        <v>0</v>
      </c>
    </row>
    <row r="1056" spans="2:3" hidden="1">
      <c r="B1056" s="126" t="s">
        <v>325</v>
      </c>
      <c r="C1056" s="126">
        <v>0</v>
      </c>
    </row>
    <row r="1057" spans="2:3" hidden="1">
      <c r="B1057" s="126" t="s">
        <v>326</v>
      </c>
      <c r="C1057" s="126">
        <v>0</v>
      </c>
    </row>
    <row r="1058" spans="2:3" hidden="1">
      <c r="B1058" s="126" t="s">
        <v>327</v>
      </c>
      <c r="C1058" s="126">
        <v>0</v>
      </c>
    </row>
    <row r="1059" spans="2:3" hidden="1">
      <c r="B1059" s="126" t="s">
        <v>328</v>
      </c>
      <c r="C1059" s="126">
        <v>0</v>
      </c>
    </row>
    <row r="1060" spans="2:3" hidden="1">
      <c r="B1060" s="126" t="s">
        <v>329</v>
      </c>
      <c r="C1060" s="126">
        <v>0</v>
      </c>
    </row>
    <row r="1061" spans="2:3" hidden="1">
      <c r="B1061" s="126" t="s">
        <v>330</v>
      </c>
      <c r="C1061" s="126">
        <v>0</v>
      </c>
    </row>
    <row r="1062" spans="2:3" hidden="1">
      <c r="B1062" s="126" t="s">
        <v>331</v>
      </c>
      <c r="C1062" s="126">
        <v>0</v>
      </c>
    </row>
    <row r="1063" spans="2:3" hidden="1">
      <c r="B1063" s="126" t="s">
        <v>332</v>
      </c>
      <c r="C1063" s="126">
        <v>0</v>
      </c>
    </row>
    <row r="1064" spans="2:3" hidden="1">
      <c r="B1064" s="126" t="s">
        <v>333</v>
      </c>
      <c r="C1064" s="126">
        <v>0</v>
      </c>
    </row>
    <row r="1065" spans="2:3" hidden="1">
      <c r="B1065" s="126" t="s">
        <v>334</v>
      </c>
      <c r="C1065" s="126">
        <v>0</v>
      </c>
    </row>
    <row r="1066" spans="2:3" hidden="1">
      <c r="B1066" s="126" t="s">
        <v>335</v>
      </c>
      <c r="C1066" s="126">
        <v>0</v>
      </c>
    </row>
    <row r="1067" spans="2:3" hidden="1">
      <c r="B1067" s="126" t="s">
        <v>336</v>
      </c>
      <c r="C1067" s="126">
        <v>0</v>
      </c>
    </row>
    <row r="1068" spans="2:3" hidden="1">
      <c r="B1068" s="126" t="s">
        <v>337</v>
      </c>
      <c r="C1068" s="126">
        <v>0</v>
      </c>
    </row>
    <row r="1069" spans="2:3" hidden="1">
      <c r="B1069" s="126" t="s">
        <v>338</v>
      </c>
      <c r="C1069" s="126">
        <v>0</v>
      </c>
    </row>
    <row r="1070" spans="2:3" hidden="1">
      <c r="B1070" s="126" t="s">
        <v>339</v>
      </c>
      <c r="C1070" s="126">
        <v>0</v>
      </c>
    </row>
    <row r="1071" spans="2:3" hidden="1">
      <c r="B1071" s="126" t="s">
        <v>340</v>
      </c>
      <c r="C1071" s="126">
        <v>0</v>
      </c>
    </row>
    <row r="1072" spans="2:3" hidden="1">
      <c r="B1072" s="126" t="s">
        <v>341</v>
      </c>
      <c r="C1072" s="126">
        <v>0</v>
      </c>
    </row>
  </sheetData>
  <sheetProtection sheet="1" objects="1" scenarios="1" selectLockedCells="1"/>
  <protectedRanges>
    <protectedRange sqref="F1 D8:E8 F18:F20 F25:F26" name="Grey edit cells"/>
  </protectedRanges>
  <mergeCells count="5">
    <mergeCell ref="B3:F3"/>
    <mergeCell ref="B54:C54"/>
    <mergeCell ref="B55:C55"/>
    <mergeCell ref="B57:C57"/>
    <mergeCell ref="B56:C56"/>
  </mergeCells>
  <conditionalFormatting sqref="B64:B65">
    <cfRule type="expression" dxfId="6" priority="36" stopIfTrue="1">
      <formula>MID($A63,1,4)="Rent"</formula>
    </cfRule>
  </conditionalFormatting>
  <conditionalFormatting sqref="B66:B69">
    <cfRule type="expression" dxfId="5" priority="38" stopIfTrue="1">
      <formula>MID($A64,1,4)="Rent"</formula>
    </cfRule>
  </conditionalFormatting>
  <conditionalFormatting sqref="B70">
    <cfRule type="expression" dxfId="4" priority="35" stopIfTrue="1">
      <formula>MID($A65,1,4)="Rent"</formula>
    </cfRule>
  </conditionalFormatting>
  <conditionalFormatting sqref="B71">
    <cfRule type="expression" dxfId="3" priority="1" stopIfTrue="1">
      <formula>MID($A72,1,4)="Rent"</formula>
    </cfRule>
  </conditionalFormatting>
  <conditionalFormatting sqref="C11:D11">
    <cfRule type="expression" dxfId="2" priority="7">
      <formula>$F$1="no"</formula>
    </cfRule>
  </conditionalFormatting>
  <conditionalFormatting sqref="C12:D21 C26:D27">
    <cfRule type="expression" dxfId="1" priority="33">
      <formula>$F$1="no"</formula>
    </cfRule>
  </conditionalFormatting>
  <conditionalFormatting sqref="C22:D22 D23 C24:D25">
    <cfRule type="expression" dxfId="0" priority="2">
      <formula>$F$1="No"</formula>
    </cfRule>
  </conditionalFormatting>
  <dataValidations count="1">
    <dataValidation type="list" allowBlank="1" showInputMessage="1" showErrorMessage="1" sqref="F1" xr:uid="{9F5BB59E-86F5-4ADC-A3A2-24392A23B84F}">
      <formula1>"Yes,No"</formula1>
    </dataValidation>
  </dataValidations>
  <pageMargins left="0.7" right="0.7" top="0.75" bottom="0.75" header="0.3" footer="0.3"/>
  <pageSetup scale="85" orientation="portrait" r:id="rId1"/>
  <headerFooter>
    <oddFooter>Page &amp;P&amp;R</oddFooter>
  </headerFooter>
  <ignoredErrors>
    <ignoredError sqref="F21:F24"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CCD0A-5280-46ED-A15F-CC45C972E160}">
  <dimension ref="A1:CW162"/>
  <sheetViews>
    <sheetView topLeftCell="AK1" workbookViewId="0">
      <selection activeCell="E26" sqref="E26"/>
    </sheetView>
  </sheetViews>
  <sheetFormatPr defaultColWidth="9" defaultRowHeight="14.25"/>
  <cols>
    <col min="1" max="1" width="2.875" style="5" customWidth="1"/>
    <col min="2" max="2" width="25.375" style="5" bestFit="1" customWidth="1"/>
    <col min="3" max="3" width="11.875" style="5" bestFit="1" customWidth="1"/>
    <col min="4" max="4" width="13" style="5" bestFit="1" customWidth="1"/>
    <col min="5" max="5" width="12.5" style="5" bestFit="1" customWidth="1"/>
    <col min="6" max="7" width="10" style="5" bestFit="1" customWidth="1"/>
    <col min="8" max="8" width="11.75" style="5" bestFit="1" customWidth="1"/>
    <col min="9" max="9" width="10.75" style="5" bestFit="1" customWidth="1"/>
    <col min="10" max="10" width="9.5" style="5" customWidth="1"/>
    <col min="11" max="11" width="45.75" style="5" customWidth="1"/>
    <col min="12" max="12" width="41.25" style="5" customWidth="1"/>
    <col min="13" max="22" width="10.625" style="5" customWidth="1"/>
    <col min="23" max="23" width="26.625" style="5" customWidth="1"/>
    <col min="24" max="34" width="10.625" style="5" customWidth="1"/>
    <col min="35" max="35" width="8" style="5" customWidth="1"/>
    <col min="36" max="36" width="15.125" style="5" customWidth="1"/>
    <col min="37" max="37" width="34.5" style="5" customWidth="1"/>
    <col min="38" max="38" width="9" style="5" customWidth="1"/>
    <col min="39" max="39" width="28.375" style="5" customWidth="1"/>
    <col min="40" max="40" width="11.25" style="5" customWidth="1"/>
    <col min="41" max="41" width="9" style="5" customWidth="1"/>
    <col min="42" max="42" width="9.125" style="5" customWidth="1"/>
    <col min="43" max="43" width="7.875" style="5" customWidth="1"/>
    <col min="44" max="45" width="9" style="5" customWidth="1"/>
    <col min="46" max="46" width="30.5" style="5" customWidth="1"/>
    <col min="47" max="47" width="10.625" style="5" customWidth="1"/>
    <col min="48" max="48" width="10.5" style="5" customWidth="1"/>
    <col min="49" max="49" width="11.5" style="5" customWidth="1"/>
    <col min="50" max="50" width="11.625" style="5" customWidth="1"/>
    <col min="51" max="51" width="11" style="5" customWidth="1"/>
    <col min="52" max="52" width="13.25" style="5" customWidth="1"/>
    <col min="53" max="53" width="11.875" style="5" customWidth="1"/>
    <col min="54" max="54" width="12" style="5" customWidth="1"/>
    <col min="55" max="55" width="9.75" style="5" customWidth="1"/>
    <col min="56" max="56" width="34.25" style="5" customWidth="1"/>
    <col min="57" max="57" width="19" style="5" customWidth="1"/>
    <col min="58" max="58" width="6.75" style="5" customWidth="1"/>
    <col min="59" max="60" width="9" style="5" customWidth="1"/>
    <col min="61" max="61" width="9.75" style="5" customWidth="1"/>
    <col min="62" max="66" width="9" style="5" customWidth="1"/>
    <col min="67" max="67" width="6.5" style="5" customWidth="1"/>
    <col min="68" max="68" width="3.625" style="5" customWidth="1"/>
    <col min="69" max="69" width="53.25" style="5" customWidth="1"/>
    <col min="70" max="70" width="9.5" style="5" customWidth="1"/>
    <col min="71" max="72" width="9" style="5" customWidth="1"/>
    <col min="73" max="73" width="61.75" style="5" customWidth="1"/>
    <col min="74" max="74" width="9.25" style="5" customWidth="1"/>
    <col min="75" max="79" width="9" style="5" customWidth="1"/>
    <col min="80" max="80" width="8.75" style="5" customWidth="1"/>
    <col min="81" max="81" width="12.375" style="5" customWidth="1"/>
    <col min="82" max="82" width="8.75" style="5" customWidth="1"/>
    <col min="83" max="83" width="10.5" style="5" customWidth="1"/>
    <col min="84" max="84" width="10" style="5" customWidth="1"/>
    <col min="85" max="89" width="8.75" style="5" customWidth="1"/>
    <col min="90" max="90" width="28.5" style="5" customWidth="1"/>
    <col min="91" max="92" width="10.5" style="5" customWidth="1"/>
    <col min="93" max="94" width="8.75" style="5" customWidth="1"/>
    <col min="95" max="95" width="10.5" style="5" customWidth="1"/>
    <col min="96" max="96" width="8.75" style="5" customWidth="1"/>
    <col min="97" max="97" width="9.375" style="5" customWidth="1"/>
    <col min="98" max="98" width="14.375" style="5" customWidth="1"/>
    <col min="99" max="99" width="8.75" style="5" customWidth="1"/>
    <col min="100" max="100" width="11" style="5" customWidth="1"/>
    <col min="101" max="101" width="11.875" style="5" customWidth="1"/>
    <col min="102" max="16384" width="9" style="5"/>
  </cols>
  <sheetData>
    <row r="1" spans="1:70">
      <c r="A1" s="72"/>
      <c r="K1" s="5" t="s">
        <v>384</v>
      </c>
    </row>
    <row r="2" spans="1:70">
      <c r="B2" s="118" t="s">
        <v>657</v>
      </c>
      <c r="C2" s="118"/>
      <c r="D2" s="118"/>
      <c r="E2" s="118"/>
      <c r="F2" s="118"/>
      <c r="G2" s="118"/>
      <c r="H2" s="118"/>
      <c r="I2" s="118"/>
      <c r="K2" s="6" t="s">
        <v>385</v>
      </c>
      <c r="L2" s="6"/>
    </row>
    <row r="3" spans="1:70">
      <c r="B3" s="119" t="s">
        <v>580</v>
      </c>
      <c r="C3" s="121" t="s">
        <v>581</v>
      </c>
      <c r="D3" s="121" t="s">
        <v>582</v>
      </c>
      <c r="E3" s="121" t="s">
        <v>583</v>
      </c>
      <c r="F3" s="69" t="s">
        <v>362</v>
      </c>
      <c r="G3" s="69" t="s">
        <v>363</v>
      </c>
      <c r="H3" s="69"/>
      <c r="I3" s="122" t="s">
        <v>584</v>
      </c>
      <c r="K3" s="5">
        <v>1</v>
      </c>
      <c r="L3" s="5">
        <v>2</v>
      </c>
      <c r="M3" s="5">
        <v>3</v>
      </c>
      <c r="N3" s="5">
        <v>4</v>
      </c>
      <c r="O3" s="5">
        <v>5</v>
      </c>
      <c r="P3" s="5">
        <v>6</v>
      </c>
      <c r="Q3" s="5">
        <v>7</v>
      </c>
      <c r="R3" s="5">
        <v>8</v>
      </c>
      <c r="S3" s="5">
        <v>9</v>
      </c>
      <c r="T3" s="5">
        <v>10</v>
      </c>
      <c r="U3" s="5">
        <v>11</v>
      </c>
      <c r="V3" s="5">
        <v>12</v>
      </c>
      <c r="W3" s="5">
        <v>13</v>
      </c>
      <c r="X3" s="5">
        <v>14</v>
      </c>
      <c r="Y3" s="5">
        <v>15</v>
      </c>
      <c r="Z3" s="5">
        <v>16</v>
      </c>
      <c r="AA3" s="5">
        <v>17</v>
      </c>
      <c r="AB3" s="5">
        <v>18</v>
      </c>
      <c r="AC3" s="5">
        <v>19</v>
      </c>
      <c r="AD3" s="5">
        <v>20</v>
      </c>
      <c r="AE3" s="5">
        <v>21</v>
      </c>
      <c r="AF3" s="5">
        <v>22</v>
      </c>
      <c r="AG3" s="5">
        <v>23</v>
      </c>
      <c r="AH3" s="5">
        <v>24</v>
      </c>
      <c r="AI3" s="5">
        <v>25</v>
      </c>
      <c r="AL3" s="5">
        <v>1</v>
      </c>
      <c r="AM3" s="5">
        <v>2</v>
      </c>
      <c r="AN3" s="5">
        <v>3</v>
      </c>
      <c r="AO3" s="5">
        <v>4</v>
      </c>
      <c r="AP3" s="5">
        <v>5</v>
      </c>
      <c r="AQ3" s="5">
        <v>6</v>
      </c>
      <c r="AR3" s="5">
        <v>7</v>
      </c>
      <c r="AS3" s="5">
        <v>8</v>
      </c>
      <c r="AT3" s="5">
        <v>9</v>
      </c>
      <c r="AU3" s="5">
        <v>10</v>
      </c>
      <c r="AV3" s="5">
        <v>11</v>
      </c>
      <c r="AW3" s="5">
        <v>12</v>
      </c>
      <c r="AX3" s="5">
        <v>13</v>
      </c>
      <c r="AY3" s="5">
        <v>14</v>
      </c>
      <c r="AZ3" s="5">
        <v>15</v>
      </c>
      <c r="BA3" s="5">
        <v>16</v>
      </c>
      <c r="BB3" s="5">
        <v>17</v>
      </c>
      <c r="BC3" s="5">
        <v>18</v>
      </c>
      <c r="BE3" s="5" t="s">
        <v>386</v>
      </c>
      <c r="BQ3" s="5" t="s">
        <v>387</v>
      </c>
    </row>
    <row r="4" spans="1:70">
      <c r="B4" s="120"/>
      <c r="C4" s="118"/>
      <c r="D4" s="118"/>
      <c r="E4" s="118"/>
      <c r="F4" s="70" t="s">
        <v>367</v>
      </c>
      <c r="G4" s="70" t="s">
        <v>367</v>
      </c>
      <c r="H4" s="70" t="s">
        <v>595</v>
      </c>
      <c r="I4" s="123"/>
      <c r="J4" s="82"/>
      <c r="K4" s="8" t="s">
        <v>388</v>
      </c>
      <c r="AL4" s="9" t="s">
        <v>594</v>
      </c>
      <c r="AN4" s="10"/>
      <c r="AO4" s="11"/>
      <c r="AP4" s="10"/>
      <c r="AQ4" s="12"/>
      <c r="AR4" s="10"/>
      <c r="AS4" s="13"/>
      <c r="AT4" s="14"/>
      <c r="AU4" s="13"/>
      <c r="AV4" s="13"/>
      <c r="BE4" s="8" t="s">
        <v>389</v>
      </c>
      <c r="BQ4" s="8" t="s">
        <v>389</v>
      </c>
    </row>
    <row r="5" spans="1:70" ht="28.5" customHeight="1">
      <c r="B5" s="1"/>
      <c r="C5" s="1"/>
      <c r="D5" s="71" t="s">
        <v>627</v>
      </c>
      <c r="E5" s="71" t="s">
        <v>628</v>
      </c>
      <c r="F5" s="71" t="s">
        <v>629</v>
      </c>
      <c r="G5" s="71" t="s">
        <v>629</v>
      </c>
      <c r="H5" s="71" t="s">
        <v>631</v>
      </c>
      <c r="I5" s="71" t="s">
        <v>630</v>
      </c>
      <c r="J5" s="83"/>
      <c r="K5" s="15" t="s">
        <v>390</v>
      </c>
      <c r="L5" s="15" t="s">
        <v>391</v>
      </c>
      <c r="M5" s="15" t="s">
        <v>392</v>
      </c>
      <c r="N5" s="15" t="s">
        <v>393</v>
      </c>
      <c r="O5" s="15" t="s">
        <v>394</v>
      </c>
      <c r="P5" s="15" t="s">
        <v>395</v>
      </c>
      <c r="Q5" s="15" t="s">
        <v>396</v>
      </c>
      <c r="R5" s="15" t="s">
        <v>397</v>
      </c>
      <c r="S5" s="15" t="s">
        <v>398</v>
      </c>
      <c r="T5" s="15" t="s">
        <v>399</v>
      </c>
      <c r="U5" s="15" t="s">
        <v>400</v>
      </c>
      <c r="V5" s="15" t="s">
        <v>401</v>
      </c>
      <c r="W5" s="15" t="s">
        <v>402</v>
      </c>
      <c r="X5" s="15" t="s">
        <v>403</v>
      </c>
      <c r="Y5" s="15" t="s">
        <v>404</v>
      </c>
      <c r="Z5" s="15" t="s">
        <v>405</v>
      </c>
      <c r="AA5" s="15" t="s">
        <v>406</v>
      </c>
      <c r="AB5" s="15" t="s">
        <v>407</v>
      </c>
      <c r="AC5" s="15" t="s">
        <v>408</v>
      </c>
      <c r="AD5" s="15" t="s">
        <v>409</v>
      </c>
      <c r="AE5" s="15" t="s">
        <v>410</v>
      </c>
      <c r="AF5" s="15" t="s">
        <v>411</v>
      </c>
      <c r="AG5" s="15" t="s">
        <v>412</v>
      </c>
      <c r="AH5" s="15" t="s">
        <v>413</v>
      </c>
      <c r="AI5" s="15" t="s">
        <v>414</v>
      </c>
      <c r="AJ5" s="85" t="s">
        <v>613</v>
      </c>
      <c r="AK5" s="12"/>
      <c r="AL5" s="16" t="s">
        <v>415</v>
      </c>
      <c r="AM5" s="17" t="s">
        <v>416</v>
      </c>
      <c r="AN5" s="17" t="s">
        <v>417</v>
      </c>
      <c r="AO5" s="18" t="s">
        <v>396</v>
      </c>
      <c r="AP5" s="18" t="s">
        <v>397</v>
      </c>
      <c r="AQ5" s="18" t="s">
        <v>398</v>
      </c>
      <c r="AR5" s="18" t="s">
        <v>399</v>
      </c>
      <c r="AS5" s="18" t="s">
        <v>400</v>
      </c>
      <c r="AT5" s="19" t="s">
        <v>418</v>
      </c>
      <c r="AU5" s="16" t="s">
        <v>402</v>
      </c>
      <c r="AV5" s="18" t="s">
        <v>406</v>
      </c>
      <c r="AW5" s="18" t="s">
        <v>407</v>
      </c>
      <c r="AX5" s="18" t="s">
        <v>408</v>
      </c>
      <c r="AY5" s="18" t="s">
        <v>419</v>
      </c>
      <c r="AZ5" s="18" t="s">
        <v>420</v>
      </c>
      <c r="BA5" s="18" t="s">
        <v>421</v>
      </c>
      <c r="BB5" s="18" t="s">
        <v>422</v>
      </c>
      <c r="BC5" s="18" t="s">
        <v>423</v>
      </c>
      <c r="BE5" s="16" t="s">
        <v>424</v>
      </c>
      <c r="BF5" s="18" t="s">
        <v>425</v>
      </c>
      <c r="BG5" s="18" t="s">
        <v>426</v>
      </c>
      <c r="BH5" s="18" t="s">
        <v>427</v>
      </c>
      <c r="BI5" s="18" t="s">
        <v>428</v>
      </c>
      <c r="BJ5" s="18" t="s">
        <v>429</v>
      </c>
      <c r="BK5" s="18" t="s">
        <v>430</v>
      </c>
      <c r="BL5" s="18" t="s">
        <v>431</v>
      </c>
      <c r="BM5" s="18" t="s">
        <v>432</v>
      </c>
      <c r="BN5" s="18" t="s">
        <v>433</v>
      </c>
      <c r="BO5" s="18" t="s">
        <v>434</v>
      </c>
      <c r="BQ5" s="16" t="s">
        <v>435</v>
      </c>
      <c r="BR5" s="18" t="s">
        <v>436</v>
      </c>
    </row>
    <row r="6" spans="1:70">
      <c r="B6" s="6" t="s">
        <v>664</v>
      </c>
      <c r="C6" s="6" t="s">
        <v>592</v>
      </c>
      <c r="D6" s="72">
        <f>IF(ISBLANK(C6),"",VLOOKUP(C6,Power1[],17,FALSE)*VLOOKUP(B6,Implements7[],23,FALSE))</f>
        <v>0.63380952380952371</v>
      </c>
      <c r="E6" s="72">
        <f>IF(ISBLANK(B6),"",VLOOKUP(B6,Implements7[],23,FALSE)*VLOOKUP(B6,Implements7[],16,FALSE))</f>
        <v>8.3482142857142852E-2</v>
      </c>
      <c r="F6" s="73">
        <f>IF(ISBLANK(C6),"",D6*$BR$10+E6*$BR$6+VLOOKUP(C6,Power1[],16,FALSE)+VLOOKUP(B6,Implements7[],22,FALSE))</f>
        <v>11.433998842344574</v>
      </c>
      <c r="G6" s="72">
        <f>IF(ISBLANK(B6),"",VLOOKUP(B6,Implements7[],24,FALSE)+VLOOKUP(C6,Power1[],18,FALSE)*VLOOKUP(B6,Implements7[],23,FALSE))</f>
        <v>9.6306540886643663</v>
      </c>
      <c r="H6" s="103">
        <v>2</v>
      </c>
      <c r="I6" s="73">
        <f>IF(ISBLANK(B6),"",SUM(F6:G6)*H6)</f>
        <v>42.12930586201788</v>
      </c>
      <c r="J6" s="83"/>
      <c r="K6" s="5" t="str">
        <f>Implements7[[#This Row],[Implement type]]&amp;", "&amp;Implements7[[#This Row],[Width]]&amp;" "&amp;Implements7[[#This Row],[Width Unit]]</f>
        <v>Front end loader, tractor mounted, 50 Ft</v>
      </c>
      <c r="L6" s="51" t="s">
        <v>590</v>
      </c>
      <c r="M6" s="22">
        <v>50</v>
      </c>
      <c r="N6" s="21" t="s">
        <v>438</v>
      </c>
      <c r="O6" s="22"/>
      <c r="P6" s="21"/>
      <c r="Q6" s="23">
        <v>19400</v>
      </c>
      <c r="R6" s="24">
        <v>0.15</v>
      </c>
      <c r="S6" s="25">
        <f t="shared" ref="S6:S38" si="0">Q6/(1-R6)</f>
        <v>22823.529411764706</v>
      </c>
      <c r="T6" s="22">
        <v>12</v>
      </c>
      <c r="U6" s="22">
        <v>50</v>
      </c>
      <c r="V6" s="26">
        <f t="shared" ref="V6:V38" si="1">IF(AND(X6&lt;&gt;0,Y6&lt;&gt;0),U6*(M6*X6*Y6)/8.25,U6*M6)</f>
        <v>1939.3939393939395</v>
      </c>
      <c r="W6" s="22" t="s">
        <v>527</v>
      </c>
      <c r="X6" s="22">
        <v>8</v>
      </c>
      <c r="Y6" s="24">
        <v>0.8</v>
      </c>
      <c r="Z6" s="24">
        <v>1.02</v>
      </c>
      <c r="AA6" s="22">
        <v>30</v>
      </c>
      <c r="AB6"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6" s="46">
        <f>Implements7[[#This Row],[TradeIn%]]*Implements7[[#This Row],[PriceL]]</f>
        <v>6711.7343753870919</v>
      </c>
      <c r="AD6" s="47">
        <f>(Implements7[[#This Row],[PriceP]]-Implements7[[#This Row],[TradeIn$]])/Implements7[[#This Row],[Life (yr)]]/Implements7[[#This Row],[Use (ac/yr)]]</f>
        <v>0.54519891355758587</v>
      </c>
      <c r="AE6" s="78">
        <f>((Implements7[[#This Row],[PriceP]]+Implements7[[#This Row],[TradeIn$]])/2*($BR$7+$BR$8+$BR$9)+Implements7[[#This Row],[Shed (ft^2)]]*$BR$12)/Implements7[[#This Row],[Use (ac/yr)]]</f>
        <v>0.44247025727101957</v>
      </c>
      <c r="AF6" s="48">
        <f>Implements7[[#This Row],[PriceL]]*(VLOOKUP(Implements7[[#This Row],[ASABEtype]],ASABECoefficients[],2)*(Implements7[[#This Row],[Life (yr)]]*Implements7[[#This Row],[Use (hr/yr)]]/1000)^VLOOKUP(Implements7[[#This Row],[ASABEtype]],ASABECoefficients[],3))/Implements7[[#This Row],[Life (yr)]]/Implements7[[#This Row],[Use (ac/yr)]]</f>
        <v>8.1544785745267467E-2</v>
      </c>
      <c r="AG6" s="7">
        <f>$BR$18/(Implements7[[#This Row],[Width]]*Implements7[[#This Row],[Speed]]*Implements7[[#This Row],[Efficiency]])</f>
        <v>2.5781249999999999E-2</v>
      </c>
      <c r="AH6" s="32">
        <f>SUM(Implements7[[#This Row],[Depr ($/ac)]:[OH ($/ac)]])</f>
        <v>0.98766917082860539</v>
      </c>
      <c r="AI6" s="32"/>
      <c r="AJ6" s="5" t="s">
        <v>619</v>
      </c>
      <c r="AK6" s="32"/>
      <c r="AL6" s="34" t="str">
        <f t="shared" ref="AL6:AL23" si="2">CONCATENATE(AM6&amp;" "&amp;AN6)</f>
        <v>40 HP TWD</v>
      </c>
      <c r="AM6" s="35">
        <v>40</v>
      </c>
      <c r="AN6" s="22" t="s">
        <v>607</v>
      </c>
      <c r="AO6" s="23">
        <v>33000</v>
      </c>
      <c r="AP6" s="24">
        <v>0</v>
      </c>
      <c r="AQ6" s="84">
        <f t="shared" ref="AQ6:AQ23" si="3">AO6/(1-AP6)</f>
        <v>33000</v>
      </c>
      <c r="AR6" s="22">
        <v>12</v>
      </c>
      <c r="AS6" s="22">
        <v>400</v>
      </c>
      <c r="AT6" s="22">
        <v>4.3999999999999997E-2</v>
      </c>
      <c r="AU6" s="22" t="s">
        <v>439</v>
      </c>
      <c r="AV6" s="22">
        <v>92</v>
      </c>
      <c r="AW6"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0.50000827367939404</v>
      </c>
      <c r="AX6" s="37">
        <f>Power1[[#This Row],[TradeIn%]]*Power1[[#This Row],[PriceL]]</f>
        <v>16500.273031420002</v>
      </c>
      <c r="AY6" s="38">
        <f>(Power1[[#This Row],[PriceP]]-Power1[[#This Row],[TradeIn$]])/Power1[[#This Row],[Life (yr)]]/Power1[[#This Row],[Use (hr/yr)]]</f>
        <v>3.4374431184541665</v>
      </c>
      <c r="AZ6" s="39">
        <f>((Power1[[#This Row],[PriceP]]+Power1[[#This Row],[TradeIn$]])/2*($BR$7+$BR$8+$BR$9)+Power1[[#This Row],[Shed (ft^2)]]*$BR$12)/Power1[[#This Row],[Use (hr/yr)]]</f>
        <v>4.15200453339693</v>
      </c>
      <c r="BA6" s="40">
        <f>Power1[[#This Row],[PriceL]]*(VLOOKUP(Power1[[#This Row],[ASABEtype]],ASABECoefficients[],2)*(Power1[[#This Row],[Life (yr)]]*Power1[[#This Row],[Use (hr/yr)]]/1000)^VLOOKUP(Power1[[#This Row],[ASABEtype]],ASABECoefficients[],3))/Power1[[#This Row],[Life (yr)]]/Power1[[#This Row],[Use (hr/yr)]]</f>
        <v>1.1088</v>
      </c>
      <c r="BB6" s="41">
        <f>Power1[[#This Row],[Fuel (gal/hph)]]*Power1[[#This Row],[HP]]*(1+$BR$11)</f>
        <v>1.9359999999999999</v>
      </c>
      <c r="BC6" s="39">
        <f t="shared" ref="BC6:BC23" si="4">SUM(AY6:AZ6)</f>
        <v>7.5894476518510965</v>
      </c>
      <c r="BE6" s="13" t="s">
        <v>440</v>
      </c>
      <c r="BF6" s="43">
        <v>0.2</v>
      </c>
      <c r="BG6" s="43">
        <v>1.6</v>
      </c>
      <c r="BH6" s="43">
        <v>2000</v>
      </c>
      <c r="BI6" s="43">
        <v>0.85540000000000005</v>
      </c>
      <c r="BJ6" s="43">
        <v>0.1177</v>
      </c>
      <c r="BK6" s="43">
        <v>0</v>
      </c>
      <c r="BL6" s="43">
        <v>2.8999999999999998E-3</v>
      </c>
      <c r="BM6" s="10">
        <f t="shared" ref="BM6:BM47" si="5">BN6^2</f>
        <v>1.6230760000000004E-2</v>
      </c>
      <c r="BN6" s="43">
        <v>0.12740000000000001</v>
      </c>
      <c r="BO6" s="44"/>
      <c r="BQ6" s="13" t="s">
        <v>441</v>
      </c>
      <c r="BR6" s="102">
        <v>17.309999999999999</v>
      </c>
    </row>
    <row r="7" spans="1:70">
      <c r="B7" s="6" t="s">
        <v>672</v>
      </c>
      <c r="C7" s="6" t="s">
        <v>592</v>
      </c>
      <c r="D7" s="72">
        <f>IF(ISBLANK(C7),"",VLOOKUP(C7,Power1[],17,FALSE)*VLOOKUP(B7,Implements7[],23,FALSE))</f>
        <v>0.63380952380952371</v>
      </c>
      <c r="E7" s="72">
        <f>IF(ISBLANK(B7),"",VLOOKUP(B7,Implements7[],23,FALSE)*VLOOKUP(B7,Implements7[],16,FALSE))</f>
        <v>8.3482142857142852E-2</v>
      </c>
      <c r="F7" s="73">
        <f>IF(ISBLANK(C7),"",D7*$BR$10+E7*$BR$6+VLOOKUP(C7,Power1[],16,FALSE)+VLOOKUP(B7,Implements7[],22,FALSE))</f>
        <v>10.806929992609799</v>
      </c>
      <c r="G7" s="72">
        <f>IF(ISBLANK(B7),"",VLOOKUP(B7,Implements7[],24,FALSE)+VLOOKUP(C7,Power1[],18,FALSE)*VLOOKUP(B7,Implements7[],23,FALSE))</f>
        <v>9.5107068310335396</v>
      </c>
      <c r="H7" s="103">
        <v>1</v>
      </c>
      <c r="I7" s="73">
        <f>IF(ISBLANK(B7),"",SUM(F7:G7)*H7)</f>
        <v>20.31763682364334</v>
      </c>
      <c r="J7" s="71"/>
      <c r="K7" s="5" t="str">
        <f>Implements7[[#This Row],[Implement type]]&amp;", "&amp;Implements7[[#This Row],[Width]]&amp;" "&amp;Implements7[[#This Row],[Width Unit]]</f>
        <v>Anhydrous applicator, 21 Ft Folding</v>
      </c>
      <c r="L7" s="51" t="s">
        <v>604</v>
      </c>
      <c r="M7" s="22">
        <v>21</v>
      </c>
      <c r="N7" s="21" t="str">
        <f t="shared" ref="N7:N14" si="6">IF(M7&gt;15,"Ft Folding","Ft")</f>
        <v>Ft Folding</v>
      </c>
      <c r="O7" s="22"/>
      <c r="P7" s="51"/>
      <c r="Q7" s="23">
        <v>41000</v>
      </c>
      <c r="R7" s="24">
        <v>0.15</v>
      </c>
      <c r="S7" s="25">
        <f t="shared" si="0"/>
        <v>48235.294117647063</v>
      </c>
      <c r="T7" s="22">
        <v>12</v>
      </c>
      <c r="U7" s="22">
        <v>100</v>
      </c>
      <c r="V7" s="26">
        <f t="shared" si="1"/>
        <v>979.99999999999989</v>
      </c>
      <c r="W7" s="22" t="s">
        <v>465</v>
      </c>
      <c r="X7" s="22">
        <v>5.5</v>
      </c>
      <c r="Y7" s="24">
        <v>0.7</v>
      </c>
      <c r="Z7" s="24">
        <v>1.1499999999999999</v>
      </c>
      <c r="AA7" s="22">
        <v>180</v>
      </c>
      <c r="AB7"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0.31452774341473483</v>
      </c>
      <c r="AC7" s="46">
        <f>Implements7[[#This Row],[TradeIn%]]*Implements7[[#This Row],[PriceL]]</f>
        <v>15171.338211769564</v>
      </c>
      <c r="AD7" s="47">
        <f>(Implements7[[#This Row],[PriceP]]-Implements7[[#This Row],[TradeIn$]])/Implements7[[#This Row],[Life (yr)]]/Implements7[[#This Row],[Use (ac/yr)]]</f>
        <v>2.1963147779107515</v>
      </c>
      <c r="AE7" s="78">
        <f>((Implements7[[#This Row],[PriceP]]+Implements7[[#This Row],[TradeIn$]])/2*($BR$7+$BR$8+$BR$9)+Implements7[[#This Row],[Shed (ft^2)]]*$BR$12)/Implements7[[#This Row],[Use (ac/yr)]]</f>
        <v>1.9978565322381607</v>
      </c>
      <c r="AF7" s="48">
        <f>Implements7[[#This Row],[PriceL]]*(VLOOKUP(Implements7[[#This Row],[ASABEtype]],ASABECoefficients[],2)*(Implements7[[#This Row],[Life (yr)]]*Implements7[[#This Row],[Use (hr/yr)]]/1000)^VLOOKUP(Implements7[[#This Row],[ASABEtype]],ASABECoefficients[],3))/Implements7[[#This Row],[Life (yr)]]/Implements7[[#This Row],[Use (ac/yr)]]</f>
        <v>3.2751694819671116</v>
      </c>
      <c r="AG7" s="7">
        <f>$BR$18/(Implements7[[#This Row],[Width]]*Implements7[[#This Row],[Speed]]*Implements7[[#This Row],[Efficiency]])</f>
        <v>0.10204081632653061</v>
      </c>
      <c r="AH7" s="32">
        <f>SUM(Implements7[[#This Row],[Depr ($/ac)]:[OH ($/ac)]])</f>
        <v>4.1941713101489118</v>
      </c>
      <c r="AI7" s="32"/>
      <c r="AJ7" s="5" t="s">
        <v>622</v>
      </c>
      <c r="AK7" s="32"/>
      <c r="AL7" s="34" t="str">
        <f t="shared" si="2"/>
        <v>60 HP TWD</v>
      </c>
      <c r="AM7" s="35">
        <v>60</v>
      </c>
      <c r="AN7" s="22" t="s">
        <v>607</v>
      </c>
      <c r="AO7" s="23">
        <v>37000</v>
      </c>
      <c r="AP7" s="24">
        <v>0</v>
      </c>
      <c r="AQ7" s="84">
        <f t="shared" si="3"/>
        <v>37000</v>
      </c>
      <c r="AR7" s="22">
        <v>12</v>
      </c>
      <c r="AS7" s="22">
        <v>400</v>
      </c>
      <c r="AT7" s="22">
        <v>4.3999999999999997E-2</v>
      </c>
      <c r="AU7" s="22" t="s">
        <v>439</v>
      </c>
      <c r="AV7" s="22">
        <v>104</v>
      </c>
      <c r="AW7"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0.50000827367939404</v>
      </c>
      <c r="AX7" s="37">
        <f>Power1[[#This Row],[TradeIn%]]*Power1[[#This Row],[PriceL]]</f>
        <v>18500.306126137581</v>
      </c>
      <c r="AY7" s="39">
        <f>(Power1[[#This Row],[PriceP]]-Power1[[#This Row],[TradeIn$]])/Power1[[#This Row],[Life (yr)]]/Power1[[#This Row],[Use (hr/yr)]]</f>
        <v>3.8541028903880039</v>
      </c>
      <c r="AZ7" s="39">
        <f>((Power1[[#This Row],[PriceP]]+Power1[[#This Row],[TradeIn$]])/2*($BR$7+$BR$8+$BR$9)+Power1[[#This Row],[Shed (ft^2)]]*$BR$12)/Power1[[#This Row],[Use (hr/yr)]]</f>
        <v>4.6573337291850905</v>
      </c>
      <c r="BA7" s="42">
        <f>Power1[[#This Row],[PriceL]]*(VLOOKUP(Power1[[#This Row],[ASABEtype]],ASABECoefficients[],2)*(Power1[[#This Row],[Life (yr)]]*Power1[[#This Row],[Use (hr/yr)]]/1000)^VLOOKUP(Power1[[#This Row],[ASABEtype]],ASABECoefficients[],3))/Power1[[#This Row],[Life (yr)]]/Power1[[#This Row],[Use (hr/yr)]]</f>
        <v>1.2432000000000001</v>
      </c>
      <c r="BB7" s="41">
        <f>Power1[[#This Row],[Fuel (gal/hph)]]*Power1[[#This Row],[HP]]*(1+$BR$11)</f>
        <v>2.9039999999999999</v>
      </c>
      <c r="BC7" s="39">
        <f t="shared" si="4"/>
        <v>8.5114366195730948</v>
      </c>
      <c r="BE7" s="13" t="s">
        <v>442</v>
      </c>
      <c r="BF7" s="43">
        <v>0.2</v>
      </c>
      <c r="BG7" s="43">
        <v>1.6</v>
      </c>
      <c r="BH7" s="43">
        <v>2000</v>
      </c>
      <c r="BI7" s="43">
        <v>0.71940000000000004</v>
      </c>
      <c r="BJ7" s="43">
        <v>0.11020000000000001</v>
      </c>
      <c r="BK7" s="43">
        <v>0</v>
      </c>
      <c r="BL7" s="43">
        <v>3.0000000000000001E-3</v>
      </c>
      <c r="BM7" s="10">
        <f t="shared" si="5"/>
        <v>1.4713690000000001E-2</v>
      </c>
      <c r="BN7" s="43">
        <v>0.12130000000000001</v>
      </c>
      <c r="BO7" s="44"/>
      <c r="BQ7" s="10" t="s">
        <v>443</v>
      </c>
      <c r="BR7" s="49">
        <v>0.05</v>
      </c>
    </row>
    <row r="8" spans="1:70">
      <c r="B8" s="6" t="s">
        <v>665</v>
      </c>
      <c r="C8" s="6" t="s">
        <v>608</v>
      </c>
      <c r="D8" s="72">
        <f>IF(ISBLANK(C8),"",VLOOKUP(C8,Power1[],17,FALSE)*VLOOKUP(B8,Implements7[],23,FALSE))</f>
        <v>0.53477678571428566</v>
      </c>
      <c r="E8" s="72">
        <f>IF(ISBLANK(B8),"",VLOOKUP(B8,Implements7[],23,FALSE)*VLOOKUP(B8,Implements7[],16,FALSE))</f>
        <v>0.16352678571428572</v>
      </c>
      <c r="F8" s="73">
        <f>IF(ISBLANK(C8),"",D8*$BR$10+E8*$BR$6+VLOOKUP(C8,Power1[],16,FALSE)+VLOOKUP(B8,Implements7[],22,FALSE))</f>
        <v>8.5860162939406948</v>
      </c>
      <c r="G8" s="72">
        <f>IF(ISBLANK(B8),"",VLOOKUP(B8,Implements7[],24,FALSE)+VLOOKUP(C8,Power1[],18,FALSE)*VLOOKUP(B8,Implements7[],23,FALSE))</f>
        <v>8.3174800511022582</v>
      </c>
      <c r="H8" s="103">
        <v>1</v>
      </c>
      <c r="I8" s="73">
        <f>IF(ISBLANK(B8),"",SUM(F8:G8)*H8)</f>
        <v>16.903496345042953</v>
      </c>
      <c r="J8" s="73"/>
      <c r="K8" s="5" t="str">
        <f>Implements7[[#This Row],[Implement type]]&amp;", "&amp;Implements7[[#This Row],[Width]]&amp;" "&amp;Implements7[[#This Row],[Width Unit]]</f>
        <v>Anhydrous applicator, 36 Ft Folding</v>
      </c>
      <c r="L8" s="51" t="s">
        <v>604</v>
      </c>
      <c r="M8" s="22">
        <v>36</v>
      </c>
      <c r="N8" s="21" t="str">
        <f t="shared" si="6"/>
        <v>Ft Folding</v>
      </c>
      <c r="O8" s="22"/>
      <c r="P8" s="51"/>
      <c r="Q8" s="23">
        <v>54000</v>
      </c>
      <c r="R8" s="24">
        <v>0.15</v>
      </c>
      <c r="S8" s="25">
        <f t="shared" si="0"/>
        <v>63529.411764705881</v>
      </c>
      <c r="T8" s="22">
        <v>12</v>
      </c>
      <c r="U8" s="22">
        <v>100</v>
      </c>
      <c r="V8" s="26">
        <f t="shared" si="1"/>
        <v>1680</v>
      </c>
      <c r="W8" s="22" t="s">
        <v>465</v>
      </c>
      <c r="X8" s="22">
        <v>5.5</v>
      </c>
      <c r="Y8" s="24">
        <v>0.7</v>
      </c>
      <c r="Z8" s="24">
        <v>1.1499999999999999</v>
      </c>
      <c r="AA8" s="22">
        <v>200</v>
      </c>
      <c r="AB8"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0.31452774341473483</v>
      </c>
      <c r="AC8" s="46">
        <f>Implements7[[#This Row],[TradeIn%]]*Implements7[[#This Row],[PriceL]]</f>
        <v>19981.762522818448</v>
      </c>
      <c r="AD8" s="47">
        <f>(Implements7[[#This Row],[PriceP]]-Implements7[[#This Row],[TradeIn$]])/Implements7[[#This Row],[Life (yr)]]/Implements7[[#This Row],[Use (ac/yr)]]</f>
        <v>1.6874125732728944</v>
      </c>
      <c r="AE8" s="78">
        <f>((Implements7[[#This Row],[PriceP]]+Implements7[[#This Row],[TradeIn$]])/2*($BR$7+$BR$8+$BR$9)+Implements7[[#This Row],[Shed (ft^2)]]*$BR$12)/Implements7[[#This Row],[Use (ac/yr)]]</f>
        <v>1.5135504480550599</v>
      </c>
      <c r="AF8" s="48">
        <f>Implements7[[#This Row],[PriceL]]*(VLOOKUP(Implements7[[#This Row],[ASABEtype]],ASABECoefficients[],2)*(Implements7[[#This Row],[Life (yr)]]*Implements7[[#This Row],[Use (hr/yr)]]/1000)^VLOOKUP(Implements7[[#This Row],[ASABEtype]],ASABECoefficients[],3))/Implements7[[#This Row],[Life (yr)]]/Implements7[[#This Row],[Use (ac/yr)]]</f>
        <v>2.5162887483405858</v>
      </c>
      <c r="AG8" s="7">
        <f>$BR$18/(Implements7[[#This Row],[Width]]*Implements7[[#This Row],[Speed]]*Implements7[[#This Row],[Efficiency]])</f>
        <v>5.9523809523809527E-2</v>
      </c>
      <c r="AH8" s="32">
        <f>SUM(Implements7[[#This Row],[Depr ($/ac)]:[OH ($/ac)]])</f>
        <v>3.2009630213279543</v>
      </c>
      <c r="AI8" s="32"/>
      <c r="AJ8" s="5" t="s">
        <v>622</v>
      </c>
      <c r="AK8" s="32"/>
      <c r="AL8" s="34" t="str">
        <f t="shared" si="2"/>
        <v>75 HP TWD</v>
      </c>
      <c r="AM8" s="35">
        <v>75</v>
      </c>
      <c r="AN8" s="22" t="s">
        <v>607</v>
      </c>
      <c r="AO8" s="23">
        <v>65000</v>
      </c>
      <c r="AP8" s="24">
        <v>0.05</v>
      </c>
      <c r="AQ8" s="84">
        <f t="shared" si="3"/>
        <v>68421.052631578947</v>
      </c>
      <c r="AR8" s="22">
        <v>12</v>
      </c>
      <c r="AS8" s="22">
        <v>400</v>
      </c>
      <c r="AT8" s="22">
        <v>4.3999999999999997E-2</v>
      </c>
      <c r="AU8" s="22" t="s">
        <v>439</v>
      </c>
      <c r="AV8" s="22">
        <v>115</v>
      </c>
      <c r="AW8"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0.50000827367939404</v>
      </c>
      <c r="AX8" s="37">
        <f>Power1[[#This Row],[TradeIn%]]*Power1[[#This Row],[PriceL]]</f>
        <v>34211.092409642748</v>
      </c>
      <c r="AY8" s="39">
        <f>(Power1[[#This Row],[PriceP]]-Power1[[#This Row],[TradeIn$]])/Power1[[#This Row],[Life (yr)]]/Power1[[#This Row],[Use (hr/yr)]]</f>
        <v>6.4143557479910944</v>
      </c>
      <c r="AZ8" s="39">
        <f>((Power1[[#This Row],[PriceP]]+Power1[[#This Row],[TradeIn$]])/2*($BR$7+$BR$8+$BR$9)+Power1[[#This Row],[Shed (ft^2)]]*$BR$12)/Power1[[#This Row],[Use (hr/yr)]]</f>
        <v>8.153530911925353</v>
      </c>
      <c r="BA8" s="42">
        <f>Power1[[#This Row],[PriceL]]*(VLOOKUP(Power1[[#This Row],[ASABEtype]],ASABECoefficients[],2)*(Power1[[#This Row],[Life (yr)]]*Power1[[#This Row],[Use (hr/yr)]]/1000)^VLOOKUP(Power1[[#This Row],[ASABEtype]],ASABECoefficients[],3))/Power1[[#This Row],[Life (yr)]]/Power1[[#This Row],[Use (hr/yr)]]</f>
        <v>2.2989473684210529</v>
      </c>
      <c r="BB8" s="41">
        <f>Power1[[#This Row],[Fuel (gal/hph)]]*Power1[[#This Row],[HP]]*(1+$BR$11)</f>
        <v>3.63</v>
      </c>
      <c r="BC8" s="39">
        <f t="shared" si="4"/>
        <v>14.567886659916446</v>
      </c>
      <c r="BE8" s="13" t="s">
        <v>444</v>
      </c>
      <c r="BF8" s="43">
        <v>0.28000000000000003</v>
      </c>
      <c r="BG8" s="43">
        <v>1.4</v>
      </c>
      <c r="BH8" s="43">
        <v>1200</v>
      </c>
      <c r="BI8" s="43">
        <v>0.71940000000000004</v>
      </c>
      <c r="BJ8" s="43">
        <v>0.11020000000000001</v>
      </c>
      <c r="BK8" s="43">
        <v>0</v>
      </c>
      <c r="BL8" s="43">
        <v>3.0000000000000001E-3</v>
      </c>
      <c r="BM8" s="10">
        <f t="shared" si="5"/>
        <v>1.4713690000000001E-2</v>
      </c>
      <c r="BN8" s="43">
        <v>0.12130000000000001</v>
      </c>
      <c r="BO8" s="44"/>
      <c r="BQ8" s="13" t="s">
        <v>445</v>
      </c>
      <c r="BR8" s="50">
        <v>8.5000000000000006E-3</v>
      </c>
    </row>
    <row r="9" spans="1:70">
      <c r="B9" s="6" t="s">
        <v>603</v>
      </c>
      <c r="C9" s="6" t="s">
        <v>608</v>
      </c>
      <c r="D9" s="72">
        <f>IF(ISBLANK(C9),"",VLOOKUP(C9,Power1[],17,FALSE)*VLOOKUP(B9,Implements7[],23,FALSE))</f>
        <v>0.6399038461538461</v>
      </c>
      <c r="E9" s="72">
        <f>IF(ISBLANK(B9),"",VLOOKUP(B9,Implements7[],23,FALSE)*VLOOKUP(B9,Implements7[],16,FALSE))</f>
        <v>0.18509615384615383</v>
      </c>
      <c r="F9" s="73">
        <f>IF(ISBLANK(C9),"",D9*$BR$10+E9*$BR$6+VLOOKUP(C9,Power1[],16,FALSE)+VLOOKUP(B9,Implements7[],22,FALSE))</f>
        <v>9.1091108299595138</v>
      </c>
      <c r="G9" s="72">
        <f>IF(ISBLANK(B9),"",VLOOKUP(B9,Implements7[],24,FALSE)+VLOOKUP(C9,Power1[],18,FALSE)*VLOOKUP(B9,Implements7[],23,FALSE))</f>
        <v>5.5903666603370956</v>
      </c>
      <c r="H9" s="103">
        <v>1</v>
      </c>
      <c r="I9" s="73">
        <f t="shared" ref="I9:I11" si="7">IF(ISBLANK(B9),"",SUM(F9:G9)*H9)</f>
        <v>14.699477490296609</v>
      </c>
      <c r="J9" s="73"/>
      <c r="K9" s="5" t="str">
        <f>Implements7[[#This Row],[Implement type]]&amp;", "&amp;Implements7[[#This Row],[Width]]&amp;" "&amp;Implements7[[#This Row],[Width Unit]]</f>
        <v>Cultimulcher, 21 Ft Folding</v>
      </c>
      <c r="L9" s="51" t="s">
        <v>591</v>
      </c>
      <c r="M9" s="22">
        <v>21</v>
      </c>
      <c r="N9" s="21" t="str">
        <f t="shared" si="6"/>
        <v>Ft Folding</v>
      </c>
      <c r="O9" s="22"/>
      <c r="P9" s="51"/>
      <c r="Q9" s="23">
        <v>67000</v>
      </c>
      <c r="R9" s="24">
        <v>0.1</v>
      </c>
      <c r="S9" s="25">
        <f t="shared" si="0"/>
        <v>74444.444444444438</v>
      </c>
      <c r="T9" s="22">
        <v>12</v>
      </c>
      <c r="U9" s="22">
        <v>80</v>
      </c>
      <c r="V9" s="26">
        <f t="shared" si="1"/>
        <v>977.45454545454561</v>
      </c>
      <c r="W9" s="22" t="s">
        <v>502</v>
      </c>
      <c r="X9" s="22">
        <v>6</v>
      </c>
      <c r="Y9" s="24">
        <v>0.8</v>
      </c>
      <c r="Z9" s="24">
        <v>1.02</v>
      </c>
      <c r="AA9" s="22">
        <v>225</v>
      </c>
      <c r="AB9"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9" s="46">
        <f>Implements7[[#This Row],[TradeIn%]]*Implements7[[#This Row],[PriceL]]</f>
        <v>25417.896946535231</v>
      </c>
      <c r="AD9" s="47">
        <f>(Implements7[[#This Row],[PriceP]]-Implements7[[#This Row],[TradeIn$]])/Implements7[[#This Row],[Life (yr)]]/Implements7[[#This Row],[Use (ac/yr)]]</f>
        <v>3.5451011717828655</v>
      </c>
      <c r="AE9" s="78">
        <f>((Implements7[[#This Row],[PriceP]]+Implements7[[#This Row],[TradeIn$]])/2*($BR$7+$BR$8+$BR$9)+Implements7[[#This Row],[Shed (ft^2)]]*$BR$12)/Implements7[[#This Row],[Use (ac/yr)]]</f>
        <v>3.225052775521855</v>
      </c>
      <c r="AF9" s="48">
        <f>Implements7[[#This Row],[PriceL]]*(VLOOKUP(Implements7[[#This Row],[ASABEtype]],ASABECoefficients[],2)*(Implements7[[#This Row],[Life (yr)]]*Implements7[[#This Row],[Use (hr/yr)]]/1000)^VLOOKUP(Implements7[[#This Row],[ASABEtype]],ASABECoefficients[],3))/Implements7[[#This Row],[Life (yr)]]/Implements7[[#This Row],[Use (ac/yr)]]</f>
        <v>0.96300171880027585</v>
      </c>
      <c r="AG9" s="7">
        <f>$BR$18/(Implements7[[#This Row],[Width]]*Implements7[[#This Row],[Speed]]*Implements7[[#This Row],[Efficiency]])</f>
        <v>8.1845238095238082E-2</v>
      </c>
      <c r="AH9" s="32">
        <f>SUM(Implements7[[#This Row],[Depr ($/ac)]:[OH ($/ac)]])</f>
        <v>6.7701539473047205</v>
      </c>
      <c r="AI9" s="32"/>
      <c r="AJ9" s="5" t="s">
        <v>620</v>
      </c>
      <c r="AK9" s="32"/>
      <c r="AL9" s="34" t="str">
        <f t="shared" si="2"/>
        <v>105 HP MFWD</v>
      </c>
      <c r="AM9" s="35">
        <v>105</v>
      </c>
      <c r="AN9" s="22" t="s">
        <v>448</v>
      </c>
      <c r="AO9" s="23">
        <v>92600</v>
      </c>
      <c r="AP9" s="24">
        <v>0.1</v>
      </c>
      <c r="AQ9" s="84">
        <f t="shared" si="3"/>
        <v>102888.88888888889</v>
      </c>
      <c r="AR9" s="22">
        <v>12</v>
      </c>
      <c r="AS9" s="22">
        <v>450</v>
      </c>
      <c r="AT9" s="22">
        <v>4.3999999999999997E-2</v>
      </c>
      <c r="AU9" s="22" t="s">
        <v>449</v>
      </c>
      <c r="AV9" s="22">
        <v>127</v>
      </c>
      <c r="AW9"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0.39069400204389637</v>
      </c>
      <c r="AX9" s="37">
        <f>Power1[[#This Row],[TradeIn%]]*Power1[[#This Row],[PriceL]]</f>
        <v>40198.071765849782</v>
      </c>
      <c r="AY9" s="39">
        <f>(Power1[[#This Row],[PriceP]]-Power1[[#This Row],[TradeIn$]])/Power1[[#This Row],[Life (yr)]]/Power1[[#This Row],[Use (hr/yr)]]</f>
        <v>9.7040607841018911</v>
      </c>
      <c r="AZ9" s="39">
        <f>((Power1[[#This Row],[PriceP]]+Power1[[#This Row],[TradeIn$]])/2*($BR$7+$BR$8+$BR$9)+Power1[[#This Row],[Shed (ft^2)]]*$BR$12)/Power1[[#This Row],[Use (hr/yr)]]</f>
        <v>9.643176859750433</v>
      </c>
      <c r="BA9" s="42">
        <f>Power1[[#This Row],[PriceL]]*(VLOOKUP(Power1[[#This Row],[ASABEtype]],ASABECoefficients[],2)*(Power1[[#This Row],[Life (yr)]]*Power1[[#This Row],[Use (hr/yr)]]/1000)^VLOOKUP(Power1[[#This Row],[ASABEtype]],ASABECoefficients[],3))/Power1[[#This Row],[Life (yr)]]/Power1[[#This Row],[Use (hr/yr)]]</f>
        <v>2.7780000000000005</v>
      </c>
      <c r="BB9" s="41">
        <f>Power1[[#This Row],[Fuel (gal/hph)]]*Power1[[#This Row],[HP]]*(1+$BR$11)</f>
        <v>5.0820000000000007</v>
      </c>
      <c r="BC9" s="39">
        <f t="shared" si="4"/>
        <v>19.347237643852324</v>
      </c>
      <c r="BE9" s="13" t="s">
        <v>450</v>
      </c>
      <c r="BF9" s="43">
        <v>0.41</v>
      </c>
      <c r="BG9" s="43">
        <v>1.3</v>
      </c>
      <c r="BH9" s="43">
        <v>1500</v>
      </c>
      <c r="BI9" s="43">
        <v>0.85540000000000005</v>
      </c>
      <c r="BJ9" s="43">
        <v>0.1177</v>
      </c>
      <c r="BK9" s="43">
        <v>0</v>
      </c>
      <c r="BL9" s="43">
        <v>2.8999999999999998E-3</v>
      </c>
      <c r="BM9" s="10">
        <f t="shared" si="5"/>
        <v>1.6230760000000004E-2</v>
      </c>
      <c r="BN9" s="43">
        <v>0.12740000000000001</v>
      </c>
      <c r="BO9" s="44"/>
      <c r="BQ9" s="13" t="s">
        <v>451</v>
      </c>
      <c r="BR9" s="52">
        <v>5.0000000000000001E-3</v>
      </c>
    </row>
    <row r="10" spans="1:70">
      <c r="B10" s="6" t="s">
        <v>670</v>
      </c>
      <c r="C10" s="6" t="s">
        <v>608</v>
      </c>
      <c r="D10" s="72">
        <f>IF(ISBLANK(C10),"",VLOOKUP(C10,Power1[],17,FALSE)*VLOOKUP(B10,Implements7[],23,FALSE))</f>
        <v>0.1559765625</v>
      </c>
      <c r="E10" s="72">
        <f>IF(ISBLANK(B10),"",VLOOKUP(B10,Implements7[],23,FALSE)*VLOOKUP(B10,Implements7[],16,FALSE))</f>
        <v>4.3828125000000002E-2</v>
      </c>
      <c r="F10" s="73">
        <f>IF(ISBLANK(C10),"",D10*$BR$10+E10*$BR$6+VLOOKUP(C10,Power1[],16,FALSE)+VLOOKUP(B10,Implements7[],22,FALSE))</f>
        <v>3.8211744615069421</v>
      </c>
      <c r="G10" s="72">
        <f>IF(ISBLANK(B10),"",VLOOKUP(B10,Implements7[],24,FALSE)+VLOOKUP(C10,Power1[],18,FALSE)*VLOOKUP(B10,Implements7[],23,FALSE))</f>
        <v>1.6794004194562353</v>
      </c>
      <c r="H10" s="103">
        <v>2</v>
      </c>
      <c r="I10" s="73">
        <f t="shared" si="7"/>
        <v>11.001149761926355</v>
      </c>
      <c r="J10" s="73"/>
      <c r="K10" s="5" t="str">
        <f>Implements7[[#This Row],[Implement type]]&amp;", "&amp;Implements7[[#This Row],[Width]]&amp;" "&amp;Implements7[[#This Row],[Width Unit]]</f>
        <v>Field cultivator, 24 Ft Folding</v>
      </c>
      <c r="L10" s="51" t="s">
        <v>460</v>
      </c>
      <c r="M10" s="22">
        <v>24</v>
      </c>
      <c r="N10" s="21" t="str">
        <f t="shared" si="6"/>
        <v>Ft Folding</v>
      </c>
      <c r="O10" s="22"/>
      <c r="P10" s="22"/>
      <c r="Q10" s="23">
        <v>53500</v>
      </c>
      <c r="R10" s="24">
        <v>0.1</v>
      </c>
      <c r="S10" s="25">
        <f t="shared" si="0"/>
        <v>59444.444444444445</v>
      </c>
      <c r="T10" s="22">
        <v>12</v>
      </c>
      <c r="U10" s="22">
        <v>100</v>
      </c>
      <c r="V10" s="26">
        <f t="shared" si="1"/>
        <v>1730.9090909090908</v>
      </c>
      <c r="W10" s="22" t="s">
        <v>461</v>
      </c>
      <c r="X10" s="22">
        <v>7</v>
      </c>
      <c r="Y10" s="24">
        <v>0.85</v>
      </c>
      <c r="Z10" s="24">
        <v>1.02</v>
      </c>
      <c r="AA10" s="22">
        <v>200</v>
      </c>
      <c r="AB10"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10" s="46">
        <f>Implements7[[#This Row],[TradeIn%]]*Implements7[[#This Row],[PriceL]]</f>
        <v>17981.186177595046</v>
      </c>
      <c r="AD10" s="47">
        <f>(Implements7[[#This Row],[PriceP]]-Implements7[[#This Row],[TradeIn$]])/Implements7[[#This Row],[Life (yr)]]/Implements7[[#This Row],[Use (ac/yr)]]</f>
        <v>1.710026925973628</v>
      </c>
      <c r="AE10" s="30">
        <f>((Implements7[[#This Row],[PriceP]]+Implements7[[#This Row],[TradeIn$]])/2*($BR$7+$BR$8+$BR$9)+Implements7[[#This Row],[Shed (ft^2)]]*$BR$12)/Implements7[[#This Row],[Use (ac/yr)]]</f>
        <v>1.4231662810655588</v>
      </c>
      <c r="AF10" s="48">
        <f>Implements7[[#This Row],[PriceL]]*(VLOOKUP(Implements7[[#This Row],[ASABEtype]],ASABECoefficients[],2)*(Implements7[[#This Row],[Life (yr)]]*Implements7[[#This Row],[Use (hr/yr)]]/1000)^VLOOKUP(Implements7[[#This Row],[ASABEtype]],ASABECoefficients[],3))/Implements7[[#This Row],[Life (yr)]]/Implements7[[#This Row],[Use (ac/yr)]]</f>
        <v>0.99740898522292698</v>
      </c>
      <c r="AG10" s="7">
        <f>$BR$18/(Implements7[[#This Row],[Width]]*Implements7[[#This Row],[Speed]]*Implements7[[#This Row],[Efficiency]])</f>
        <v>5.7773109243697489E-2</v>
      </c>
      <c r="AH10" s="32">
        <f>SUM(Implements7[[#This Row],[Depr ($/ac)]:[OH ($/ac)]])</f>
        <v>3.133193207039187</v>
      </c>
      <c r="AI10" s="33">
        <v>8</v>
      </c>
      <c r="AJ10" s="5" t="s">
        <v>620</v>
      </c>
      <c r="AK10" s="32"/>
      <c r="AL10" s="34" t="str">
        <f>CONCATENATE(AM10&amp;" "&amp;AN10)</f>
        <v>130 HP MFWD</v>
      </c>
      <c r="AM10" s="35">
        <v>130</v>
      </c>
      <c r="AN10" s="22" t="s">
        <v>448</v>
      </c>
      <c r="AO10" s="23">
        <v>153000</v>
      </c>
      <c r="AP10" s="24">
        <v>0.1</v>
      </c>
      <c r="AQ10" s="84">
        <f>AO10/(1-AP10)</f>
        <v>170000</v>
      </c>
      <c r="AR10" s="22">
        <v>12</v>
      </c>
      <c r="AS10" s="22">
        <v>450</v>
      </c>
      <c r="AT10" s="22">
        <v>4.3999999999999997E-2</v>
      </c>
      <c r="AU10" s="22" t="s">
        <v>449</v>
      </c>
      <c r="AV10" s="22">
        <v>130</v>
      </c>
      <c r="AW10"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0.39069400204389637</v>
      </c>
      <c r="AX10" s="37">
        <f>Power1[[#This Row],[TradeIn%]]*Power1[[#This Row],[PriceL]]</f>
        <v>66417.980347462377</v>
      </c>
      <c r="AY10" s="39">
        <f>(Power1[[#This Row],[PriceP]]-Power1[[#This Row],[TradeIn$]])/Power1[[#This Row],[Life (yr)]]/Power1[[#This Row],[Use (hr/yr)]]</f>
        <v>16.033707343062524</v>
      </c>
      <c r="AZ10" s="39">
        <f>((Power1[[#This Row],[PriceP]]+Power1[[#This Row],[TradeIn$]])/2*($BR$7+$BR$8+$BR$9)+Power1[[#This Row],[Shed (ft^2)]]*$BR$12)/Power1[[#This Row],[Use (hr/yr)]]</f>
        <v>15.761154091651978</v>
      </c>
      <c r="BA10" s="42">
        <f>Power1[[#This Row],[PriceL]]*(VLOOKUP(Power1[[#This Row],[ASABEtype]],ASABECoefficients[],2)*(Power1[[#This Row],[Life (yr)]]*Power1[[#This Row],[Use (hr/yr)]]/1000)^VLOOKUP(Power1[[#This Row],[ASABEtype]],ASABECoefficients[],3))/Power1[[#This Row],[Life (yr)]]/Power1[[#This Row],[Use (hr/yr)]]</f>
        <v>4.5900000000000007</v>
      </c>
      <c r="BB10" s="41">
        <f>Power1[[#This Row],[Fuel (gal/hph)]]*Power1[[#This Row],[HP]]*(1+$BR$11)</f>
        <v>6.2919999999999998</v>
      </c>
      <c r="BC10" s="39">
        <f t="shared" si="4"/>
        <v>31.794861434714502</v>
      </c>
      <c r="BE10" s="13" t="s">
        <v>437</v>
      </c>
      <c r="BF10" s="43">
        <v>0.28000000000000003</v>
      </c>
      <c r="BG10" s="43">
        <v>1.4</v>
      </c>
      <c r="BH10" s="43">
        <v>2000</v>
      </c>
      <c r="BI10" s="43">
        <v>0.69269999999999998</v>
      </c>
      <c r="BJ10" s="43">
        <v>7.0300000000000001E-2</v>
      </c>
      <c r="BK10" s="43">
        <v>0</v>
      </c>
      <c r="BL10" s="43">
        <v>1.1999999999999999E-3</v>
      </c>
      <c r="BM10" s="10">
        <f t="shared" si="5"/>
        <v>1.4957290000000002E-2</v>
      </c>
      <c r="BN10" s="43">
        <v>0.12230000000000001</v>
      </c>
      <c r="BO10" s="44"/>
      <c r="BQ10" s="13" t="s">
        <v>452</v>
      </c>
      <c r="BR10" s="101">
        <v>3.89</v>
      </c>
    </row>
    <row r="11" spans="1:70">
      <c r="B11" s="6" t="s">
        <v>671</v>
      </c>
      <c r="C11" s="6" t="s">
        <v>592</v>
      </c>
      <c r="D11" s="72">
        <f>IF(ISBLANK(C11),"",VLOOKUP(C11,Power1[],17,FALSE)*VLOOKUP(B11,Implements7[],23,FALSE))</f>
        <v>0.65526153846153845</v>
      </c>
      <c r="E11" s="72">
        <f>IF(ISBLANK(B11),"",VLOOKUP(B11,Implements7[],23,FALSE)*VLOOKUP(B11,Implements7[],16,FALSE))</f>
        <v>9.3923076923076942E-2</v>
      </c>
      <c r="F11" s="73">
        <f>IF(ISBLANK(C11),"",D11*$BR$10+E11*$BR$6+VLOOKUP(C11,Power1[],16,FALSE)+VLOOKUP(B11,Implements7[],22,FALSE))</f>
        <v>18.292951818360844</v>
      </c>
      <c r="G11" s="72">
        <f>IF(ISBLANK(B11),"",VLOOKUP(B11,Implements7[],24,FALSE)+VLOOKUP(C11,Power1[],18,FALSE)*VLOOKUP(B11,Implements7[],23,FALSE))</f>
        <v>7.0591260807670189</v>
      </c>
      <c r="H11" s="103">
        <v>1</v>
      </c>
      <c r="I11" s="73">
        <f t="shared" si="7"/>
        <v>25.352077899127863</v>
      </c>
      <c r="J11" s="73"/>
      <c r="K11" s="5" t="str">
        <f>Implements7[[#This Row],[Implement type]]&amp;", "&amp;Implements7[[#This Row],[Width]]&amp;" "&amp;Implements7[[#This Row],[Width Unit]]</f>
        <v>Field cultivator, 47 Ft Folding</v>
      </c>
      <c r="L11" s="51" t="s">
        <v>460</v>
      </c>
      <c r="M11" s="22">
        <v>47</v>
      </c>
      <c r="N11" s="21" t="str">
        <f t="shared" si="6"/>
        <v>Ft Folding</v>
      </c>
      <c r="O11" s="22"/>
      <c r="P11" s="22"/>
      <c r="Q11" s="23">
        <v>102000</v>
      </c>
      <c r="R11" s="24">
        <v>0.1</v>
      </c>
      <c r="S11" s="25">
        <f t="shared" si="0"/>
        <v>113333.33333333333</v>
      </c>
      <c r="T11" s="22">
        <v>12</v>
      </c>
      <c r="U11" s="22">
        <v>100</v>
      </c>
      <c r="V11" s="26">
        <f t="shared" si="1"/>
        <v>3389.6969696969691</v>
      </c>
      <c r="W11" s="22" t="s">
        <v>461</v>
      </c>
      <c r="X11" s="22">
        <v>7</v>
      </c>
      <c r="Y11" s="24">
        <v>0.85</v>
      </c>
      <c r="Z11" s="24">
        <v>1.02</v>
      </c>
      <c r="AA11" s="22">
        <v>400</v>
      </c>
      <c r="AB11"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11" s="46">
        <f>Implements7[[#This Row],[TradeIn%]]*Implements7[[#This Row],[PriceL]]</f>
        <v>34281.887665695227</v>
      </c>
      <c r="AD11" s="47">
        <f>(Implements7[[#This Row],[PriceP]]-Implements7[[#This Row],[TradeIn$]])/Implements7[[#This Row],[Life (yr)]]/Implements7[[#This Row],[Use (ac/yr)]]</f>
        <v>1.6648025113475611</v>
      </c>
      <c r="AE11" s="30">
        <f>((Implements7[[#This Row],[PriceP]]+Implements7[[#This Row],[TradeIn$]])/2*($BR$7+$BR$8+$BR$9)+Implements7[[#This Row],[Shed (ft^2)]]*$BR$12)/Implements7[[#This Row],[Use (ac/yr)]]</f>
        <v>1.3908728599634468</v>
      </c>
      <c r="AF11" s="48">
        <f>Implements7[[#This Row],[PriceL]]*(VLOOKUP(Implements7[[#This Row],[ASABEtype]],ASABECoefficients[],2)*(Implements7[[#This Row],[Life (yr)]]*Implements7[[#This Row],[Use (hr/yr)]]/1000)^VLOOKUP(Implements7[[#This Row],[ASABEtype]],ASABECoefficients[],3))/Implements7[[#This Row],[Life (yr)]]/Implements7[[#This Row],[Use (ac/yr)]]</f>
        <v>0.97103089911542062</v>
      </c>
      <c r="AG11" s="7">
        <f>$BR$18/(Implements7[[#This Row],[Width]]*Implements7[[#This Row],[Speed]]*Implements7[[#This Row],[Efficiency]])</f>
        <v>2.9501162166994461E-2</v>
      </c>
      <c r="AH11" s="32">
        <f>SUM(Implements7[[#This Row],[Depr ($/ac)]:[OH ($/ac)]])</f>
        <v>3.0556753713110076</v>
      </c>
      <c r="AI11" s="33">
        <v>9</v>
      </c>
      <c r="AJ11" s="5" t="s">
        <v>620</v>
      </c>
      <c r="AK11" s="32"/>
      <c r="AL11" s="34" t="str">
        <f t="shared" si="2"/>
        <v>160 HP MFWD</v>
      </c>
      <c r="AM11" s="35">
        <v>160</v>
      </c>
      <c r="AN11" s="22" t="s">
        <v>448</v>
      </c>
      <c r="AO11" s="23">
        <v>178000</v>
      </c>
      <c r="AP11" s="24">
        <v>0.1</v>
      </c>
      <c r="AQ11" s="84">
        <f t="shared" si="3"/>
        <v>197777.77777777778</v>
      </c>
      <c r="AR11" s="22">
        <v>12</v>
      </c>
      <c r="AS11" s="22">
        <v>500</v>
      </c>
      <c r="AT11" s="22">
        <v>4.3999999999999997E-2</v>
      </c>
      <c r="AU11" s="22" t="s">
        <v>449</v>
      </c>
      <c r="AV11" s="22">
        <v>200</v>
      </c>
      <c r="AW11"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0.38584357259292823</v>
      </c>
      <c r="AX11" s="37">
        <f>Power1[[#This Row],[TradeIn%]]*Power1[[#This Row],[PriceL]]</f>
        <v>76311.284357268029</v>
      </c>
      <c r="AY11" s="39">
        <f>(Power1[[#This Row],[PriceP]]-Power1[[#This Row],[TradeIn$]])/Power1[[#This Row],[Life (yr)]]/Power1[[#This Row],[Use (hr/yr)]]</f>
        <v>16.948119273788663</v>
      </c>
      <c r="AZ11" s="39">
        <f>((Power1[[#This Row],[PriceP]]+Power1[[#This Row],[TradeIn$]])/2*($BR$7+$BR$8+$BR$9)+Power1[[#This Row],[Shed (ft^2)]]*$BR$12)/Power1[[#This Row],[Use (hr/yr)]]</f>
        <v>16.53645414195255</v>
      </c>
      <c r="BA11" s="42">
        <f>Power1[[#This Row],[PriceL]]*(VLOOKUP(Power1[[#This Row],[ASABEtype]],ASABECoefficients[],2)*(Power1[[#This Row],[Life (yr)]]*Power1[[#This Row],[Use (hr/yr)]]/1000)^VLOOKUP(Power1[[#This Row],[ASABEtype]],ASABECoefficients[],3))/Power1[[#This Row],[Life (yr)]]/Power1[[#This Row],[Use (hr/yr)]]</f>
        <v>5.9333333333333327</v>
      </c>
      <c r="BB11" s="41">
        <f>Power1[[#This Row],[Fuel (gal/hph)]]*Power1[[#This Row],[HP]]*(1+$BR$11)</f>
        <v>7.7439999999999998</v>
      </c>
      <c r="BC11" s="39">
        <f t="shared" si="4"/>
        <v>33.48457341574121</v>
      </c>
      <c r="BE11" s="13" t="s">
        <v>455</v>
      </c>
      <c r="BF11" s="43">
        <v>0.04</v>
      </c>
      <c r="BG11" s="43">
        <v>2.1</v>
      </c>
      <c r="BH11" s="43">
        <v>3000</v>
      </c>
      <c r="BI11" s="43">
        <v>1.0190501798876355</v>
      </c>
      <c r="BJ11" s="43">
        <v>0.174199608497973</v>
      </c>
      <c r="BK11" s="43">
        <v>7.6964422098118896E-3</v>
      </c>
      <c r="BL11" s="43">
        <v>7.4905071015698174E-4</v>
      </c>
      <c r="BM11" s="10">
        <f t="shared" si="5"/>
        <v>0</v>
      </c>
      <c r="BN11" s="43">
        <v>0</v>
      </c>
      <c r="BO11" s="44" t="s">
        <v>456</v>
      </c>
      <c r="BQ11" s="13" t="s">
        <v>457</v>
      </c>
      <c r="BR11" s="53">
        <v>0.1</v>
      </c>
    </row>
    <row r="12" spans="1:70">
      <c r="B12" s="80" t="s">
        <v>358</v>
      </c>
      <c r="C12" s="80"/>
      <c r="D12" s="74"/>
      <c r="E12" s="74"/>
      <c r="F12" s="81">
        <v>7</v>
      </c>
      <c r="G12" s="81">
        <v>7</v>
      </c>
      <c r="H12" s="74"/>
      <c r="I12" s="75">
        <f>SUM(F12+G12)</f>
        <v>14</v>
      </c>
      <c r="J12" s="73"/>
      <c r="K12" s="5" t="str">
        <f>Implements7[[#This Row],[Implement type]]&amp;", "&amp;Implements7[[#This Row],[Width]]&amp;" "&amp;Implements7[[#This Row],[Width Unit]]</f>
        <v>Field cultivator, 60 Ft Folding</v>
      </c>
      <c r="L12" s="51" t="s">
        <v>460</v>
      </c>
      <c r="M12" s="22">
        <v>60</v>
      </c>
      <c r="N12" s="21" t="str">
        <f t="shared" si="6"/>
        <v>Ft Folding</v>
      </c>
      <c r="O12" s="22"/>
      <c r="P12" s="22"/>
      <c r="Q12" s="23">
        <v>137500</v>
      </c>
      <c r="R12" s="24">
        <v>0.1</v>
      </c>
      <c r="S12" s="25">
        <f t="shared" si="0"/>
        <v>152777.77777777778</v>
      </c>
      <c r="T12" s="22">
        <v>12</v>
      </c>
      <c r="U12" s="22">
        <v>100</v>
      </c>
      <c r="V12" s="26">
        <f t="shared" si="1"/>
        <v>4327.272727272727</v>
      </c>
      <c r="W12" s="22" t="s">
        <v>461</v>
      </c>
      <c r="X12" s="22">
        <v>7</v>
      </c>
      <c r="Y12" s="24">
        <v>0.85</v>
      </c>
      <c r="Z12" s="24">
        <v>1.02</v>
      </c>
      <c r="AA12" s="22">
        <v>400</v>
      </c>
      <c r="AB12"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12" s="46">
        <f>Implements7[[#This Row],[TradeIn%]]*Implements7[[#This Row],[PriceL]]</f>
        <v>46213.32896110876</v>
      </c>
      <c r="AD12" s="47">
        <f>(Implements7[[#This Row],[PriceP]]-Implements7[[#This Row],[TradeIn$]])/Implements7[[#This Row],[Life (yr)]]/Implements7[[#This Row],[Use (ac/yr)]]</f>
        <v>1.757971606141113</v>
      </c>
      <c r="AE12" s="30">
        <f>((Implements7[[#This Row],[PriceP]]+Implements7[[#This Row],[TradeIn$]])/2*($BR$7+$BR$8+$BR$9)+Implements7[[#This Row],[Shed (ft^2)]]*$BR$12)/Implements7[[#This Row],[Use (ac/yr)]]</f>
        <v>1.437530327260369</v>
      </c>
      <c r="AF12" s="48">
        <f>Implements7[[#This Row],[PriceL]]*(VLOOKUP(Implements7[[#This Row],[ASABEtype]],ASABECoefficients[],2)*(Implements7[[#This Row],[Life (yr)]]*Implements7[[#This Row],[Use (hr/yr)]]/1000)^VLOOKUP(Implements7[[#This Row],[ASABEtype]],ASABECoefficients[],3))/Implements7[[#This Row],[Life (yr)]]/Implements7[[#This Row],[Use (ac/yr)]]</f>
        <v>1.0253737231263733</v>
      </c>
      <c r="AG12" s="7">
        <f>$BR$18/(Implements7[[#This Row],[Width]]*Implements7[[#This Row],[Speed]]*Implements7[[#This Row],[Efficiency]])</f>
        <v>2.3109243697478993E-2</v>
      </c>
      <c r="AH12" s="32">
        <f>SUM(Implements7[[#This Row],[Depr ($/ac)]:[OH ($/ac)]])</f>
        <v>3.195501933401482</v>
      </c>
      <c r="AI12" s="33">
        <v>10</v>
      </c>
      <c r="AJ12" s="5" t="s">
        <v>620</v>
      </c>
      <c r="AK12" s="32"/>
      <c r="AL12" s="34" t="str">
        <f t="shared" si="2"/>
        <v>200 HP MFWD</v>
      </c>
      <c r="AM12" s="35">
        <v>200</v>
      </c>
      <c r="AN12" s="22" t="s">
        <v>448</v>
      </c>
      <c r="AO12" s="23">
        <v>262000</v>
      </c>
      <c r="AP12" s="24">
        <v>0.1</v>
      </c>
      <c r="AQ12" s="84">
        <f t="shared" si="3"/>
        <v>291111.11111111112</v>
      </c>
      <c r="AR12" s="22">
        <v>12</v>
      </c>
      <c r="AS12" s="22">
        <v>500</v>
      </c>
      <c r="AT12" s="22">
        <v>4.3999999999999997E-2</v>
      </c>
      <c r="AU12" s="22" t="s">
        <v>449</v>
      </c>
      <c r="AV12" s="22">
        <v>210</v>
      </c>
      <c r="AW12"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0.38584357259292823</v>
      </c>
      <c r="AX12" s="37">
        <f>Power1[[#This Row],[TradeIn%]]*Power1[[#This Row],[PriceL]]</f>
        <v>112323.351132608</v>
      </c>
      <c r="AY12" s="39">
        <f>(Power1[[#This Row],[PriceP]]-Power1[[#This Row],[TradeIn$]])/Power1[[#This Row],[Life (yr)]]/Power1[[#This Row],[Use (hr/yr)]]</f>
        <v>24.946108144565329</v>
      </c>
      <c r="AZ12" s="39">
        <f>((Power1[[#This Row],[PriceP]]+Power1[[#This Row],[TradeIn$]])/2*($BR$7+$BR$8+$BR$9)+Power1[[#This Row],[Shed (ft^2)]]*$BR$12)/Power1[[#This Row],[Use (hr/yr)]]</f>
        <v>24.176604761449941</v>
      </c>
      <c r="BA12" s="42">
        <f>Power1[[#This Row],[PriceL]]*(VLOOKUP(Power1[[#This Row],[ASABEtype]],ASABECoefficients[],2)*(Power1[[#This Row],[Life (yr)]]*Power1[[#This Row],[Use (hr/yr)]]/1000)^VLOOKUP(Power1[[#This Row],[ASABEtype]],ASABECoefficients[],3))/Power1[[#This Row],[Life (yr)]]/Power1[[#This Row],[Use (hr/yr)]]</f>
        <v>8.7333333333333343</v>
      </c>
      <c r="BB12" s="41">
        <f>Power1[[#This Row],[Fuel (gal/hph)]]*Power1[[#This Row],[HP]]*(1+$BR$11)</f>
        <v>9.68</v>
      </c>
      <c r="BC12" s="39">
        <f t="shared" si="4"/>
        <v>49.122712906015266</v>
      </c>
      <c r="BE12" s="13" t="s">
        <v>458</v>
      </c>
      <c r="BF12" s="43">
        <v>0.14000000000000001</v>
      </c>
      <c r="BG12" s="43">
        <v>2.2999999999999998</v>
      </c>
      <c r="BH12" s="43">
        <v>2000</v>
      </c>
      <c r="BI12" s="43">
        <v>1.054</v>
      </c>
      <c r="BJ12" s="43">
        <v>0.1865</v>
      </c>
      <c r="BK12" s="43">
        <v>6.7999999999999996E-3</v>
      </c>
      <c r="BL12" s="43">
        <v>2.8E-3</v>
      </c>
      <c r="BM12" s="10">
        <f t="shared" si="5"/>
        <v>7.1740899999999993E-3</v>
      </c>
      <c r="BN12" s="43">
        <v>8.4699999999999998E-2</v>
      </c>
      <c r="BO12" s="44"/>
      <c r="BQ12" s="13" t="s">
        <v>459</v>
      </c>
      <c r="BR12" s="54">
        <f>3.75*0.15*126.3/73.3</f>
        <v>0.96921896316507516</v>
      </c>
    </row>
    <row r="13" spans="1:70" ht="16.5">
      <c r="B13" s="1"/>
      <c r="C13" s="76" t="s">
        <v>364</v>
      </c>
      <c r="D13" s="77">
        <f>SUM(D6:D12)</f>
        <v>3.2535377804487173</v>
      </c>
      <c r="E13" s="77">
        <f>SUM(E6:E12)</f>
        <v>0.65333842719780222</v>
      </c>
      <c r="F13" s="77">
        <f>SUM(F6:F12)</f>
        <v>69.050182238722371</v>
      </c>
      <c r="G13" s="77">
        <f>SUM(G6:G12)</f>
        <v>48.787734131360509</v>
      </c>
      <c r="H13" s="77"/>
      <c r="I13" s="77">
        <f>SUM(I6:I12)</f>
        <v>144.40314418205497</v>
      </c>
      <c r="J13" s="73"/>
      <c r="K13" s="5" t="str">
        <f>Implements7[[#This Row],[Implement type]]&amp;", "&amp;Implements7[[#This Row],[Width]]&amp;" "&amp;Implements7[[#This Row],[Width Unit]]</f>
        <v>Tandem disk, 21 Ft Folding</v>
      </c>
      <c r="L13" s="51" t="s">
        <v>469</v>
      </c>
      <c r="M13" s="22">
        <v>21</v>
      </c>
      <c r="N13" s="21" t="str">
        <f t="shared" si="6"/>
        <v>Ft Folding</v>
      </c>
      <c r="O13" s="22"/>
      <c r="P13" s="22"/>
      <c r="Q13" s="23">
        <v>85500</v>
      </c>
      <c r="R13" s="24">
        <v>0.1</v>
      </c>
      <c r="S13" s="25">
        <f t="shared" si="0"/>
        <v>95000</v>
      </c>
      <c r="T13" s="22">
        <v>12</v>
      </c>
      <c r="U13" s="22">
        <v>100</v>
      </c>
      <c r="V13" s="26">
        <f t="shared" si="1"/>
        <v>1221.818181818182</v>
      </c>
      <c r="W13" s="22" t="s">
        <v>447</v>
      </c>
      <c r="X13" s="22">
        <v>6</v>
      </c>
      <c r="Y13" s="24">
        <v>0.8</v>
      </c>
      <c r="Z13" s="24">
        <v>1.02</v>
      </c>
      <c r="AA13" s="22">
        <v>260</v>
      </c>
      <c r="AB13"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13" s="46">
        <f>Implements7[[#This Row],[TradeIn%]]*Implements7[[#This Row],[PriceL]]</f>
        <v>32436.271476548693</v>
      </c>
      <c r="AD13" s="47">
        <f>(Implements7[[#This Row],[PriceP]]-Implements7[[#This Row],[TradeIn$]])/Implements7[[#This Row],[Life (yr)]]/Implements7[[#This Row],[Use (ac/yr)]]</f>
        <v>3.619177912685791</v>
      </c>
      <c r="AE13" s="30">
        <f>((Implements7[[#This Row],[PriceP]]+Implements7[[#This Row],[TradeIn$]])/2*($BR$7+$BR$8+$BR$9)+Implements7[[#This Row],[Shed (ft^2)]]*$BR$12)/Implements7[[#This Row],[Use (ac/yr)]]</f>
        <v>3.2709232922497571</v>
      </c>
      <c r="AF13" s="48">
        <f>Implements7[[#This Row],[PriceL]]*(VLOOKUP(Implements7[[#This Row],[ASABEtype]],ASABECoefficients[],2)*(Implements7[[#This Row],[Life (yr)]]*Implements7[[#This Row],[Use (hr/yr)]]/1000)^VLOOKUP(Implements7[[#This Row],[ASABEtype]],ASABECoefficients[],3))/Implements7[[#This Row],[Life (yr)]]/Implements7[[#This Row],[Use (ac/yr)]]</f>
        <v>1.5900705685350511</v>
      </c>
      <c r="AG13" s="7">
        <f>$BR$18/(Implements7[[#This Row],[Width]]*Implements7[[#This Row],[Speed]]*Implements7[[#This Row],[Efficiency]])</f>
        <v>8.1845238095238082E-2</v>
      </c>
      <c r="AH13" s="32">
        <f>SUM(Implements7[[#This Row],[Depr ($/ac)]:[OH ($/ac)]])</f>
        <v>6.8901012049355481</v>
      </c>
      <c r="AI13" s="33">
        <v>11</v>
      </c>
      <c r="AJ13" s="5" t="s">
        <v>620</v>
      </c>
      <c r="AK13" s="32"/>
      <c r="AL13" s="34" t="str">
        <f t="shared" si="2"/>
        <v>225 HP MFWD</v>
      </c>
      <c r="AM13" s="35">
        <v>225</v>
      </c>
      <c r="AN13" s="22" t="s">
        <v>448</v>
      </c>
      <c r="AO13" s="23">
        <v>280000</v>
      </c>
      <c r="AP13" s="24">
        <v>0.1</v>
      </c>
      <c r="AQ13" s="84">
        <f t="shared" si="3"/>
        <v>311111.11111111112</v>
      </c>
      <c r="AR13" s="22">
        <v>12</v>
      </c>
      <c r="AS13" s="22">
        <v>400</v>
      </c>
      <c r="AT13" s="22">
        <v>4.3999999999999997E-2</v>
      </c>
      <c r="AU13" s="22" t="s">
        <v>449</v>
      </c>
      <c r="AV13" s="22">
        <v>250</v>
      </c>
      <c r="AW13"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3" s="37">
        <f>Power1[[#This Row],[TradeIn%]]*Power1[[#This Row],[PriceL]]</f>
        <v>123155.00408867442</v>
      </c>
      <c r="AY13" s="39">
        <f>(Power1[[#This Row],[PriceP]]-Power1[[#This Row],[TradeIn$]])/Power1[[#This Row],[Life (yr)]]/Power1[[#This Row],[Use (hr/yr)]]</f>
        <v>32.676040814859491</v>
      </c>
      <c r="AZ13" s="39">
        <f>((Power1[[#This Row],[PriceP]]+Power1[[#This Row],[TradeIn$]])/2*($BR$7+$BR$8+$BR$9)+Power1[[#This Row],[Shed (ft^2)]]*$BR$12)/Power1[[#This Row],[Use (hr/yr)]]</f>
        <v>32.606190301516705</v>
      </c>
      <c r="BA13" s="42">
        <f>Power1[[#This Row],[PriceL]]*(VLOOKUP(Power1[[#This Row],[ASABEtype]],ASABECoefficients[],2)*(Power1[[#This Row],[Life (yr)]]*Power1[[#This Row],[Use (hr/yr)]]/1000)^VLOOKUP(Power1[[#This Row],[ASABEtype]],ASABECoefficients[],3))/Power1[[#This Row],[Life (yr)]]/Power1[[#This Row],[Use (hr/yr)]]</f>
        <v>7.4666666666666659</v>
      </c>
      <c r="BB13" s="41">
        <f>Power1[[#This Row],[Fuel (gal/hph)]]*Power1[[#This Row],[HP]]*(1+$BR$11)</f>
        <v>10.889999999999999</v>
      </c>
      <c r="BC13" s="39">
        <f t="shared" si="4"/>
        <v>65.282231116376195</v>
      </c>
      <c r="BE13" s="13" t="s">
        <v>462</v>
      </c>
      <c r="BF13" s="43">
        <v>0.11</v>
      </c>
      <c r="BG13" s="43">
        <v>1.8</v>
      </c>
      <c r="BH13" s="43">
        <v>3000</v>
      </c>
      <c r="BI13" s="43">
        <v>1.054</v>
      </c>
      <c r="BJ13" s="43">
        <v>0.1865</v>
      </c>
      <c r="BK13" s="43">
        <v>6.7999999999999996E-3</v>
      </c>
      <c r="BL13" s="43">
        <v>2.8E-3</v>
      </c>
      <c r="BM13" s="10">
        <f t="shared" si="5"/>
        <v>7.1740899999999993E-3</v>
      </c>
      <c r="BN13" s="43">
        <v>8.4699999999999998E-2</v>
      </c>
      <c r="BO13" s="44"/>
      <c r="BQ13" s="10" t="s">
        <v>463</v>
      </c>
      <c r="BR13" s="55">
        <v>0</v>
      </c>
    </row>
    <row r="14" spans="1:70">
      <c r="J14" s="73"/>
      <c r="K14" s="5" t="str">
        <f>Implements7[[#This Row],[Implement type]]&amp;", "&amp;Implements7[[#This Row],[Width]]&amp;" "&amp;Implements7[[#This Row],[Width Unit]]</f>
        <v>Tandem disk, 30 Ft Folding</v>
      </c>
      <c r="L14" s="51" t="s">
        <v>469</v>
      </c>
      <c r="M14" s="22">
        <v>30</v>
      </c>
      <c r="N14" s="21" t="str">
        <f t="shared" si="6"/>
        <v>Ft Folding</v>
      </c>
      <c r="O14" s="22"/>
      <c r="P14" s="22"/>
      <c r="Q14" s="23">
        <v>123500</v>
      </c>
      <c r="R14" s="24">
        <v>0.1</v>
      </c>
      <c r="S14" s="25">
        <f t="shared" si="0"/>
        <v>137222.22222222222</v>
      </c>
      <c r="T14" s="22">
        <v>12</v>
      </c>
      <c r="U14" s="22">
        <v>100</v>
      </c>
      <c r="V14" s="26">
        <f t="shared" si="1"/>
        <v>1745.4545454545455</v>
      </c>
      <c r="W14" s="22" t="s">
        <v>437</v>
      </c>
      <c r="X14" s="22">
        <v>6</v>
      </c>
      <c r="Y14" s="24">
        <v>0.8</v>
      </c>
      <c r="Z14" s="24">
        <v>1.02</v>
      </c>
      <c r="AA14" s="22">
        <v>280</v>
      </c>
      <c r="AB14"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14" s="46">
        <f>Implements7[[#This Row],[TradeIn%]]*Implements7[[#This Row],[PriceL]]</f>
        <v>41507.971830523136</v>
      </c>
      <c r="AD14" s="47">
        <f>(Implements7[[#This Row],[PriceP]]-Implements7[[#This Row],[TradeIn$]])/Implements7[[#This Row],[Life (yr)]]/Implements7[[#This Row],[Use (ac/yr)]]</f>
        <v>3.9145499560080097</v>
      </c>
      <c r="AE14" s="30">
        <f>((Implements7[[#This Row],[PriceP]]+Implements7[[#This Row],[TradeIn$]])/2*($BR$7+$BR$8+$BR$9)+Implements7[[#This Row],[Shed (ft^2)]]*$BR$12)/Implements7[[#This Row],[Use (ac/yr)]]</f>
        <v>3.1569910712686795</v>
      </c>
      <c r="AF14" s="48">
        <f>Implements7[[#This Row],[PriceL]]*(VLOOKUP(Implements7[[#This Row],[ASABEtype]],ASABECoefficients[],2)*(Implements7[[#This Row],[Life (yr)]]*Implements7[[#This Row],[Use (hr/yr)]]/1000)^VLOOKUP(Implements7[[#This Row],[ASABEtype]],ASABECoefficients[],3))/Implements7[[#This Row],[Life (yr)]]/Implements7[[#This Row],[Use (ac/yr)]]</f>
        <v>2.3678077318403421</v>
      </c>
      <c r="AG14" s="7">
        <f>$BR$18/(Implements7[[#This Row],[Width]]*Implements7[[#This Row],[Speed]]*Implements7[[#This Row],[Efficiency]])</f>
        <v>5.7291666666666664E-2</v>
      </c>
      <c r="AH14" s="32">
        <f>SUM(Implements7[[#This Row],[Depr ($/ac)]:[OH ($/ac)]])</f>
        <v>7.0715410272766892</v>
      </c>
      <c r="AI14" s="33">
        <v>12</v>
      </c>
      <c r="AJ14" s="5" t="s">
        <v>620</v>
      </c>
      <c r="AK14" s="32"/>
      <c r="AL14" s="34" t="str">
        <f t="shared" si="2"/>
        <v>260 HP MFWD</v>
      </c>
      <c r="AM14" s="35">
        <v>260</v>
      </c>
      <c r="AN14" s="22" t="s">
        <v>448</v>
      </c>
      <c r="AO14" s="23">
        <v>390000</v>
      </c>
      <c r="AP14" s="24">
        <v>0.1</v>
      </c>
      <c r="AQ14" s="84">
        <f t="shared" si="3"/>
        <v>433333.33333333331</v>
      </c>
      <c r="AR14" s="22">
        <v>12</v>
      </c>
      <c r="AS14" s="22">
        <v>400</v>
      </c>
      <c r="AT14" s="22">
        <v>4.3999999999999997E-2</v>
      </c>
      <c r="AU14" s="22" t="s">
        <v>449</v>
      </c>
      <c r="AV14" s="22">
        <v>250</v>
      </c>
      <c r="AW14"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4" s="37">
        <f>Power1[[#This Row],[TradeIn%]]*Power1[[#This Row],[PriceL]]</f>
        <v>171537.3271235108</v>
      </c>
      <c r="AY14" s="39">
        <f>(Power1[[#This Row],[PriceP]]-Power1[[#This Row],[TradeIn$]])/Power1[[#This Row],[Life (yr)]]/Power1[[#This Row],[Use (hr/yr)]]</f>
        <v>45.513056849268587</v>
      </c>
      <c r="AZ14" s="39">
        <f>((Power1[[#This Row],[PriceP]]+Power1[[#This Row],[TradeIn$]])/2*($BR$7+$BR$8+$BR$9)+Power1[[#This Row],[Shed (ft^2)]]*$BR$12)/Power1[[#This Row],[Use (hr/yr)]]</f>
        <v>45.177787192406839</v>
      </c>
      <c r="BA14" s="42">
        <f>Power1[[#This Row],[PriceL]]*(VLOOKUP(Power1[[#This Row],[ASABEtype]],ASABECoefficients[],2)*(Power1[[#This Row],[Life (yr)]]*Power1[[#This Row],[Use (hr/yr)]]/1000)^VLOOKUP(Power1[[#This Row],[ASABEtype]],ASABECoefficients[],3))/Power1[[#This Row],[Life (yr)]]/Power1[[#This Row],[Use (hr/yr)]]</f>
        <v>10.4</v>
      </c>
      <c r="BB14" s="41">
        <f>Power1[[#This Row],[Fuel (gal/hph)]]*Power1[[#This Row],[HP]]*(1+$BR$11)</f>
        <v>12.584</v>
      </c>
      <c r="BC14" s="39">
        <f t="shared" si="4"/>
        <v>90.690844041675433</v>
      </c>
      <c r="BE14" s="13" t="s">
        <v>465</v>
      </c>
      <c r="BF14" s="43">
        <v>0.63</v>
      </c>
      <c r="BG14" s="43">
        <v>1.3</v>
      </c>
      <c r="BH14" s="43">
        <v>1200</v>
      </c>
      <c r="BI14" s="43">
        <v>0.86350000000000005</v>
      </c>
      <c r="BJ14" s="43">
        <v>0.1288</v>
      </c>
      <c r="BK14" s="43">
        <v>0</v>
      </c>
      <c r="BL14" s="43">
        <v>1.6999999999999999E-3</v>
      </c>
      <c r="BM14" s="10">
        <f t="shared" si="5"/>
        <v>2.4617610000000005E-2</v>
      </c>
      <c r="BN14" s="43">
        <v>0.15690000000000001</v>
      </c>
      <c r="BO14" s="44"/>
      <c r="BQ14" s="10" t="s">
        <v>466</v>
      </c>
      <c r="BR14" s="56">
        <v>136.9</v>
      </c>
    </row>
    <row r="15" spans="1:70">
      <c r="B15" s="117"/>
      <c r="C15" s="117"/>
      <c r="D15" s="117"/>
      <c r="E15" s="117"/>
      <c r="F15" s="117"/>
      <c r="G15" s="117"/>
      <c r="H15" s="117"/>
      <c r="I15" s="117"/>
      <c r="J15" s="73"/>
      <c r="K15" s="5" t="str">
        <f>Implements7[[#This Row],[Implement type]]&amp;", "&amp;Implements7[[#This Row],[Width]]&amp;" "&amp;Implements7[[#This Row],[Width Unit]]</f>
        <v>Forage harvester, pull-type w/corn head, 7.5 Ft</v>
      </c>
      <c r="L15" s="21" t="s">
        <v>517</v>
      </c>
      <c r="M15" s="22">
        <v>7.5</v>
      </c>
      <c r="N15" s="21" t="s">
        <v>438</v>
      </c>
      <c r="O15" s="22">
        <v>3</v>
      </c>
      <c r="P15" s="21" t="s">
        <v>475</v>
      </c>
      <c r="Q15" s="23">
        <v>94500</v>
      </c>
      <c r="R15" s="24">
        <v>0.1</v>
      </c>
      <c r="S15" s="25">
        <f t="shared" si="0"/>
        <v>105000</v>
      </c>
      <c r="T15" s="22">
        <v>12</v>
      </c>
      <c r="U15" s="22">
        <v>200</v>
      </c>
      <c r="V15" s="26">
        <f t="shared" si="1"/>
        <v>413.63636363636363</v>
      </c>
      <c r="W15" s="22" t="s">
        <v>518</v>
      </c>
      <c r="X15" s="22">
        <v>3.5</v>
      </c>
      <c r="Y15" s="24">
        <v>0.65</v>
      </c>
      <c r="Z15" s="24">
        <v>1.1100000000000001</v>
      </c>
      <c r="AA15" s="22">
        <v>140</v>
      </c>
      <c r="AB15"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5" s="46">
        <f>Implements7[[#This Row],[TradeIn%]]*Implements7[[#This Row],[PriceL]]</f>
        <v>61464.830236666574</v>
      </c>
      <c r="AD15" s="47">
        <f>(Implements7[[#This Row],[PriceP]]-Implements7[[#This Row],[TradeIn$]])/Implements7[[#This Row],[Life (yr)]]/Implements7[[#This Row],[Use (ac/yr)]]</f>
        <v>6.6554371318071013</v>
      </c>
      <c r="AE15" s="30">
        <f>((Implements7[[#This Row],[PriceP]]+Implements7[[#This Row],[TradeIn$]])/2*($BR$7+$BR$8+$BR$9)+Implements7[[#This Row],[Shed (ft^2)]]*$BR$12)/Implements7[[#This Row],[Use (ac/yr)]]</f>
        <v>12.299629486468135</v>
      </c>
      <c r="AF15" s="48">
        <f>Implements7[[#This Row],[PriceL]]*(VLOOKUP(Implements7[[#This Row],[ASABEtype]],ASABECoefficients[],2)*(Implements7[[#This Row],[Life (yr)]]*Implements7[[#This Row],[Use (hr/yr)]]/1000)^VLOOKUP(Implements7[[#This Row],[ASABEtype]],ASABECoefficients[],3))/Implements7[[#This Row],[Life (yr)]]/Implements7[[#This Row],[Use (ac/yr)]]</f>
        <v>12.877115388658057</v>
      </c>
      <c r="AG15" s="7">
        <f>$BR$18/(Implements7[[#This Row],[Width]]*Implements7[[#This Row],[Speed]]*Implements7[[#This Row],[Efficiency]])</f>
        <v>0.48351648351648352</v>
      </c>
      <c r="AH15" s="32">
        <f>SUM(Implements7[[#This Row],[Depr ($/ac)]:[OH ($/ac)]])</f>
        <v>18.955066618275236</v>
      </c>
      <c r="AI15" s="33">
        <v>37</v>
      </c>
      <c r="AJ15" s="5" t="s">
        <v>618</v>
      </c>
      <c r="AK15" s="32"/>
      <c r="AL15" s="34" t="str">
        <f t="shared" si="2"/>
        <v>310 HP 4WD</v>
      </c>
      <c r="AM15" s="35">
        <v>310</v>
      </c>
      <c r="AN15" s="22" t="s">
        <v>467</v>
      </c>
      <c r="AO15" s="23">
        <v>410000</v>
      </c>
      <c r="AP15" s="24">
        <v>0.1</v>
      </c>
      <c r="AQ15" s="84">
        <f t="shared" si="3"/>
        <v>455555.55555555556</v>
      </c>
      <c r="AR15" s="22">
        <v>12</v>
      </c>
      <c r="AS15" s="22">
        <v>400</v>
      </c>
      <c r="AT15" s="22">
        <v>4.3999999999999997E-2</v>
      </c>
      <c r="AU15" s="22" t="s">
        <v>464</v>
      </c>
      <c r="AV15" s="22">
        <v>250</v>
      </c>
      <c r="AW15"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5" s="37">
        <f>Power1[[#This Row],[TradeIn%]]*Power1[[#This Row],[PriceL]]</f>
        <v>180334.11312984469</v>
      </c>
      <c r="AY15" s="39">
        <f>(Power1[[#This Row],[PriceP]]-Power1[[#This Row],[TradeIn$]])/Power1[[#This Row],[Life (yr)]]/Power1[[#This Row],[Use (hr/yr)]]</f>
        <v>47.847059764615686</v>
      </c>
      <c r="AZ15" s="39">
        <f>((Power1[[#This Row],[PriceP]]+Power1[[#This Row],[TradeIn$]])/2*($BR$7+$BR$8+$BR$9)+Power1[[#This Row],[Shed (ft^2)]]*$BR$12)/Power1[[#This Row],[Use (hr/yr)]]</f>
        <v>47.463532081659586</v>
      </c>
      <c r="BA15" s="42">
        <f>Power1[[#This Row],[PriceL]]*(VLOOKUP(Power1[[#This Row],[ASABEtype]],ASABECoefficients[],2)*(Power1[[#This Row],[Life (yr)]]*Power1[[#This Row],[Use (hr/yr)]]/1000)^VLOOKUP(Power1[[#This Row],[ASABEtype]],ASABECoefficients[],3))/Power1[[#This Row],[Life (yr)]]/Power1[[#This Row],[Use (hr/yr)]]</f>
        <v>6.56</v>
      </c>
      <c r="BB15" s="41">
        <f>Power1[[#This Row],[Fuel (gal/hph)]]*Power1[[#This Row],[HP]]*(1+$BR$11)</f>
        <v>15.004</v>
      </c>
      <c r="BC15" s="39">
        <f t="shared" si="4"/>
        <v>95.310591846275273</v>
      </c>
      <c r="BE15" s="13" t="s">
        <v>461</v>
      </c>
      <c r="BF15" s="43">
        <v>0.27</v>
      </c>
      <c r="BG15" s="43">
        <v>1.4</v>
      </c>
      <c r="BH15" s="43">
        <v>2000</v>
      </c>
      <c r="BI15" s="43">
        <v>0.69269999999999998</v>
      </c>
      <c r="BJ15" s="43">
        <v>7.0300000000000001E-2</v>
      </c>
      <c r="BK15" s="43">
        <v>0</v>
      </c>
      <c r="BL15" s="43">
        <v>1.1999999999999999E-3</v>
      </c>
      <c r="BM15" s="10">
        <f t="shared" si="5"/>
        <v>1.4957290000000002E-2</v>
      </c>
      <c r="BN15" s="43">
        <v>0.12230000000000001</v>
      </c>
      <c r="BO15" s="44"/>
      <c r="BQ15" s="5" t="s">
        <v>468</v>
      </c>
      <c r="BR15" s="57">
        <v>129.5</v>
      </c>
    </row>
    <row r="16" spans="1:70" ht="16.5">
      <c r="B16" s="1"/>
      <c r="C16" s="1"/>
      <c r="D16" s="71"/>
      <c r="E16" s="71"/>
      <c r="F16" s="71"/>
      <c r="G16" s="71"/>
      <c r="H16" s="71"/>
      <c r="I16" s="71"/>
      <c r="J16" s="73"/>
      <c r="K16" s="5" t="str">
        <f>Implements7[[#This Row],[Implement type]]&amp;", "&amp;Implements7[[#This Row],[Width]]&amp;" "&amp;Implements7[[#This Row],[Width Unit]]</f>
        <v>Forage harvester, pull-type w/pickup head, 12 Ft</v>
      </c>
      <c r="L16" s="21" t="s">
        <v>520</v>
      </c>
      <c r="M16" s="22">
        <v>12</v>
      </c>
      <c r="N16" s="21" t="s">
        <v>438</v>
      </c>
      <c r="O16" s="22"/>
      <c r="P16" s="21"/>
      <c r="Q16" s="23">
        <v>83000</v>
      </c>
      <c r="R16" s="24">
        <v>0.1</v>
      </c>
      <c r="S16" s="25">
        <f t="shared" si="0"/>
        <v>92222.222222222219</v>
      </c>
      <c r="T16" s="22">
        <v>12</v>
      </c>
      <c r="U16" s="22">
        <v>200</v>
      </c>
      <c r="V16" s="26">
        <f t="shared" si="1"/>
        <v>661.81818181818187</v>
      </c>
      <c r="W16" s="22" t="s">
        <v>518</v>
      </c>
      <c r="X16" s="22">
        <v>3.5</v>
      </c>
      <c r="Y16" s="24">
        <v>0.65</v>
      </c>
      <c r="Z16" s="24">
        <v>1.1100000000000001</v>
      </c>
      <c r="AA16" s="22">
        <v>140</v>
      </c>
      <c r="AB16"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6" s="46">
        <f>Implements7[[#This Row],[TradeIn%]]*Implements7[[#This Row],[PriceL]]</f>
        <v>53984.98317082884</v>
      </c>
      <c r="AD16" s="47">
        <f>(Implements7[[#This Row],[PriceP]]-Implements7[[#This Row],[TradeIn$]])/Implements7[[#This Row],[Life (yr)]]/Implements7[[#This Row],[Use (ac/yr)]]</f>
        <v>3.6534476318782367</v>
      </c>
      <c r="AE16" s="30">
        <f>((Implements7[[#This Row],[PriceP]]+Implements7[[#This Row],[TradeIn$]])/2*($BR$7+$BR$8+$BR$9)+Implements7[[#This Row],[Shed (ft^2)]]*$BR$12)/Implements7[[#This Row],[Use (ac/yr)]]</f>
        <v>6.7767311230338168</v>
      </c>
      <c r="AF16" s="48">
        <f>Implements7[[#This Row],[PriceL]]*(VLOOKUP(Implements7[[#This Row],[ASABEtype]],ASABECoefficients[],2)*(Implements7[[#This Row],[Life (yr)]]*Implements7[[#This Row],[Use (hr/yr)]]/1000)^VLOOKUP(Implements7[[#This Row],[ASABEtype]],ASABECoefficients[],3))/Implements7[[#This Row],[Life (yr)]]/Implements7[[#This Row],[Use (ac/yr)]]</f>
        <v>7.0687868866310763</v>
      </c>
      <c r="AG16" s="7">
        <f>$BR$18/(Implements7[[#This Row],[Width]]*Implements7[[#This Row],[Speed]]*Implements7[[#This Row],[Efficiency]])</f>
        <v>0.30219780219780218</v>
      </c>
      <c r="AH16" s="32">
        <f>SUM(Implements7[[#This Row],[Depr ($/ac)]:[OH ($/ac)]])</f>
        <v>10.430178754912053</v>
      </c>
      <c r="AI16" s="33">
        <v>38</v>
      </c>
      <c r="AJ16" s="5" t="s">
        <v>618</v>
      </c>
      <c r="AK16" s="32"/>
      <c r="AL16" s="34" t="str">
        <f t="shared" si="2"/>
        <v>360 HP 4WD</v>
      </c>
      <c r="AM16" s="35">
        <v>360</v>
      </c>
      <c r="AN16" s="22" t="s">
        <v>467</v>
      </c>
      <c r="AO16" s="23">
        <v>437000</v>
      </c>
      <c r="AP16" s="24">
        <v>0.1</v>
      </c>
      <c r="AQ16" s="84">
        <f t="shared" si="3"/>
        <v>485555.55555555556</v>
      </c>
      <c r="AR16" s="22">
        <v>12</v>
      </c>
      <c r="AS16" s="22">
        <v>400</v>
      </c>
      <c r="AT16" s="22">
        <v>4.3999999999999997E-2</v>
      </c>
      <c r="AU16" s="22" t="s">
        <v>464</v>
      </c>
      <c r="AV16" s="22">
        <v>250</v>
      </c>
      <c r="AW16"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6" s="37">
        <f>Power1[[#This Row],[TradeIn%]]*Power1[[#This Row],[PriceL]]</f>
        <v>192209.77423839545</v>
      </c>
      <c r="AY16" s="39">
        <f>(Power1[[#This Row],[PriceP]]-Power1[[#This Row],[TradeIn$]])/Power1[[#This Row],[Life (yr)]]/Power1[[#This Row],[Use (hr/yr)]]</f>
        <v>50.997963700334282</v>
      </c>
      <c r="AZ16" s="39">
        <f>((Power1[[#This Row],[PriceP]]+Power1[[#This Row],[TradeIn$]])/2*($BR$7+$BR$8+$BR$9)+Power1[[#This Row],[Shed (ft^2)]]*$BR$12)/Power1[[#This Row],[Use (hr/yr)]]</f>
        <v>50.549287682150819</v>
      </c>
      <c r="BA16" s="42">
        <f>Power1[[#This Row],[PriceL]]*(VLOOKUP(Power1[[#This Row],[ASABEtype]],ASABECoefficients[],2)*(Power1[[#This Row],[Life (yr)]]*Power1[[#This Row],[Use (hr/yr)]]/1000)^VLOOKUP(Power1[[#This Row],[ASABEtype]],ASABECoefficients[],3))/Power1[[#This Row],[Life (yr)]]/Power1[[#This Row],[Use (hr/yr)]]</f>
        <v>6.9919999999999991</v>
      </c>
      <c r="BB16" s="41">
        <f>Power1[[#This Row],[Fuel (gal/hph)]]*Power1[[#This Row],[HP]]*(1+$BR$11)</f>
        <v>17.423999999999999</v>
      </c>
      <c r="BC16" s="39">
        <f t="shared" si="4"/>
        <v>101.5472513824851</v>
      </c>
      <c r="BE16" s="13" t="s">
        <v>470</v>
      </c>
      <c r="BF16" s="43">
        <v>0.22</v>
      </c>
      <c r="BG16" s="43">
        <v>1.8</v>
      </c>
      <c r="BH16" s="43">
        <v>1500</v>
      </c>
      <c r="BI16" s="43">
        <v>0.65290000000000004</v>
      </c>
      <c r="BJ16" s="43">
        <v>0.15110000000000001</v>
      </c>
      <c r="BK16" s="43">
        <v>0</v>
      </c>
      <c r="BL16" s="43">
        <v>7.7999999999999996E-3</v>
      </c>
      <c r="BM16" s="10">
        <f t="shared" si="5"/>
        <v>1.525225E-2</v>
      </c>
      <c r="BN16" s="43">
        <v>0.1235</v>
      </c>
      <c r="BO16" s="44"/>
      <c r="BQ16" s="5" t="s">
        <v>471</v>
      </c>
      <c r="BR16" s="57">
        <v>76.783000000000001</v>
      </c>
    </row>
    <row r="17" spans="2:70">
      <c r="D17" s="72"/>
      <c r="E17" s="72"/>
      <c r="F17" s="73"/>
      <c r="G17" s="72"/>
      <c r="H17" s="72"/>
      <c r="I17" s="73"/>
      <c r="J17" s="77"/>
      <c r="K17" s="5" t="str">
        <f>Implements7[[#This Row],[Implement type]]&amp;", "&amp;Implements7[[#This Row],[Width]]&amp;" "&amp;Implements7[[#This Row],[Width Unit]]</f>
        <v>Forage harvester, self-prop corn head, 15 Ft</v>
      </c>
      <c r="L17" s="51" t="s">
        <v>521</v>
      </c>
      <c r="M17" s="22">
        <v>15</v>
      </c>
      <c r="N17" s="21" t="s">
        <v>438</v>
      </c>
      <c r="O17" s="22">
        <v>6</v>
      </c>
      <c r="P17" s="21" t="s">
        <v>475</v>
      </c>
      <c r="Q17" s="23">
        <v>107500</v>
      </c>
      <c r="R17" s="24">
        <v>0.1</v>
      </c>
      <c r="S17" s="25">
        <f t="shared" si="0"/>
        <v>119444.44444444444</v>
      </c>
      <c r="T17" s="22">
        <v>12</v>
      </c>
      <c r="U17" s="22">
        <v>200</v>
      </c>
      <c r="V17" s="26">
        <f t="shared" si="1"/>
        <v>1018.1818181818181</v>
      </c>
      <c r="W17" s="22" t="s">
        <v>477</v>
      </c>
      <c r="X17" s="22">
        <v>4</v>
      </c>
      <c r="Y17" s="24">
        <v>0.7</v>
      </c>
      <c r="Z17" s="24">
        <v>1.1100000000000001</v>
      </c>
      <c r="AA17" s="22">
        <v>300</v>
      </c>
      <c r="AB17"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7" s="46">
        <f>Implements7[[#This Row],[TradeIn%]]*Implements7[[#This Row],[PriceL]]</f>
        <v>69920.309528483136</v>
      </c>
      <c r="AD17" s="47">
        <f>(Implements7[[#This Row],[PriceP]]-Implements7[[#This Row],[TradeIn$]])/Implements7[[#This Row],[Life (yr)]]/Implements7[[#This Row],[Use (ac/yr)]]</f>
        <v>3.0757187141866482</v>
      </c>
      <c r="AE17" s="30">
        <f>((Implements7[[#This Row],[PriceP]]+Implements7[[#This Row],[TradeIn$]])/2*($BR$7+$BR$8+$BR$9)+Implements7[[#This Row],[Shed (ft^2)]]*$BR$12)/Implements7[[#This Row],[Use (ac/yr)]]</f>
        <v>5.8180772929703117</v>
      </c>
      <c r="AF17" s="48">
        <f>Implements7[[#This Row],[PriceL]]*(VLOOKUP(Implements7[[#This Row],[ASABEtype]],ASABECoefficients[],2)*(Implements7[[#This Row],[Life (yr)]]*Implements7[[#This Row],[Use (hr/yr)]]/1000)^VLOOKUP(Implements7[[#This Row],[ASABEtype]],ASABECoefficients[],3))/Implements7[[#This Row],[Life (yr)]]/Implements7[[#This Row],[Use (ac/yr)]]</f>
        <v>1.6892857142857141</v>
      </c>
      <c r="AG17" s="7">
        <f>$BR$18/(Implements7[[#This Row],[Width]]*Implements7[[#This Row],[Speed]]*Implements7[[#This Row],[Efficiency]])</f>
        <v>0.19642857142857142</v>
      </c>
      <c r="AH17" s="32">
        <f>SUM(Implements7[[#This Row],[Depr ($/ac)]:[OH ($/ac)]])</f>
        <v>8.8937960071569595</v>
      </c>
      <c r="AI17" s="33">
        <v>39</v>
      </c>
      <c r="AJ17" s="5" t="s">
        <v>618</v>
      </c>
      <c r="AK17" s="32"/>
      <c r="AL17" s="34" t="str">
        <f t="shared" si="2"/>
        <v>425 HP 4WD</v>
      </c>
      <c r="AM17" s="35">
        <v>425</v>
      </c>
      <c r="AN17" s="22" t="s">
        <v>467</v>
      </c>
      <c r="AO17" s="23">
        <v>482000</v>
      </c>
      <c r="AP17" s="24">
        <v>0.1</v>
      </c>
      <c r="AQ17" s="84">
        <f t="shared" si="3"/>
        <v>535555.5555555555</v>
      </c>
      <c r="AR17" s="22">
        <v>12</v>
      </c>
      <c r="AS17" s="22">
        <v>400</v>
      </c>
      <c r="AT17" s="22">
        <v>4.3999999999999997E-2</v>
      </c>
      <c r="AU17" s="22" t="s">
        <v>464</v>
      </c>
      <c r="AV17" s="22">
        <v>250</v>
      </c>
      <c r="AW17"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7" s="37">
        <f>Power1[[#This Row],[TradeIn%]]*Power1[[#This Row],[PriceL]]</f>
        <v>212002.54275264667</v>
      </c>
      <c r="AY17" s="39">
        <f>(Power1[[#This Row],[PriceP]]-Power1[[#This Row],[TradeIn$]])/Power1[[#This Row],[Life (yr)]]/Power1[[#This Row],[Use (hr/yr)]]</f>
        <v>56.249470259865276</v>
      </c>
      <c r="AZ17" s="39">
        <f>((Power1[[#This Row],[PriceP]]+Power1[[#This Row],[TradeIn$]])/2*($BR$7+$BR$8+$BR$9)+Power1[[#This Row],[Shed (ft^2)]]*$BR$12)/Power1[[#This Row],[Use (hr/yr)]]</f>
        <v>55.692213682969495</v>
      </c>
      <c r="BA17" s="42">
        <f>Power1[[#This Row],[PriceL]]*(VLOOKUP(Power1[[#This Row],[ASABEtype]],ASABECoefficients[],2)*(Power1[[#This Row],[Life (yr)]]*Power1[[#This Row],[Use (hr/yr)]]/1000)^VLOOKUP(Power1[[#This Row],[ASABEtype]],ASABECoefficients[],3))/Power1[[#This Row],[Life (yr)]]/Power1[[#This Row],[Use (hr/yr)]]</f>
        <v>7.7119999999999997</v>
      </c>
      <c r="BB17" s="41">
        <f>Power1[[#This Row],[Fuel (gal/hph)]]*Power1[[#This Row],[HP]]*(1+$BR$11)</f>
        <v>20.57</v>
      </c>
      <c r="BC17" s="39">
        <f t="shared" si="4"/>
        <v>111.94168394283477</v>
      </c>
      <c r="BE17" s="13" t="s">
        <v>472</v>
      </c>
      <c r="BF17" s="43">
        <v>0.15</v>
      </c>
      <c r="BG17" s="43">
        <v>1.6</v>
      </c>
      <c r="BH17" s="43">
        <v>2500</v>
      </c>
      <c r="BI17" s="43">
        <v>0.65290000000000004</v>
      </c>
      <c r="BJ17" s="43">
        <v>0.15110000000000001</v>
      </c>
      <c r="BK17" s="43">
        <v>0</v>
      </c>
      <c r="BL17" s="43">
        <v>7.7999999999999996E-3</v>
      </c>
      <c r="BM17" s="10">
        <f t="shared" si="5"/>
        <v>1.525225E-2</v>
      </c>
      <c r="BN17" s="43">
        <v>0.1235</v>
      </c>
      <c r="BO17" s="44"/>
      <c r="BQ17" s="10" t="s">
        <v>473</v>
      </c>
      <c r="BR17" s="58">
        <f>BR14*BR16/BR15</f>
        <v>81.170600000000007</v>
      </c>
    </row>
    <row r="18" spans="2:70">
      <c r="D18" s="72"/>
      <c r="E18" s="72"/>
      <c r="F18" s="73"/>
      <c r="G18" s="72"/>
      <c r="H18" s="72"/>
      <c r="I18" s="73"/>
      <c r="K18" s="5" t="str">
        <f>Implements7[[#This Row],[Implement type]]&amp;", "&amp;Implements7[[#This Row],[Width]]&amp;" "&amp;Implements7[[#This Row],[Width Unit]]</f>
        <v>Forage harvester, self-prop corn head, 20 Ft Folding</v>
      </c>
      <c r="L18" s="51" t="s">
        <v>521</v>
      </c>
      <c r="M18" s="22">
        <v>20</v>
      </c>
      <c r="N18" s="21" t="s">
        <v>585</v>
      </c>
      <c r="O18" s="22">
        <v>8</v>
      </c>
      <c r="P18" s="21" t="s">
        <v>475</v>
      </c>
      <c r="Q18" s="23">
        <v>141000</v>
      </c>
      <c r="R18" s="24">
        <v>0.1</v>
      </c>
      <c r="S18" s="25">
        <f t="shared" si="0"/>
        <v>156666.66666666666</v>
      </c>
      <c r="T18" s="22">
        <v>12</v>
      </c>
      <c r="U18" s="22">
        <v>200</v>
      </c>
      <c r="V18" s="26">
        <f t="shared" si="1"/>
        <v>1357.5757575757575</v>
      </c>
      <c r="W18" s="22" t="s">
        <v>477</v>
      </c>
      <c r="X18" s="22">
        <v>4</v>
      </c>
      <c r="Y18" s="24">
        <v>0.7</v>
      </c>
      <c r="Z18" s="24">
        <v>1.1100000000000001</v>
      </c>
      <c r="AA18" s="22">
        <v>300</v>
      </c>
      <c r="AB18"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8" s="46">
        <f>Implements7[[#This Row],[TradeIn%]]*Implements7[[#This Row],[PriceL]]</f>
        <v>91709.429242010432</v>
      </c>
      <c r="AD18" s="47">
        <f>(Implements7[[#This Row],[PriceP]]-Implements7[[#This Row],[TradeIn$]])/Implements7[[#This Row],[Life (yr)]]/Implements7[[#This Row],[Use (ac/yr)]]</f>
        <v>3.0256488746533776</v>
      </c>
      <c r="AE18" s="30">
        <f>((Implements7[[#This Row],[PriceP]]+Implements7[[#This Row],[TradeIn$]])/2*($BR$7+$BR$8+$BR$9)+Implements7[[#This Row],[Shed (ft^2)]]*$BR$12)/Implements7[[#This Row],[Use (ac/yr)]]</f>
        <v>5.6566199157064894</v>
      </c>
      <c r="AF18" s="48">
        <f>Implements7[[#This Row],[PriceL]]*(VLOOKUP(Implements7[[#This Row],[ASABEtype]],ASABECoefficients[],2)*(Implements7[[#This Row],[Life (yr)]]*Implements7[[#This Row],[Use (hr/yr)]]/1000)^VLOOKUP(Implements7[[#This Row],[ASABEtype]],ASABECoefficients[],3))/Implements7[[#This Row],[Life (yr)]]/Implements7[[#This Row],[Use (ac/yr)]]</f>
        <v>1.661785714285714</v>
      </c>
      <c r="AG18" s="7">
        <f>$BR$18/(Implements7[[#This Row],[Width]]*Implements7[[#This Row],[Speed]]*Implements7[[#This Row],[Efficiency]])</f>
        <v>0.14732142857142858</v>
      </c>
      <c r="AH18" s="32">
        <f>SUM(Implements7[[#This Row],[Depr ($/ac)]:[OH ($/ac)]])</f>
        <v>8.682268790359867</v>
      </c>
      <c r="AI18" s="33">
        <v>40</v>
      </c>
      <c r="AJ18" s="5" t="s">
        <v>618</v>
      </c>
      <c r="AK18" s="32"/>
      <c r="AL18" s="34" t="str">
        <f t="shared" si="2"/>
        <v>575 HP Tracked 4WD</v>
      </c>
      <c r="AM18" s="35">
        <v>575</v>
      </c>
      <c r="AN18" s="22" t="s">
        <v>589</v>
      </c>
      <c r="AO18" s="23">
        <v>632000</v>
      </c>
      <c r="AP18" s="24">
        <v>0.1</v>
      </c>
      <c r="AQ18" s="84">
        <f>AO18/(1-AP18)</f>
        <v>702222.22222222225</v>
      </c>
      <c r="AR18" s="22">
        <v>12</v>
      </c>
      <c r="AS18" s="22">
        <v>400</v>
      </c>
      <c r="AT18" s="22">
        <v>4.3999999999999997E-2</v>
      </c>
      <c r="AU18" s="22" t="s">
        <v>464</v>
      </c>
      <c r="AV18" s="22">
        <v>275</v>
      </c>
      <c r="AW18"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0.39585537028502493</v>
      </c>
      <c r="AX18" s="37">
        <f>Power1[[#This Row],[TradeIn%]]*Power1[[#This Row],[PriceL]]</f>
        <v>277978.43780015083</v>
      </c>
      <c r="AY18" s="39">
        <f>(Power1[[#This Row],[PriceP]]-Power1[[#This Row],[TradeIn$]])/Power1[[#This Row],[Life (yr)]]/Power1[[#This Row],[Use (hr/yr)]]</f>
        <v>73.754492124968579</v>
      </c>
      <c r="AZ18" s="79">
        <f>((Power1[[#This Row],[PriceP]]+Power1[[#This Row],[TradeIn$]])*($BR$7+$BR$8+$BR$9)+Power1[[#This Row],[Shed (ft^2)]]*$BR$12)/Power1[[#This Row],[Use (hr/yr)]]</f>
        <v>145.12541503794992</v>
      </c>
      <c r="BA18" s="42">
        <f>Power1[[#This Row],[PriceL]]*(VLOOKUP(Power1[[#This Row],[ASABEtype]],ASABECoefficients[],2)*(Power1[[#This Row],[Life (yr)]]*Power1[[#This Row],[Use (hr/yr)]]/1000)^VLOOKUP(Power1[[#This Row],[ASABEtype]],ASABECoefficients[],3))/Power1[[#This Row],[Life (yr)]]/Power1[[#This Row],[Use (hr/yr)]]</f>
        <v>10.112000000000002</v>
      </c>
      <c r="BB18" s="41">
        <f>Power1[[#This Row],[Fuel (gal/hph)]]*Power1[[#This Row],[HP]]*(1+$BR$11)</f>
        <v>27.83</v>
      </c>
      <c r="BC18" s="39">
        <f t="shared" si="4"/>
        <v>218.8799071629185</v>
      </c>
      <c r="BE18" s="13" t="s">
        <v>477</v>
      </c>
      <c r="BF18" s="43">
        <v>0.03</v>
      </c>
      <c r="BG18" s="43">
        <v>2</v>
      </c>
      <c r="BH18" s="43">
        <v>4000</v>
      </c>
      <c r="BI18" s="43">
        <v>0.65290000000000004</v>
      </c>
      <c r="BJ18" s="43">
        <v>0.15110000000000001</v>
      </c>
      <c r="BK18" s="43">
        <v>0</v>
      </c>
      <c r="BL18" s="43">
        <v>7.7999999999999996E-3</v>
      </c>
      <c r="BM18" s="10">
        <f t="shared" si="5"/>
        <v>1.525225E-2</v>
      </c>
      <c r="BN18" s="43">
        <v>0.1235</v>
      </c>
      <c r="BO18" s="44"/>
      <c r="BQ18" s="10" t="s">
        <v>478</v>
      </c>
      <c r="BR18" s="43">
        <v>8.25</v>
      </c>
    </row>
    <row r="19" spans="2:70">
      <c r="D19" s="72"/>
      <c r="E19" s="72"/>
      <c r="F19" s="73"/>
      <c r="G19" s="72"/>
      <c r="H19" s="72"/>
      <c r="I19" s="73"/>
      <c r="K19" s="5" t="str">
        <f>Implements7[[#This Row],[Implement type]]&amp;", "&amp;Implements7[[#This Row],[Width]]&amp;" "&amp;Implements7[[#This Row],[Width Unit]]</f>
        <v>Forage harvester, self-prop pickup head (2X windrows), 24 Ft Folding</v>
      </c>
      <c r="L19" s="21" t="s">
        <v>525</v>
      </c>
      <c r="M19" s="22">
        <v>24</v>
      </c>
      <c r="N19" s="21" t="s">
        <v>585</v>
      </c>
      <c r="O19" s="22"/>
      <c r="P19" s="21"/>
      <c r="Q19" s="23">
        <v>35000</v>
      </c>
      <c r="R19" s="24">
        <v>0.1</v>
      </c>
      <c r="S19" s="25">
        <f t="shared" si="0"/>
        <v>38888.888888888891</v>
      </c>
      <c r="T19" s="22">
        <v>12</v>
      </c>
      <c r="U19" s="22">
        <v>200</v>
      </c>
      <c r="V19" s="26">
        <f t="shared" si="1"/>
        <v>1629.0909090909088</v>
      </c>
      <c r="W19" s="22" t="s">
        <v>477</v>
      </c>
      <c r="X19" s="22">
        <v>4</v>
      </c>
      <c r="Y19" s="24">
        <v>0.7</v>
      </c>
      <c r="Z19" s="24">
        <v>1.1100000000000001</v>
      </c>
      <c r="AA19" s="22">
        <v>300</v>
      </c>
      <c r="AB19"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19" s="46">
        <f>Implements7[[#This Row],[TradeIn%]]*Implements7[[#This Row],[PriceL]]</f>
        <v>22764.751939506139</v>
      </c>
      <c r="AD19" s="47">
        <f>(Implements7[[#This Row],[PriceP]]-Implements7[[#This Row],[TradeIn$]])/Implements7[[#This Row],[Life (yr)]]/Implements7[[#This Row],[Use (ac/yr)]]</f>
        <v>0.62587299416588771</v>
      </c>
      <c r="AE19" s="30">
        <f>((Implements7[[#This Row],[PriceP]]+Implements7[[#This Row],[TradeIn$]])/2*($BR$7+$BR$8+$BR$9)+Implements7[[#This Row],[Shed (ft^2)]]*$BR$12)/Implements7[[#This Row],[Use (ac/yr)]]</f>
        <v>1.3042836045377943</v>
      </c>
      <c r="AF19" s="48">
        <f>Implements7[[#This Row],[PriceL]]*(VLOOKUP(Implements7[[#This Row],[ASABEtype]],ASABECoefficients[],2)*(Implements7[[#This Row],[Life (yr)]]*Implements7[[#This Row],[Use (hr/yr)]]/1000)^VLOOKUP(Implements7[[#This Row],[ASABEtype]],ASABECoefficients[],3))/Implements7[[#This Row],[Life (yr)]]/Implements7[[#This Row],[Use (ac/yr)]]</f>
        <v>0.34375000000000006</v>
      </c>
      <c r="AG19" s="7">
        <f>$BR$18/(Implements7[[#This Row],[Width]]*Implements7[[#This Row],[Speed]]*Implements7[[#This Row],[Efficiency]])</f>
        <v>0.12276785714285716</v>
      </c>
      <c r="AH19" s="32">
        <f>SUM(Implements7[[#This Row],[Depr ($/ac)]:[OH ($/ac)]])</f>
        <v>1.9301565987036819</v>
      </c>
      <c r="AI19" s="33">
        <v>42</v>
      </c>
      <c r="AJ19" s="5" t="s">
        <v>618</v>
      </c>
      <c r="AK19" s="32"/>
      <c r="AL19" s="34" t="str">
        <f t="shared" si="2"/>
        <v>275 HP Combine</v>
      </c>
      <c r="AM19" s="35">
        <v>275</v>
      </c>
      <c r="AN19" s="22" t="s">
        <v>476</v>
      </c>
      <c r="AO19" s="23">
        <v>441000</v>
      </c>
      <c r="AP19" s="24">
        <v>0.2</v>
      </c>
      <c r="AQ19" s="84">
        <f t="shared" si="3"/>
        <v>551250</v>
      </c>
      <c r="AR19" s="22">
        <v>12</v>
      </c>
      <c r="AS19" s="22">
        <v>400</v>
      </c>
      <c r="AT19" s="22">
        <v>4.3999999999999997E-2</v>
      </c>
      <c r="AU19" s="22" t="s">
        <v>455</v>
      </c>
      <c r="AV19" s="22">
        <v>400</v>
      </c>
      <c r="AW19"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0.10399147106668855</v>
      </c>
      <c r="AX19" s="37">
        <f>Power1[[#This Row],[TradeIn%]]*Power1[[#This Row],[PriceL]]</f>
        <v>57325.298425512061</v>
      </c>
      <c r="AY19" s="39">
        <f>(Power1[[#This Row],[PriceP]]-Power1[[#This Row],[TradeIn$]])/Power1[[#This Row],[Life (yr)]]/Power1[[#This Row],[Use (hr/yr)]]</f>
        <v>79.932229494684989</v>
      </c>
      <c r="AZ19" s="39">
        <f>((Power1[[#This Row],[PriceP]]+Power1[[#This Row],[TradeIn$]])/2*($BR$7+$BR$8+$BR$9)+Power1[[#This Row],[Shed (ft^2)]]*$BR$12)/Power1[[#This Row],[Use (hr/yr)]]</f>
        <v>40.523789525690091</v>
      </c>
      <c r="BA19" s="42">
        <f>Power1[[#This Row],[PriceL]]*(VLOOKUP(Power1[[#This Row],[ASABEtype]],ASABECoefficients[],2)*(Power1[[#This Row],[Life (yr)]]*Power1[[#This Row],[Use (hr/yr)]]/1000)^VLOOKUP(Power1[[#This Row],[ASABEtype]],ASABECoefficients[],3))/Power1[[#This Row],[Life (yr)]]/Power1[[#This Row],[Use (hr/yr)]]</f>
        <v>123.81519754957228</v>
      </c>
      <c r="BB19" s="41">
        <f>Power1[[#This Row],[Fuel (gal/hph)]]*Power1[[#This Row],[HP]]*(1+$BR$11)</f>
        <v>13.31</v>
      </c>
      <c r="BC19" s="39">
        <f t="shared" si="4"/>
        <v>120.45601902037508</v>
      </c>
      <c r="BE19" s="13" t="s">
        <v>479</v>
      </c>
      <c r="BF19" s="43">
        <v>0.16</v>
      </c>
      <c r="BG19" s="43">
        <v>1.6</v>
      </c>
      <c r="BH19" s="43">
        <v>2000</v>
      </c>
      <c r="BI19" s="43">
        <v>0.80910000000000004</v>
      </c>
      <c r="BJ19" s="43">
        <v>0.1109</v>
      </c>
      <c r="BK19" s="43">
        <v>0</v>
      </c>
      <c r="BL19" s="43">
        <v>1.4E-3</v>
      </c>
      <c r="BM19" s="10">
        <f t="shared" si="5"/>
        <v>1.605289E-2</v>
      </c>
      <c r="BN19" s="43">
        <v>0.12670000000000001</v>
      </c>
      <c r="BO19" s="44"/>
    </row>
    <row r="20" spans="2:70">
      <c r="D20" s="72"/>
      <c r="E20" s="72"/>
      <c r="F20" s="73"/>
      <c r="G20" s="72"/>
      <c r="H20" s="72"/>
      <c r="I20" s="73"/>
      <c r="K20" s="5" t="str">
        <f>Implements7[[#This Row],[Implement type]]&amp;", "&amp;Implements7[[#This Row],[Width]]&amp;" "&amp;Implements7[[#This Row],[Width Unit]]</f>
        <v>Forage harvester, self-prop pickup head, 12 Ft</v>
      </c>
      <c r="L20" s="21" t="s">
        <v>523</v>
      </c>
      <c r="M20" s="22">
        <v>12</v>
      </c>
      <c r="N20" s="21" t="s">
        <v>438</v>
      </c>
      <c r="O20" s="22"/>
      <c r="P20" s="21"/>
      <c r="Q20" s="23">
        <v>35000</v>
      </c>
      <c r="R20" s="24">
        <v>0.1</v>
      </c>
      <c r="S20" s="25">
        <f t="shared" si="0"/>
        <v>38888.888888888891</v>
      </c>
      <c r="T20" s="22">
        <v>12</v>
      </c>
      <c r="U20" s="22">
        <v>200</v>
      </c>
      <c r="V20" s="26">
        <f t="shared" si="1"/>
        <v>814.54545454545439</v>
      </c>
      <c r="W20" s="22" t="s">
        <v>477</v>
      </c>
      <c r="X20" s="22">
        <v>4</v>
      </c>
      <c r="Y20" s="24">
        <v>0.7</v>
      </c>
      <c r="Z20" s="24">
        <v>1.1100000000000001</v>
      </c>
      <c r="AA20" s="22">
        <v>300</v>
      </c>
      <c r="AB20"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0.58537933558730071</v>
      </c>
      <c r="AC20" s="46">
        <f>Implements7[[#This Row],[TradeIn%]]*Implements7[[#This Row],[PriceL]]</f>
        <v>22764.751939506139</v>
      </c>
      <c r="AD20" s="47">
        <f>(Implements7[[#This Row],[PriceP]]-Implements7[[#This Row],[TradeIn$]])/Implements7[[#This Row],[Life (yr)]]/Implements7[[#This Row],[Use (ac/yr)]]</f>
        <v>1.2517459883317754</v>
      </c>
      <c r="AE20" s="30">
        <f>((Implements7[[#This Row],[PriceP]]+Implements7[[#This Row],[TradeIn$]])/2*($BR$7+$BR$8+$BR$9)+Implements7[[#This Row],[Shed (ft^2)]]*$BR$12)/Implements7[[#This Row],[Use (ac/yr)]]</f>
        <v>2.6085672090755887</v>
      </c>
      <c r="AF20" s="48">
        <f>Implements7[[#This Row],[PriceL]]*(VLOOKUP(Implements7[[#This Row],[ASABEtype]],ASABECoefficients[],2)*(Implements7[[#This Row],[Life (yr)]]*Implements7[[#This Row],[Use (hr/yr)]]/1000)^VLOOKUP(Implements7[[#This Row],[ASABEtype]],ASABECoefficients[],3))/Implements7[[#This Row],[Life (yr)]]/Implements7[[#This Row],[Use (ac/yr)]]</f>
        <v>0.68750000000000011</v>
      </c>
      <c r="AG20" s="7">
        <f>$BR$18/(Implements7[[#This Row],[Width]]*Implements7[[#This Row],[Speed]]*Implements7[[#This Row],[Efficiency]])</f>
        <v>0.24553571428571433</v>
      </c>
      <c r="AH20" s="32">
        <f>SUM(Implements7[[#This Row],[Depr ($/ac)]:[OH ($/ac)]])</f>
        <v>3.8603131974073639</v>
      </c>
      <c r="AI20" s="33">
        <v>41</v>
      </c>
      <c r="AJ20" s="5" t="s">
        <v>618</v>
      </c>
      <c r="AK20" s="32"/>
      <c r="AL20" s="34" t="str">
        <f t="shared" si="2"/>
        <v>375 HP Combine</v>
      </c>
      <c r="AM20" s="35">
        <v>375</v>
      </c>
      <c r="AN20" s="22" t="s">
        <v>476</v>
      </c>
      <c r="AO20" s="23">
        <v>510000</v>
      </c>
      <c r="AP20" s="24">
        <v>0.2</v>
      </c>
      <c r="AQ20" s="84">
        <f t="shared" si="3"/>
        <v>637500</v>
      </c>
      <c r="AR20" s="22">
        <v>12</v>
      </c>
      <c r="AS20" s="22">
        <v>400</v>
      </c>
      <c r="AT20" s="22">
        <v>4.3999999999999997E-2</v>
      </c>
      <c r="AU20" s="22" t="s">
        <v>455</v>
      </c>
      <c r="AV20" s="22">
        <v>500</v>
      </c>
      <c r="AW20"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0.10399147106668855</v>
      </c>
      <c r="AX20" s="37">
        <f>Power1[[#This Row],[TradeIn%]]*Power1[[#This Row],[PriceL]]</f>
        <v>66294.562805013949</v>
      </c>
      <c r="AY20" s="39">
        <f>(Power1[[#This Row],[PriceP]]-Power1[[#This Row],[TradeIn$]])/Power1[[#This Row],[Life (yr)]]/Power1[[#This Row],[Use (hr/yr)]]</f>
        <v>92.438632748955428</v>
      </c>
      <c r="AZ20" s="39">
        <f>((Power1[[#This Row],[PriceP]]+Power1[[#This Row],[TradeIn$]])/2*($BR$7+$BR$8+$BR$9)+Power1[[#This Row],[Shed (ft^2)]]*$BR$12)/Power1[[#This Row],[Use (hr/yr)]]</f>
        <v>46.954904626604332</v>
      </c>
      <c r="BA20" s="42">
        <f>Power1[[#This Row],[PriceL]]*(VLOOKUP(Power1[[#This Row],[ASABEtype]],ASABECoefficients[],2)*(Power1[[#This Row],[Life (yr)]]*Power1[[#This Row],[Use (hr/yr)]]/1000)^VLOOKUP(Power1[[#This Row],[ASABEtype]],ASABECoefficients[],3))/Power1[[#This Row],[Life (yr)]]/Power1[[#This Row],[Use (hr/yr)]]</f>
        <v>143.18764342467543</v>
      </c>
      <c r="BB20" s="41">
        <f>Power1[[#This Row],[Fuel (gal/hph)]]*Power1[[#This Row],[HP]]*(1+$BR$11)</f>
        <v>18.150000000000002</v>
      </c>
      <c r="BC20" s="39">
        <f t="shared" si="4"/>
        <v>139.39353737555976</v>
      </c>
      <c r="BE20" s="13" t="s">
        <v>464</v>
      </c>
      <c r="BF20" s="43">
        <v>3.0000000000000001E-3</v>
      </c>
      <c r="BG20" s="43">
        <v>2</v>
      </c>
      <c r="BH20" s="43">
        <v>16000</v>
      </c>
      <c r="BI20" s="43">
        <v>0.86409999999999998</v>
      </c>
      <c r="BJ20" s="43">
        <v>0.15640000000000001</v>
      </c>
      <c r="BK20" s="43">
        <v>3.3999999999999998E-3</v>
      </c>
      <c r="BL20" s="43">
        <v>4.5999999999999999E-3</v>
      </c>
      <c r="BM20" s="10">
        <f t="shared" si="5"/>
        <v>7.3959999999999989E-3</v>
      </c>
      <c r="BN20" s="43">
        <v>8.5999999999999993E-2</v>
      </c>
      <c r="BO20" s="44"/>
    </row>
    <row r="21" spans="2:70">
      <c r="D21" s="72"/>
      <c r="E21" s="72"/>
      <c r="F21" s="73"/>
      <c r="G21" s="72"/>
      <c r="H21" s="72"/>
      <c r="I21" s="73"/>
      <c r="K21" s="5" t="str">
        <f>Implements7[[#This Row],[Implement type]]&amp;", "&amp;Implements7[[#This Row],[Width]]&amp;" "&amp;Implements7[[#This Row],[Width Unit]]</f>
        <v>Combine belt pickup hd, 23 Ft</v>
      </c>
      <c r="L21" s="21" t="s">
        <v>530</v>
      </c>
      <c r="M21" s="22">
        <v>23</v>
      </c>
      <c r="N21" s="21" t="s">
        <v>438</v>
      </c>
      <c r="O21" s="22"/>
      <c r="P21" s="21"/>
      <c r="Q21" s="23">
        <v>56000</v>
      </c>
      <c r="R21" s="24">
        <v>0.2</v>
      </c>
      <c r="S21" s="25">
        <f t="shared" si="0"/>
        <v>70000</v>
      </c>
      <c r="T21" s="22">
        <v>12</v>
      </c>
      <c r="U21" s="23">
        <v>106.52173913043478</v>
      </c>
      <c r="V21" s="26">
        <f t="shared" si="1"/>
        <v>831.51515151515139</v>
      </c>
      <c r="W21" s="22" t="s">
        <v>455</v>
      </c>
      <c r="X21" s="22">
        <v>4</v>
      </c>
      <c r="Y21" s="24">
        <v>0.7</v>
      </c>
      <c r="Z21" s="24">
        <v>1.1100000000000001</v>
      </c>
      <c r="AA21" s="22">
        <v>75</v>
      </c>
      <c r="AB21"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0.15758632073628612</v>
      </c>
      <c r="AC21" s="46">
        <f>Implements7[[#This Row],[TradeIn%]]*Implements7[[#This Row],[PriceL]]</f>
        <v>11031.042451540028</v>
      </c>
      <c r="AD21" s="47">
        <f>(Implements7[[#This Row],[PriceP]]-Implements7[[#This Row],[TradeIn$]])/Implements7[[#This Row],[Life (yr)]]/Implements7[[#This Row],[Use (ac/yr)]]</f>
        <v>4.5067286172837075</v>
      </c>
      <c r="AE21" s="30">
        <f>((Implements7[[#This Row],[PriceP]]+Implements7[[#This Row],[TradeIn$]])/2*($BR$7+$BR$8+$BR$9)+Implements7[[#This Row],[Shed (ft^2)]]*$BR$12)/Implements7[[#This Row],[Use (ac/yr)]]</f>
        <v>2.6468874512549063</v>
      </c>
      <c r="AF21" s="48">
        <f>Implements7[[#This Row],[PriceL]]*(VLOOKUP(Implements7[[#This Row],[ASABEtype]],ASABECoefficients[],2)*(Implements7[[#This Row],[Life (yr)]]*Implements7[[#This Row],[Use (hr/yr)]]/1000)^VLOOKUP(Implements7[[#This Row],[ASABEtype]],ASABECoefficients[],3))/Implements7[[#This Row],[Life (yr)]]/Implements7[[#This Row],[Use (ac/yr)]]</f>
        <v>0.46990228444688409</v>
      </c>
      <c r="AG21" s="7">
        <f>$BR$18/(Implements7[[#This Row],[Width]]*Implements7[[#This Row],[Speed]]*Implements7[[#This Row],[Efficiency]])</f>
        <v>0.12810559006211181</v>
      </c>
      <c r="AH21" s="32">
        <f>SUM(Implements7[[#This Row],[Depr ($/ac)]:[OH ($/ac)]])</f>
        <v>7.1536160685386143</v>
      </c>
      <c r="AI21" s="33">
        <v>53</v>
      </c>
      <c r="AJ21" s="5" t="s">
        <v>623</v>
      </c>
      <c r="AK21" s="32"/>
      <c r="AL21" s="34" t="str">
        <f t="shared" si="2"/>
        <v>440 HP Combine</v>
      </c>
      <c r="AM21" s="35">
        <v>440</v>
      </c>
      <c r="AN21" s="22" t="s">
        <v>476</v>
      </c>
      <c r="AO21" s="23">
        <v>541000</v>
      </c>
      <c r="AP21" s="24">
        <v>0.2</v>
      </c>
      <c r="AQ21" s="84">
        <f t="shared" si="3"/>
        <v>676250</v>
      </c>
      <c r="AR21" s="22">
        <v>12</v>
      </c>
      <c r="AS21" s="22">
        <v>400</v>
      </c>
      <c r="AT21" s="59">
        <f>0.044*370/425</f>
        <v>3.8305882352941169E-2</v>
      </c>
      <c r="AU21" s="22" t="s">
        <v>455</v>
      </c>
      <c r="AV21" s="22">
        <v>500</v>
      </c>
      <c r="AW21"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0.10399147106668855</v>
      </c>
      <c r="AX21" s="37">
        <f>Power1[[#This Row],[TradeIn%]]*Power1[[#This Row],[PriceL]]</f>
        <v>70324.232308848135</v>
      </c>
      <c r="AY21" s="39">
        <f>(Power1[[#This Row],[PriceP]]-Power1[[#This Row],[TradeIn$]])/Power1[[#This Row],[Life (yr)]]/Power1[[#This Row],[Use (hr/yr)]]</f>
        <v>98.057451602323312</v>
      </c>
      <c r="AZ21" s="39">
        <f>((Power1[[#This Row],[PriceP]]+Power1[[#This Row],[TradeIn$]])/2*($BR$7+$BR$8+$BR$9)+Power1[[#This Row],[Shed (ft^2)]]*$BR$12)/Power1[[#This Row],[Use (hr/yr)]]</f>
        <v>49.735384643471171</v>
      </c>
      <c r="BA21" s="42">
        <f>Power1[[#This Row],[PriceL]]*(VLOOKUP(Power1[[#This Row],[ASABEtype]],ASABECoefficients[],2)*(Power1[[#This Row],[Life (yr)]]*Power1[[#This Row],[Use (hr/yr)]]/1000)^VLOOKUP(Power1[[#This Row],[ASABEtype]],ASABECoefficients[],3))/Power1[[#This Row],[Life (yr)]]/Power1[[#This Row],[Use (hr/yr)]]</f>
        <v>151.89120606421451</v>
      </c>
      <c r="BB21" s="41">
        <f>Power1[[#This Row],[Fuel (gal/hph)]]*Power1[[#This Row],[HP]]*(1+$BR$11)</f>
        <v>18.540047058823525</v>
      </c>
      <c r="BC21" s="39">
        <f t="shared" si="4"/>
        <v>147.79283624579449</v>
      </c>
      <c r="BE21" s="13" t="s">
        <v>481</v>
      </c>
      <c r="BF21" s="43">
        <v>0.32</v>
      </c>
      <c r="BG21" s="43">
        <v>2.1</v>
      </c>
      <c r="BH21" s="43">
        <v>1500</v>
      </c>
      <c r="BI21" s="43">
        <v>1.2211000000000001</v>
      </c>
      <c r="BJ21" s="43">
        <v>0.17369999999999999</v>
      </c>
      <c r="BK21" s="43">
        <v>0</v>
      </c>
      <c r="BL21" s="43">
        <v>-1.6999999999999999E-3</v>
      </c>
      <c r="BM21" s="10">
        <f t="shared" si="5"/>
        <v>1.5976960000000002E-2</v>
      </c>
      <c r="BN21" s="43">
        <v>0.12640000000000001</v>
      </c>
      <c r="BO21" s="44"/>
    </row>
    <row r="22" spans="2:70">
      <c r="D22" s="72"/>
      <c r="E22" s="72"/>
      <c r="F22" s="73"/>
      <c r="G22" s="73"/>
      <c r="H22" s="72"/>
      <c r="I22" s="73"/>
      <c r="K22" s="5" t="str">
        <f>Implements7[[#This Row],[Implement type]]&amp;", "&amp;Implements7[[#This Row],[Width]]&amp;" "&amp;Implements7[[#This Row],[Width Unit]]</f>
        <v>Combine chopping corn hd, 20 Ft</v>
      </c>
      <c r="L22" s="21" t="s">
        <v>529</v>
      </c>
      <c r="M22" s="22">
        <v>20</v>
      </c>
      <c r="N22" s="21" t="s">
        <v>438</v>
      </c>
      <c r="O22" s="22">
        <v>8</v>
      </c>
      <c r="P22" s="21" t="s">
        <v>475</v>
      </c>
      <c r="Q22" s="23">
        <v>112500</v>
      </c>
      <c r="R22" s="24">
        <v>0.2</v>
      </c>
      <c r="S22" s="25">
        <f t="shared" si="0"/>
        <v>140625</v>
      </c>
      <c r="T22" s="22">
        <v>12</v>
      </c>
      <c r="U22" s="22">
        <v>200</v>
      </c>
      <c r="V22" s="26">
        <f t="shared" si="1"/>
        <v>1357.5757575757575</v>
      </c>
      <c r="W22" s="22" t="s">
        <v>444</v>
      </c>
      <c r="X22" s="22">
        <v>4</v>
      </c>
      <c r="Y22" s="24">
        <v>0.7</v>
      </c>
      <c r="Z22" s="24">
        <v>1.1100000000000001</v>
      </c>
      <c r="AA22" s="22">
        <v>160</v>
      </c>
      <c r="AB22"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22" s="46">
        <f>Implements7[[#This Row],[TradeIn%]]*Implements7[[#This Row],[PriceL]]</f>
        <v>48014.217646206947</v>
      </c>
      <c r="AD22" s="47">
        <f>(Implements7[[#This Row],[PriceP]]-Implements7[[#This Row],[TradeIn$]])/Implements7[[#This Row],[Life (yr)]]/Implements7[[#This Row],[Use (ac/yr)]]</f>
        <v>3.958390657877922</v>
      </c>
      <c r="AE22" s="30">
        <f>((Implements7[[#This Row],[PriceP]]+Implements7[[#This Row],[TradeIn$]])/2*($BR$7+$BR$8+$BR$9)+Implements7[[#This Row],[Shed (ft^2)]]*$BR$12)/Implements7[[#This Row],[Use (ac/yr)]]</f>
        <v>3.8682198139358248</v>
      </c>
      <c r="AF22" s="48">
        <f>Implements7[[#This Row],[PriceL]]*(VLOOKUP(Implements7[[#This Row],[ASABEtype]],ASABECoefficients[],2)*(Implements7[[#This Row],[Life (yr)]]*Implements7[[#This Row],[Use (hr/yr)]]/1000)^VLOOKUP(Implements7[[#This Row],[ASABEtype]],ASABECoefficients[],3))/Implements7[[#This Row],[Life (yr)]]/Implements7[[#This Row],[Use (ac/yr)]]</f>
        <v>8.2332439752530782</v>
      </c>
      <c r="AG22" s="7">
        <f>$BR$18/(Implements7[[#This Row],[Width]]*Implements7[[#This Row],[Speed]]*Implements7[[#This Row],[Efficiency]])</f>
        <v>0.14732142857142858</v>
      </c>
      <c r="AH22" s="32">
        <f>SUM(Implements7[[#This Row],[Depr ($/ac)]:[OH ($/ac)]])</f>
        <v>7.8266104718137468</v>
      </c>
      <c r="AI22" s="33">
        <v>48</v>
      </c>
      <c r="AJ22" s="5" t="s">
        <v>623</v>
      </c>
      <c r="AK22" s="32"/>
      <c r="AL22" s="34" t="str">
        <f t="shared" si="2"/>
        <v>400 HP SP Forage Harvester Base Unit</v>
      </c>
      <c r="AM22" s="35">
        <v>400</v>
      </c>
      <c r="AN22" s="22" t="s">
        <v>480</v>
      </c>
      <c r="AO22" s="23">
        <v>521000</v>
      </c>
      <c r="AP22" s="24">
        <v>0.1</v>
      </c>
      <c r="AQ22" s="84">
        <f t="shared" si="3"/>
        <v>578888.88888888888</v>
      </c>
      <c r="AR22" s="22">
        <v>12</v>
      </c>
      <c r="AS22" s="22">
        <v>350</v>
      </c>
      <c r="AT22" s="22">
        <v>2.4E-2</v>
      </c>
      <c r="AU22" s="22" t="s">
        <v>477</v>
      </c>
      <c r="AV22" s="22">
        <v>500</v>
      </c>
      <c r="AW22"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0.58537933558730071</v>
      </c>
      <c r="AX22" s="37">
        <f>Power1[[#This Row],[TradeIn%]]*Power1[[#This Row],[PriceL]]</f>
        <v>338869.59315664851</v>
      </c>
      <c r="AY22" s="39">
        <f>(Power1[[#This Row],[PriceP]]-Power1[[#This Row],[TradeIn$]])/Power1[[#This Row],[Life (yr)]]/Power1[[#This Row],[Use (hr/yr)]]</f>
        <v>43.364382581750355</v>
      </c>
      <c r="AZ22" s="39">
        <f>((Power1[[#This Row],[PriceP]]+Power1[[#This Row],[TradeIn$]])/2*($BR$7+$BR$8+$BR$9)+Power1[[#This Row],[Shed (ft^2)]]*$BR$12)/Power1[[#This Row],[Use (hr/yr)]]</f>
        <v>79.387054469446085</v>
      </c>
      <c r="BA22" s="42">
        <f>Power1[[#This Row],[PriceL]]*(VLOOKUP(Power1[[#This Row],[ASABEtype]],ASABECoefficients[],2)*(Power1[[#This Row],[Life (yr)]]*Power1[[#This Row],[Use (hr/yr)]]/1000)^VLOOKUP(Power1[[#This Row],[ASABEtype]],ASABECoefficients[],3))/Power1[[#This Row],[Life (yr)]]/Power1[[#This Row],[Use (hr/yr)]]</f>
        <v>72.94</v>
      </c>
      <c r="BB22" s="41">
        <f>Power1[[#This Row],[Fuel (gal/hph)]]*Power1[[#This Row],[HP]]*(1+$BR$11)</f>
        <v>10.56</v>
      </c>
      <c r="BC22" s="39">
        <f t="shared" si="4"/>
        <v>122.75143705119643</v>
      </c>
      <c r="BE22" s="13" t="s">
        <v>482</v>
      </c>
      <c r="BF22" s="43">
        <v>0.18</v>
      </c>
      <c r="BG22" s="43">
        <v>1.7</v>
      </c>
      <c r="BH22" s="43">
        <v>2000</v>
      </c>
      <c r="BI22" s="43">
        <v>0.71940000000000004</v>
      </c>
      <c r="BJ22" s="43">
        <v>0.11020000000000001</v>
      </c>
      <c r="BK22" s="43">
        <v>0</v>
      </c>
      <c r="BL22" s="43">
        <v>3.0000000000000001E-3</v>
      </c>
      <c r="BM22" s="10">
        <f t="shared" si="5"/>
        <v>1.4713690000000001E-2</v>
      </c>
      <c r="BN22" s="43">
        <v>0.12130000000000001</v>
      </c>
      <c r="BO22" s="44"/>
    </row>
    <row r="23" spans="2:70" ht="16.5">
      <c r="B23" s="1"/>
      <c r="C23" s="76"/>
      <c r="D23" s="77"/>
      <c r="E23" s="77"/>
      <c r="F23" s="77"/>
      <c r="G23" s="77"/>
      <c r="H23" s="77"/>
      <c r="I23" s="77"/>
      <c r="K23" s="5" t="str">
        <f>Implements7[[#This Row],[Implement type]]&amp;", "&amp;Implements7[[#This Row],[Width]]&amp;" "&amp;Implements7[[#This Row],[Width Unit]]</f>
        <v>Combine chopping corn hd, 22 Ft</v>
      </c>
      <c r="L23" s="21" t="s">
        <v>529</v>
      </c>
      <c r="M23" s="22">
        <v>22</v>
      </c>
      <c r="N23" s="21" t="s">
        <v>438</v>
      </c>
      <c r="O23" s="22">
        <v>12</v>
      </c>
      <c r="P23" s="21" t="s">
        <v>475</v>
      </c>
      <c r="Q23" s="23">
        <v>160000</v>
      </c>
      <c r="R23" s="24">
        <v>0.2</v>
      </c>
      <c r="S23" s="25">
        <f t="shared" si="0"/>
        <v>200000</v>
      </c>
      <c r="T23" s="22">
        <v>12</v>
      </c>
      <c r="U23" s="22">
        <v>200</v>
      </c>
      <c r="V23" s="26">
        <f t="shared" si="1"/>
        <v>1493.333333333333</v>
      </c>
      <c r="W23" s="22" t="s">
        <v>444</v>
      </c>
      <c r="X23" s="22">
        <v>4</v>
      </c>
      <c r="Y23" s="24">
        <v>0.7</v>
      </c>
      <c r="Z23" s="24">
        <v>1.1100000000000001</v>
      </c>
      <c r="AA23" s="22">
        <v>160</v>
      </c>
      <c r="AB23"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23" s="46">
        <f>Implements7[[#This Row],[TradeIn%]]*Implements7[[#This Row],[PriceL]]</f>
        <v>68286.887319049885</v>
      </c>
      <c r="AD23" s="47">
        <f>(Implements7[[#This Row],[PriceP]]-Implements7[[#This Row],[TradeIn$]])/Implements7[[#This Row],[Life (yr)]]/Implements7[[#This Row],[Use (ac/yr)]]</f>
        <v>5.1179192344280207</v>
      </c>
      <c r="AE23" s="30">
        <f>((Implements7[[#This Row],[PriceP]]+Implements7[[#This Row],[TradeIn$]])/2*($BR$7+$BR$8+$BR$9)+Implements7[[#This Row],[Shed (ft^2)]]*$BR$12)/Implements7[[#This Row],[Use (ac/yr)]]</f>
        <v>4.9574890891648984</v>
      </c>
      <c r="AF23" s="48">
        <f>Implements7[[#This Row],[PriceL]]*(VLOOKUP(Implements7[[#This Row],[ASABEtype]],ASABECoefficients[],2)*(Implements7[[#This Row],[Life (yr)]]*Implements7[[#This Row],[Use (hr/yr)]]/1000)^VLOOKUP(Implements7[[#This Row],[ASABEtype]],ASABECoefficients[],3))/Implements7[[#This Row],[Life (yr)]]/Implements7[[#This Row],[Use (ac/yr)]]</f>
        <v>10.645002311438326</v>
      </c>
      <c r="AG23" s="7">
        <f>$BR$18/(Implements7[[#This Row],[Width]]*Implements7[[#This Row],[Speed]]*Implements7[[#This Row],[Efficiency]])</f>
        <v>0.13392857142857145</v>
      </c>
      <c r="AH23" s="32">
        <f>SUM(Implements7[[#This Row],[Depr ($/ac)]:[OH ($/ac)]])</f>
        <v>10.075408323592919</v>
      </c>
      <c r="AI23" s="33">
        <v>52</v>
      </c>
      <c r="AJ23" s="5" t="s">
        <v>623</v>
      </c>
      <c r="AK23" s="32"/>
      <c r="AL23" s="34" t="str">
        <f t="shared" si="2"/>
        <v>625 HP SP Forage Harvester Base Unit</v>
      </c>
      <c r="AM23" s="35">
        <v>625</v>
      </c>
      <c r="AN23" s="22" t="s">
        <v>480</v>
      </c>
      <c r="AO23" s="23">
        <v>622000</v>
      </c>
      <c r="AP23" s="24">
        <v>0.1</v>
      </c>
      <c r="AQ23" s="84">
        <f t="shared" si="3"/>
        <v>691111.11111111112</v>
      </c>
      <c r="AR23" s="22">
        <v>12</v>
      </c>
      <c r="AS23" s="22">
        <v>350</v>
      </c>
      <c r="AT23" s="22">
        <v>2.4E-2</v>
      </c>
      <c r="AU23" s="22" t="s">
        <v>477</v>
      </c>
      <c r="AV23" s="22">
        <v>500</v>
      </c>
      <c r="AW23" s="36">
        <f>(VLOOKUP(Power1[[#This Row],[ASABEtype]],ASABECoefficients[],5)-VLOOKUP(Power1[[#This Row],[ASABEtype]],ASABECoefficients[],6)*Power1[[#This Row],[Life (yr)]]^0.5-VLOOKUP(Power1[[#This Row],[ASABEtype]],ASABECoefficients[],7)*Power1[[#This Row],[Use (hr/yr)]]^0.5+VLOOKUP(Power1[[#This Row],[ASABEtype]],ASABECoefficients[],8)*$BR$17)^2+0.25*VLOOKUP(Power1[[#This Row],[ASABEtype]],ASABECoefficients[],9)</f>
        <v>0.58537933558730071</v>
      </c>
      <c r="AX23" s="37">
        <f>Power1[[#This Row],[TradeIn%]]*Power1[[#This Row],[PriceL]]</f>
        <v>404562.16303922341</v>
      </c>
      <c r="AY23" s="39">
        <f>(Power1[[#This Row],[PriceP]]-Power1[[#This Row],[TradeIn$]])/Power1[[#This Row],[Life (yr)]]/Power1[[#This Row],[Use (hr/yr)]]</f>
        <v>51.770913562089667</v>
      </c>
      <c r="AZ23" s="39">
        <f>((Power1[[#This Row],[PriceP]]+Power1[[#This Row],[TradeIn$]])/2*($BR$7+$BR$8+$BR$9)+Power1[[#This Row],[Shed (ft^2)]]*$BR$12)/Power1[[#This Row],[Use (hr/yr)]]</f>
        <v>94.508451880222523</v>
      </c>
      <c r="BA23" s="42">
        <f>Power1[[#This Row],[PriceL]]*(VLOOKUP(Power1[[#This Row],[ASABEtype]],ASABECoefficients[],2)*(Power1[[#This Row],[Life (yr)]]*Power1[[#This Row],[Use (hr/yr)]]/1000)^VLOOKUP(Power1[[#This Row],[ASABEtype]],ASABECoefficients[],3))/Power1[[#This Row],[Life (yr)]]/Power1[[#This Row],[Use (hr/yr)]]</f>
        <v>87.08</v>
      </c>
      <c r="BB23" s="41">
        <f>Power1[[#This Row],[Fuel (gal/hph)]]*Power1[[#This Row],[HP]]*(1+$BR$11)</f>
        <v>16.5</v>
      </c>
      <c r="BC23" s="39">
        <f t="shared" si="4"/>
        <v>146.27936544231218</v>
      </c>
      <c r="BE23" s="13" t="s">
        <v>483</v>
      </c>
      <c r="BF23" s="43">
        <v>0.1</v>
      </c>
      <c r="BG23" s="43">
        <v>1.8</v>
      </c>
      <c r="BH23" s="43">
        <v>3000</v>
      </c>
      <c r="BI23" s="43">
        <v>0.80910000000000004</v>
      </c>
      <c r="BJ23" s="43">
        <v>0.1109</v>
      </c>
      <c r="BK23" s="43">
        <v>0</v>
      </c>
      <c r="BL23" s="43">
        <v>1.4E-3</v>
      </c>
      <c r="BM23" s="10">
        <f t="shared" si="5"/>
        <v>1.605289E-2</v>
      </c>
      <c r="BN23" s="43">
        <v>0.12670000000000001</v>
      </c>
      <c r="BO23" s="44"/>
    </row>
    <row r="24" spans="2:70">
      <c r="K24" s="5" t="str">
        <f>Implements7[[#This Row],[Implement type]]&amp;", "&amp;Implements7[[#This Row],[Width]]&amp;" "&amp;Implements7[[#This Row],[Width Unit]]</f>
        <v>Combine chopping corn hd, 30 Ft</v>
      </c>
      <c r="L24" s="21" t="s">
        <v>529</v>
      </c>
      <c r="M24" s="22">
        <v>30</v>
      </c>
      <c r="N24" s="21" t="s">
        <v>438</v>
      </c>
      <c r="O24" s="22">
        <v>12</v>
      </c>
      <c r="P24" s="21" t="s">
        <v>475</v>
      </c>
      <c r="Q24" s="23">
        <v>169500</v>
      </c>
      <c r="R24" s="24">
        <v>0.2</v>
      </c>
      <c r="S24" s="25">
        <f t="shared" si="0"/>
        <v>211875</v>
      </c>
      <c r="T24" s="22">
        <v>12</v>
      </c>
      <c r="U24" s="22">
        <v>200</v>
      </c>
      <c r="V24" s="26">
        <f t="shared" si="1"/>
        <v>2036.3636363636363</v>
      </c>
      <c r="W24" s="22" t="s">
        <v>444</v>
      </c>
      <c r="X24" s="22">
        <v>4</v>
      </c>
      <c r="Y24" s="24">
        <v>0.7</v>
      </c>
      <c r="Z24" s="24">
        <v>1.1100000000000001</v>
      </c>
      <c r="AA24" s="22">
        <v>160</v>
      </c>
      <c r="AB24"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24" s="46">
        <f>Implements7[[#This Row],[TradeIn%]]*Implements7[[#This Row],[PriceL]]</f>
        <v>72341.421253618464</v>
      </c>
      <c r="AD24" s="47">
        <f>(Implements7[[#This Row],[PriceP]]-Implements7[[#This Row],[TradeIn$]])/Implements7[[#This Row],[Life (yr)]]/Implements7[[#This Row],[Use (ac/yr)]]</f>
        <v>3.9759835052462686</v>
      </c>
      <c r="AE24" s="30">
        <f>((Implements7[[#This Row],[PriceP]]+Implements7[[#This Row],[TradeIn$]])/2*($BR$7+$BR$8+$BR$9)+Implements7[[#This Row],[Shed (ft^2)]]*$BR$12)/Implements7[[#This Row],[Use (ac/yr)]]</f>
        <v>3.8468277566069995</v>
      </c>
      <c r="AF24" s="48">
        <f>Implements7[[#This Row],[PriceL]]*(VLOOKUP(Implements7[[#This Row],[ASABEtype]],ASABECoefficients[],2)*(Implements7[[#This Row],[Life (yr)]]*Implements7[[#This Row],[Use (hr/yr)]]/1000)^VLOOKUP(Implements7[[#This Row],[ASABEtype]],ASABECoefficients[],3))/Implements7[[#This Row],[Life (yr)]]/Implements7[[#This Row],[Use (ac/yr)]]</f>
        <v>8.2698361706986461</v>
      </c>
      <c r="AG24" s="7">
        <f>$BR$18/(Implements7[[#This Row],[Width]]*Implements7[[#This Row],[Speed]]*Implements7[[#This Row],[Efficiency]])</f>
        <v>9.8214285714285712E-2</v>
      </c>
      <c r="AH24" s="32">
        <f>SUM(Implements7[[#This Row],[Depr ($/ac)]:[OH ($/ac)]])</f>
        <v>7.8228112618532677</v>
      </c>
      <c r="AI24" s="33">
        <v>51</v>
      </c>
      <c r="AJ24" s="5" t="s">
        <v>623</v>
      </c>
      <c r="AK24" s="32"/>
      <c r="BE24" s="13" t="s">
        <v>484</v>
      </c>
      <c r="BF24" s="43">
        <v>0.43</v>
      </c>
      <c r="BG24" s="43">
        <v>1.8</v>
      </c>
      <c r="BH24" s="43">
        <v>1500</v>
      </c>
      <c r="BI24" s="43">
        <v>0.80910000000000004</v>
      </c>
      <c r="BJ24" s="43">
        <v>0.1109</v>
      </c>
      <c r="BK24" s="43">
        <v>0</v>
      </c>
      <c r="BL24" s="43">
        <v>1.4E-3</v>
      </c>
      <c r="BM24" s="10">
        <f t="shared" si="5"/>
        <v>1.605289E-2</v>
      </c>
      <c r="BN24" s="43">
        <v>0.12670000000000001</v>
      </c>
      <c r="BO24" s="44"/>
    </row>
    <row r="25" spans="2:70" ht="15">
      <c r="K25" s="5" t="str">
        <f>Implements7[[#This Row],[Implement type]]&amp;", "&amp;Implements7[[#This Row],[Width]]&amp;" "&amp;Implements7[[#This Row],[Width Unit]]</f>
        <v>Combine corn hd, 15 Ft</v>
      </c>
      <c r="L25" s="21" t="s">
        <v>528</v>
      </c>
      <c r="M25" s="22">
        <v>15</v>
      </c>
      <c r="N25" s="21" t="s">
        <v>438</v>
      </c>
      <c r="O25" s="22">
        <v>6</v>
      </c>
      <c r="P25" s="21" t="s">
        <v>475</v>
      </c>
      <c r="Q25" s="23">
        <v>64000</v>
      </c>
      <c r="R25" s="24">
        <v>0.2</v>
      </c>
      <c r="S25" s="25">
        <f t="shared" si="0"/>
        <v>80000</v>
      </c>
      <c r="T25" s="22">
        <v>12</v>
      </c>
      <c r="U25" s="22">
        <v>200</v>
      </c>
      <c r="V25" s="26">
        <f t="shared" si="1"/>
        <v>1018.1818181818181</v>
      </c>
      <c r="W25" s="22" t="s">
        <v>455</v>
      </c>
      <c r="X25" s="22">
        <v>4</v>
      </c>
      <c r="Y25" s="24">
        <v>0.7</v>
      </c>
      <c r="Z25" s="24">
        <v>1.1100000000000001</v>
      </c>
      <c r="AA25" s="22">
        <v>120</v>
      </c>
      <c r="AB25"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25" s="46">
        <f>Implements7[[#This Row],[TradeIn%]]*Implements7[[#This Row],[PriceL]]</f>
        <v>10808.134189996164</v>
      </c>
      <c r="AD25" s="47">
        <f>(Implements7[[#This Row],[PriceP]]-Implements7[[#This Row],[TradeIn$]])/Implements7[[#This Row],[Life (yr)]]/Implements7[[#This Row],[Use (ac/yr)]]</f>
        <v>4.3535009219497196</v>
      </c>
      <c r="AE25" s="30">
        <f>((Implements7[[#This Row],[PriceP]]+Implements7[[#This Row],[TradeIn$]])/2*($BR$7+$BR$8+$BR$9)+Implements7[[#This Row],[Shed (ft^2)]]*$BR$12)/Implements7[[#This Row],[Use (ac/yr)]]</f>
        <v>2.4469740979673271</v>
      </c>
      <c r="AF25" s="48">
        <f>Implements7[[#This Row],[PriceL]]*(VLOOKUP(Implements7[[#This Row],[ASABEtype]],ASABECoefficients[],2)*(Implements7[[#This Row],[Life (yr)]]*Implements7[[#This Row],[Use (hr/yr)]]/1000)^VLOOKUP(Implements7[[#This Row],[ASABEtype]],ASABECoefficients[],3))/Implements7[[#This Row],[Life (yr)]]/Implements7[[#This Row],[Use (ac/yr)]]</f>
        <v>1.6465957963607134</v>
      </c>
      <c r="AG25" s="7">
        <f>$BR$18/(Implements7[[#This Row],[Width]]*Implements7[[#This Row],[Speed]]*Implements7[[#This Row],[Efficiency]])</f>
        <v>0.19642857142857142</v>
      </c>
      <c r="AH25" s="32">
        <f>SUM(Implements7[[#This Row],[Depr ($/ac)]:[OH ($/ac)]])</f>
        <v>6.8004750199170463</v>
      </c>
      <c r="AI25" s="33">
        <v>46</v>
      </c>
      <c r="AJ25" s="5" t="s">
        <v>623</v>
      </c>
      <c r="AK25" s="32"/>
      <c r="AV25" s="60" t="s">
        <v>485</v>
      </c>
      <c r="BE25" s="13" t="s">
        <v>486</v>
      </c>
      <c r="BF25" s="43">
        <v>0.16</v>
      </c>
      <c r="BG25" s="43">
        <v>1.6</v>
      </c>
      <c r="BH25" s="43">
        <v>2000</v>
      </c>
      <c r="BI25" s="43">
        <v>0.86350000000000005</v>
      </c>
      <c r="BJ25" s="43">
        <v>0.1288</v>
      </c>
      <c r="BK25" s="43">
        <v>0</v>
      </c>
      <c r="BL25" s="43">
        <v>1.6999999999999999E-3</v>
      </c>
      <c r="BM25" s="10">
        <f t="shared" si="5"/>
        <v>2.4617610000000005E-2</v>
      </c>
      <c r="BN25" s="43">
        <v>0.15690000000000001</v>
      </c>
      <c r="BO25" s="44" t="s">
        <v>487</v>
      </c>
    </row>
    <row r="26" spans="2:70" ht="15">
      <c r="K26" s="5" t="str">
        <f>Implements7[[#This Row],[Implement type]]&amp;", "&amp;Implements7[[#This Row],[Width]]&amp;" "&amp;Implements7[[#This Row],[Width Unit]]</f>
        <v>Combine corn hd, 20 Ft</v>
      </c>
      <c r="L26" s="21" t="s">
        <v>528</v>
      </c>
      <c r="M26" s="22">
        <v>20</v>
      </c>
      <c r="N26" s="21" t="s">
        <v>438</v>
      </c>
      <c r="O26" s="22">
        <v>8</v>
      </c>
      <c r="P26" s="21" t="s">
        <v>475</v>
      </c>
      <c r="Q26" s="23">
        <v>83000</v>
      </c>
      <c r="R26" s="24">
        <v>0.2</v>
      </c>
      <c r="S26" s="25">
        <f t="shared" si="0"/>
        <v>103750</v>
      </c>
      <c r="T26" s="22">
        <v>12</v>
      </c>
      <c r="U26" s="22">
        <v>200</v>
      </c>
      <c r="V26" s="26">
        <f t="shared" si="1"/>
        <v>1357.5757575757575</v>
      </c>
      <c r="W26" s="22" t="s">
        <v>455</v>
      </c>
      <c r="X26" s="22">
        <v>4</v>
      </c>
      <c r="Y26" s="24">
        <v>0.7</v>
      </c>
      <c r="Z26" s="24">
        <v>1.1100000000000001</v>
      </c>
      <c r="AA26" s="22">
        <v>160</v>
      </c>
      <c r="AB26"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26" s="46">
        <f>Implements7[[#This Row],[TradeIn%]]*Implements7[[#This Row],[PriceL]]</f>
        <v>14016.799027651276</v>
      </c>
      <c r="AD26" s="47">
        <f>(Implements7[[#This Row],[PriceP]]-Implements7[[#This Row],[TradeIn$]])/Implements7[[#This Row],[Life (yr)]]/Implements7[[#This Row],[Use (ac/yr)]]</f>
        <v>4.2344598811151561</v>
      </c>
      <c r="AE26" s="30">
        <f>((Implements7[[#This Row],[PriceP]]+Implements7[[#This Row],[TradeIn$]])/2*($BR$7+$BR$8+$BR$9)+Implements7[[#This Row],[Shed (ft^2)]]*$BR$12)/Implements7[[#This Row],[Use (ac/yr)]]</f>
        <v>2.3831881095252951</v>
      </c>
      <c r="AF26" s="48">
        <f>Implements7[[#This Row],[PriceL]]*(VLOOKUP(Implements7[[#This Row],[ASABEtype]],ASABECoefficients[],2)*(Implements7[[#This Row],[Life (yr)]]*Implements7[[#This Row],[Use (hr/yr)]]/1000)^VLOOKUP(Implements7[[#This Row],[ASABEtype]],ASABECoefficients[],3))/Implements7[[#This Row],[Life (yr)]]/Implements7[[#This Row],[Use (ac/yr)]]</f>
        <v>1.6015716925539754</v>
      </c>
      <c r="AG26" s="7">
        <f>$BR$18/(Implements7[[#This Row],[Width]]*Implements7[[#This Row],[Speed]]*Implements7[[#This Row],[Efficiency]])</f>
        <v>0.14732142857142858</v>
      </c>
      <c r="AH26" s="32">
        <f>SUM(Implements7[[#This Row],[Depr ($/ac)]:[OH ($/ac)]])</f>
        <v>6.6176479906404513</v>
      </c>
      <c r="AI26" s="33">
        <v>47</v>
      </c>
      <c r="AJ26" s="5" t="s">
        <v>623</v>
      </c>
      <c r="AK26" s="32"/>
      <c r="AV26" s="60" t="s">
        <v>488</v>
      </c>
      <c r="BE26" s="13" t="s">
        <v>449</v>
      </c>
      <c r="BF26" s="43">
        <v>5.0000000000000001E-3</v>
      </c>
      <c r="BG26" s="43">
        <v>2</v>
      </c>
      <c r="BH26" s="43">
        <v>16000</v>
      </c>
      <c r="BI26" s="43">
        <v>0.86409999999999998</v>
      </c>
      <c r="BJ26" s="43">
        <v>0.15640000000000001</v>
      </c>
      <c r="BK26" s="43">
        <v>3.3999999999999998E-3</v>
      </c>
      <c r="BL26" s="43">
        <v>4.5999999999999999E-3</v>
      </c>
      <c r="BM26" s="10">
        <f t="shared" si="5"/>
        <v>7.3959999999999989E-3</v>
      </c>
      <c r="BN26" s="43">
        <v>8.5999999999999993E-2</v>
      </c>
      <c r="BO26" s="44" t="s">
        <v>487</v>
      </c>
    </row>
    <row r="27" spans="2:70">
      <c r="K27" s="5" t="str">
        <f>Implements7[[#This Row],[Implement type]]&amp;", "&amp;Implements7[[#This Row],[Width]]&amp;" "&amp;Implements7[[#This Row],[Width Unit]]</f>
        <v>Combine corn hd, 22 Ft</v>
      </c>
      <c r="L27" s="21" t="s">
        <v>528</v>
      </c>
      <c r="M27" s="22">
        <v>22</v>
      </c>
      <c r="N27" s="21" t="s">
        <v>438</v>
      </c>
      <c r="O27" s="22">
        <v>12</v>
      </c>
      <c r="P27" s="21" t="s">
        <v>475</v>
      </c>
      <c r="Q27" s="23">
        <v>121500</v>
      </c>
      <c r="R27" s="24">
        <v>0.2</v>
      </c>
      <c r="S27" s="25">
        <f t="shared" si="0"/>
        <v>151875</v>
      </c>
      <c r="T27" s="22">
        <v>12</v>
      </c>
      <c r="U27" s="22">
        <v>200</v>
      </c>
      <c r="V27" s="26">
        <f t="shared" si="1"/>
        <v>1493.333333333333</v>
      </c>
      <c r="W27" s="22" t="s">
        <v>455</v>
      </c>
      <c r="X27" s="22">
        <v>4</v>
      </c>
      <c r="Y27" s="24">
        <v>0.7</v>
      </c>
      <c r="Z27" s="24">
        <v>1.1100000000000001</v>
      </c>
      <c r="AA27" s="22">
        <v>160</v>
      </c>
      <c r="AB27"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27" s="46">
        <f>Implements7[[#This Row],[TradeIn%]]*Implements7[[#This Row],[PriceL]]</f>
        <v>20518.567251320841</v>
      </c>
      <c r="AD27" s="47">
        <f>(Implements7[[#This Row],[PriceP]]-Implements7[[#This Row],[TradeIn$]])/Implements7[[#This Row],[Life (yr)]]/Implements7[[#This Row],[Use (ac/yr)]]</f>
        <v>5.6351245953504003</v>
      </c>
      <c r="AE27" s="30">
        <f>((Implements7[[#This Row],[PriceP]]+Implements7[[#This Row],[TradeIn$]])/2*($BR$7+$BR$8+$BR$9)+Implements7[[#This Row],[Shed (ft^2)]]*$BR$12)/Implements7[[#This Row],[Use (ac/yr)]]</f>
        <v>3.1233244716534712</v>
      </c>
      <c r="AF27" s="48">
        <f>Implements7[[#This Row],[PriceL]]*(VLOOKUP(Implements7[[#This Row],[ASABEtype]],ASABECoefficients[],2)*(Implements7[[#This Row],[Life (yr)]]*Implements7[[#This Row],[Use (hr/yr)]]/1000)^VLOOKUP(Implements7[[#This Row],[ASABEtype]],ASABECoefficients[],3))/Implements7[[#This Row],[Life (yr)]]/Implements7[[#This Row],[Use (ac/yr)]]</f>
        <v>2.1313358230592332</v>
      </c>
      <c r="AG27" s="7">
        <f>$BR$18/(Implements7[[#This Row],[Width]]*Implements7[[#This Row],[Speed]]*Implements7[[#This Row],[Efficiency]])</f>
        <v>0.13392857142857145</v>
      </c>
      <c r="AH27" s="32">
        <f>SUM(Implements7[[#This Row],[Depr ($/ac)]:[OH ($/ac)]])</f>
        <v>8.7584490670038715</v>
      </c>
      <c r="AI27" s="33">
        <v>50</v>
      </c>
      <c r="AJ27" s="5" t="s">
        <v>623</v>
      </c>
      <c r="AK27" s="32"/>
      <c r="BE27" s="13" t="s">
        <v>490</v>
      </c>
      <c r="BF27" s="43">
        <v>0.28999999999999998</v>
      </c>
      <c r="BG27" s="43">
        <v>1.8</v>
      </c>
      <c r="BH27" s="43">
        <v>2000</v>
      </c>
      <c r="BI27" s="43">
        <v>0.69269999999999998</v>
      </c>
      <c r="BJ27" s="43">
        <v>7.0300000000000001E-2</v>
      </c>
      <c r="BK27" s="43">
        <v>0</v>
      </c>
      <c r="BL27" s="43">
        <v>1.1999999999999999E-3</v>
      </c>
      <c r="BM27" s="10">
        <f t="shared" si="5"/>
        <v>1.4957290000000002E-2</v>
      </c>
      <c r="BN27" s="43">
        <v>0.12230000000000001</v>
      </c>
      <c r="BO27" s="44"/>
    </row>
    <row r="28" spans="2:70">
      <c r="K28" s="5" t="str">
        <f>Implements7[[#This Row],[Implement type]]&amp;", "&amp;Implements7[[#This Row],[Width]]&amp;" "&amp;Implements7[[#This Row],[Width Unit]]</f>
        <v>Combine corn hd, 30 Ft</v>
      </c>
      <c r="L28" s="21" t="s">
        <v>528</v>
      </c>
      <c r="M28" s="22">
        <v>30</v>
      </c>
      <c r="N28" s="21" t="s">
        <v>438</v>
      </c>
      <c r="O28" s="22">
        <v>12</v>
      </c>
      <c r="P28" s="21" t="s">
        <v>475</v>
      </c>
      <c r="Q28" s="23">
        <v>129000</v>
      </c>
      <c r="R28" s="24">
        <v>0.2</v>
      </c>
      <c r="S28" s="25">
        <f t="shared" si="0"/>
        <v>161250</v>
      </c>
      <c r="T28" s="22">
        <v>12</v>
      </c>
      <c r="U28" s="22">
        <v>200</v>
      </c>
      <c r="V28" s="26">
        <f t="shared" si="1"/>
        <v>2036.3636363636363</v>
      </c>
      <c r="W28" s="22" t="s">
        <v>455</v>
      </c>
      <c r="X28" s="22">
        <v>4</v>
      </c>
      <c r="Y28" s="24">
        <v>0.7</v>
      </c>
      <c r="Z28" s="24">
        <v>1.1100000000000001</v>
      </c>
      <c r="AA28" s="22">
        <v>160</v>
      </c>
      <c r="AB28"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28" s="46">
        <f>Implements7[[#This Row],[TradeIn%]]*Implements7[[#This Row],[PriceL]]</f>
        <v>21785.145476711019</v>
      </c>
      <c r="AD28" s="47">
        <f>(Implements7[[#This Row],[PriceP]]-Implements7[[#This Row],[TradeIn$]])/Implements7[[#This Row],[Life (yr)]]/Implements7[[#This Row],[Use (ac/yr)]]</f>
        <v>4.3875126479024509</v>
      </c>
      <c r="AE28" s="30">
        <f>((Implements7[[#This Row],[PriceP]]+Implements7[[#This Row],[TradeIn$]])/2*($BR$7+$BR$8+$BR$9)+Implements7[[#This Row],[Shed (ft^2)]]*$BR$12)/Implements7[[#This Row],[Use (ac/yr)]]</f>
        <v>2.4271222068264224</v>
      </c>
      <c r="AF28" s="48">
        <f>Implements7[[#This Row],[PriceL]]*(VLOOKUP(Implements7[[#This Row],[ASABEtype]],ASABECoefficients[],2)*(Implements7[[#This Row],[Life (yr)]]*Implements7[[#This Row],[Use (hr/yr)]]/1000)^VLOOKUP(Implements7[[#This Row],[ASABEtype]],ASABECoefficients[],3))/Implements7[[#This Row],[Life (yr)]]/Implements7[[#This Row],[Use (ac/yr)]]</f>
        <v>1.6594598260197817</v>
      </c>
      <c r="AG28" s="7">
        <f>$BR$18/(Implements7[[#This Row],[Width]]*Implements7[[#This Row],[Speed]]*Implements7[[#This Row],[Efficiency]])</f>
        <v>9.8214285714285712E-2</v>
      </c>
      <c r="AH28" s="32">
        <f>SUM(Implements7[[#This Row],[Depr ($/ac)]:[OH ($/ac)]])</f>
        <v>6.8146348547288733</v>
      </c>
      <c r="AI28" s="33">
        <v>49</v>
      </c>
      <c r="AJ28" s="5" t="s">
        <v>623</v>
      </c>
      <c r="AK28" s="32"/>
      <c r="BE28" s="13" t="s">
        <v>492</v>
      </c>
      <c r="BF28" s="43">
        <v>0.46</v>
      </c>
      <c r="BG28" s="43">
        <v>1.7</v>
      </c>
      <c r="BH28" s="43">
        <v>2000</v>
      </c>
      <c r="BI28" s="43">
        <v>0.90229999999999999</v>
      </c>
      <c r="BJ28" s="43">
        <v>9.4299999999999995E-2</v>
      </c>
      <c r="BK28" s="43">
        <v>0</v>
      </c>
      <c r="BL28" s="43">
        <v>-4.0000000000000002E-4</v>
      </c>
      <c r="BM28" s="10">
        <f t="shared" si="5"/>
        <v>1.1513290000000001E-2</v>
      </c>
      <c r="BN28" s="43">
        <v>0.10730000000000001</v>
      </c>
      <c r="BO28" s="44"/>
    </row>
    <row r="29" spans="2:70">
      <c r="K29" s="5" t="str">
        <f>Implements7[[#This Row],[Implement type]]&amp;", "&amp;Implements7[[#This Row],[Width]]&amp;" "&amp;Implements7[[#This Row],[Width Unit]]</f>
        <v>Combine platform, 20 Ft</v>
      </c>
      <c r="L29" s="21" t="s">
        <v>526</v>
      </c>
      <c r="M29" s="22">
        <v>20</v>
      </c>
      <c r="N29" s="21" t="s">
        <v>438</v>
      </c>
      <c r="O29" s="22"/>
      <c r="P29" s="22"/>
      <c r="Q29" s="23">
        <v>36000</v>
      </c>
      <c r="R29" s="24">
        <v>0.2</v>
      </c>
      <c r="S29" s="25">
        <f t="shared" si="0"/>
        <v>45000</v>
      </c>
      <c r="T29" s="22">
        <v>12</v>
      </c>
      <c r="U29" s="22">
        <v>199.99999999999997</v>
      </c>
      <c r="V29" s="26">
        <f t="shared" si="1"/>
        <v>1187.8787878787878</v>
      </c>
      <c r="W29" s="22" t="s">
        <v>455</v>
      </c>
      <c r="X29" s="22">
        <v>3.5</v>
      </c>
      <c r="Y29" s="24">
        <v>0.7</v>
      </c>
      <c r="Z29" s="24">
        <v>1.1100000000000001</v>
      </c>
      <c r="AA29" s="22">
        <v>108</v>
      </c>
      <c r="AB29"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0.1351016773749521</v>
      </c>
      <c r="AC29" s="46">
        <f>Implements7[[#This Row],[TradeIn%]]*Implements7[[#This Row],[PriceL]]</f>
        <v>6079.5754818728446</v>
      </c>
      <c r="AD29" s="47">
        <f>(Implements7[[#This Row],[PriceP]]-Implements7[[#This Row],[TradeIn$]])/Implements7[[#This Row],[Life (yr)]]/Implements7[[#This Row],[Use (ac/yr)]]</f>
        <v>2.0990093730829003</v>
      </c>
      <c r="AE29" s="30">
        <f>((Implements7[[#This Row],[PriceP]]+Implements7[[#This Row],[TradeIn$]])/2*($BR$7+$BR$8+$BR$9)+Implements7[[#This Row],[Shed (ft^2)]]*$BR$12)/Implements7[[#This Row],[Use (ac/yr)]]</f>
        <v>1.2128360100982809</v>
      </c>
      <c r="AF29" s="48">
        <f>Implements7[[#This Row],[PriceL]]*(VLOOKUP(Implements7[[#This Row],[ASABEtype]],ASABECoefficients[],2)*(Implements7[[#This Row],[Life (yr)]]*Implements7[[#This Row],[Use (hr/yr)]]/1000)^VLOOKUP(Implements7[[#This Row],[ASABEtype]],ASABECoefficients[],3))/Implements7[[#This Row],[Life (yr)]]/Implements7[[#This Row],[Use (ac/yr)]]</f>
        <v>0.7938944018167724</v>
      </c>
      <c r="AG29" s="7">
        <f>$BR$18/(Implements7[[#This Row],[Width]]*Implements7[[#This Row],[Speed]]*Implements7[[#This Row],[Efficiency]])</f>
        <v>0.1683673469387755</v>
      </c>
      <c r="AH29" s="32">
        <f>SUM(Implements7[[#This Row],[Depr ($/ac)]:[OH ($/ac)]])</f>
        <v>3.3118453831811809</v>
      </c>
      <c r="AI29" s="33">
        <v>43</v>
      </c>
      <c r="AJ29" s="5" t="s">
        <v>623</v>
      </c>
      <c r="AK29" s="32"/>
      <c r="BE29" s="13" t="s">
        <v>495</v>
      </c>
      <c r="BF29" s="43">
        <v>0.44</v>
      </c>
      <c r="BG29" s="43">
        <v>2</v>
      </c>
      <c r="BH29" s="43">
        <v>2000</v>
      </c>
      <c r="BI29" s="43">
        <v>0.90229999999999999</v>
      </c>
      <c r="BJ29" s="43">
        <v>9.4299999999999995E-2</v>
      </c>
      <c r="BK29" s="43">
        <v>0</v>
      </c>
      <c r="BL29" s="43">
        <v>-4.0000000000000002E-4</v>
      </c>
      <c r="BM29" s="10">
        <f t="shared" si="5"/>
        <v>1.1513290000000001E-2</v>
      </c>
      <c r="BN29" s="43">
        <v>0.10730000000000001</v>
      </c>
      <c r="BO29" s="44"/>
    </row>
    <row r="30" spans="2:70">
      <c r="K30" s="5" t="str">
        <f>Implements7[[#This Row],[Implement type]]&amp;", "&amp;Implements7[[#This Row],[Width]]&amp;" "&amp;Implements7[[#This Row],[Width Unit]]</f>
        <v>Combine platform, 25 Ft</v>
      </c>
      <c r="L30" s="21" t="s">
        <v>526</v>
      </c>
      <c r="M30" s="22">
        <v>25</v>
      </c>
      <c r="N30" s="21" t="s">
        <v>438</v>
      </c>
      <c r="O30" s="22"/>
      <c r="P30" s="22"/>
      <c r="Q30" s="23">
        <v>43500</v>
      </c>
      <c r="R30" s="24">
        <v>0.2</v>
      </c>
      <c r="S30" s="25">
        <f t="shared" si="0"/>
        <v>54375</v>
      </c>
      <c r="T30" s="22">
        <v>12</v>
      </c>
      <c r="U30" s="22">
        <v>200</v>
      </c>
      <c r="V30" s="26">
        <f t="shared" si="1"/>
        <v>1484.8484848484845</v>
      </c>
      <c r="W30" s="22" t="s">
        <v>455</v>
      </c>
      <c r="X30" s="22">
        <v>3.5</v>
      </c>
      <c r="Y30" s="24">
        <v>0.7</v>
      </c>
      <c r="Z30" s="24">
        <v>1.1100000000000001</v>
      </c>
      <c r="AA30" s="22">
        <v>108</v>
      </c>
      <c r="AB30"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30" s="46">
        <f>Implements7[[#This Row],[TradeIn%]]*Implements7[[#This Row],[PriceL]]</f>
        <v>7346.1537072630172</v>
      </c>
      <c r="AD30" s="47">
        <f>(Implements7[[#This Row],[PriceP]]-Implements7[[#This Row],[TradeIn$]])/Implements7[[#This Row],[Life (yr)]]/Implements7[[#This Row],[Use (ac/yr)]]</f>
        <v>2.0290423939801374</v>
      </c>
      <c r="AE30" s="30">
        <f>((Implements7[[#This Row],[PriceP]]+Implements7[[#This Row],[TradeIn$]])/2*($BR$7+$BR$8+$BR$9)+Implements7[[#This Row],[Shed (ft^2)]]*$BR$12)/Implements7[[#This Row],[Use (ac/yr)]]</f>
        <v>1.1577215088062278</v>
      </c>
      <c r="AF30" s="48">
        <f>Implements7[[#This Row],[PriceL]]*(VLOOKUP(Implements7[[#This Row],[ASABEtype]],ASABECoefficients[],2)*(Implements7[[#This Row],[Life (yr)]]*Implements7[[#This Row],[Use (hr/yr)]]/1000)^VLOOKUP(Implements7[[#This Row],[ASABEtype]],ASABECoefficients[],3))/Implements7[[#This Row],[Life (yr)]]/Implements7[[#This Row],[Use (ac/yr)]]</f>
        <v>0.76743125508954679</v>
      </c>
      <c r="AG30" s="7">
        <f>$BR$18/(Implements7[[#This Row],[Width]]*Implements7[[#This Row],[Speed]]*Implements7[[#This Row],[Efficiency]])</f>
        <v>0.13469387755102041</v>
      </c>
      <c r="AH30" s="32">
        <f>SUM(Implements7[[#This Row],[Depr ($/ac)]:[OH ($/ac)]])</f>
        <v>3.1867639027863652</v>
      </c>
      <c r="AI30" s="33">
        <v>44</v>
      </c>
      <c r="AJ30" s="5" t="s">
        <v>623</v>
      </c>
      <c r="AK30" s="32"/>
      <c r="BE30" s="13" t="s">
        <v>498</v>
      </c>
      <c r="BF30" s="43">
        <v>0.18</v>
      </c>
      <c r="BG30" s="43">
        <v>1.6</v>
      </c>
      <c r="BH30" s="43">
        <v>2500</v>
      </c>
      <c r="BI30" s="43">
        <v>0.72430000000000005</v>
      </c>
      <c r="BJ30" s="43">
        <v>0.11269999999999999</v>
      </c>
      <c r="BK30" s="43">
        <v>0</v>
      </c>
      <c r="BL30" s="43">
        <v>3.3999999999999998E-3</v>
      </c>
      <c r="BM30" s="10">
        <f t="shared" si="5"/>
        <v>1.4113440000000001E-2</v>
      </c>
      <c r="BN30" s="43">
        <v>0.1188</v>
      </c>
      <c r="BO30" s="44"/>
    </row>
    <row r="31" spans="2:70">
      <c r="K31" s="5" t="str">
        <f>Implements7[[#This Row],[Implement type]]&amp;", "&amp;Implements7[[#This Row],[Width]]&amp;" "&amp;Implements7[[#This Row],[Width Unit]]</f>
        <v>Combine platform, 30 Ft</v>
      </c>
      <c r="L31" s="21" t="s">
        <v>526</v>
      </c>
      <c r="M31" s="22">
        <v>30</v>
      </c>
      <c r="N31" s="21" t="s">
        <v>438</v>
      </c>
      <c r="O31" s="22"/>
      <c r="P31" s="22"/>
      <c r="Q31" s="23">
        <v>51000</v>
      </c>
      <c r="R31" s="24">
        <v>0.2</v>
      </c>
      <c r="S31" s="25">
        <f t="shared" si="0"/>
        <v>63750</v>
      </c>
      <c r="T31" s="22">
        <v>12</v>
      </c>
      <c r="U31" s="22">
        <v>200</v>
      </c>
      <c r="V31" s="26">
        <f t="shared" si="1"/>
        <v>1781.8181818181818</v>
      </c>
      <c r="W31" s="22" t="s">
        <v>455</v>
      </c>
      <c r="X31" s="22">
        <v>3.5</v>
      </c>
      <c r="Y31" s="24">
        <v>0.7</v>
      </c>
      <c r="Z31" s="24">
        <v>1.1100000000000001</v>
      </c>
      <c r="AA31" s="22">
        <v>108</v>
      </c>
      <c r="AB31"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0.13510167737495204</v>
      </c>
      <c r="AC31" s="46">
        <f>Implements7[[#This Row],[TradeIn%]]*Implements7[[#This Row],[PriceL]]</f>
        <v>8612.7319326531924</v>
      </c>
      <c r="AD31" s="47">
        <f>(Implements7[[#This Row],[PriceP]]-Implements7[[#This Row],[TradeIn$]])/Implements7[[#This Row],[Life (yr)]]/Implements7[[#This Row],[Use (ac/yr)]]</f>
        <v>1.9823977412449614</v>
      </c>
      <c r="AE31" s="30">
        <f>((Implements7[[#This Row],[PriceP]]+Implements7[[#This Row],[TradeIn$]])/2*($BR$7+$BR$8+$BR$9)+Implements7[[#This Row],[Shed (ft^2)]]*$BR$12)/Implements7[[#This Row],[Use (ac/yr)]]</f>
        <v>1.1209785079448591</v>
      </c>
      <c r="AF31" s="48">
        <f>Implements7[[#This Row],[PriceL]]*(VLOOKUP(Implements7[[#This Row],[ASABEtype]],ASABECoefficients[],2)*(Implements7[[#This Row],[Life (yr)]]*Implements7[[#This Row],[Use (hr/yr)]]/1000)^VLOOKUP(Implements7[[#This Row],[ASABEtype]],ASABECoefficients[],3))/Implements7[[#This Row],[Life (yr)]]/Implements7[[#This Row],[Use (ac/yr)]]</f>
        <v>0.74978915727139628</v>
      </c>
      <c r="AG31" s="7">
        <f>$BR$18/(Implements7[[#This Row],[Width]]*Implements7[[#This Row],[Speed]]*Implements7[[#This Row],[Efficiency]])</f>
        <v>0.11224489795918367</v>
      </c>
      <c r="AH31" s="32">
        <f>SUM(Implements7[[#This Row],[Depr ($/ac)]:[OH ($/ac)]])</f>
        <v>3.1033762491898207</v>
      </c>
      <c r="AI31" s="33">
        <v>45</v>
      </c>
      <c r="AJ31" s="5" t="s">
        <v>623</v>
      </c>
      <c r="AK31" s="32"/>
      <c r="BE31" s="13" t="s">
        <v>500</v>
      </c>
      <c r="BF31" s="43">
        <v>0.16</v>
      </c>
      <c r="BG31" s="43">
        <v>2</v>
      </c>
      <c r="BH31" s="43">
        <v>2500</v>
      </c>
      <c r="BI31" s="43">
        <v>0.72430000000000005</v>
      </c>
      <c r="BJ31" s="43">
        <v>0.11269999999999999</v>
      </c>
      <c r="BK31" s="43">
        <v>0</v>
      </c>
      <c r="BL31" s="43">
        <v>3.3999999999999998E-3</v>
      </c>
      <c r="BM31" s="10">
        <f t="shared" si="5"/>
        <v>1.4113440000000001E-2</v>
      </c>
      <c r="BN31" s="43">
        <v>0.1188</v>
      </c>
      <c r="BO31" s="44"/>
    </row>
    <row r="32" spans="2:70">
      <c r="K32" s="5" t="str">
        <f>Implements7[[#This Row],[Implement type]]&amp;", "&amp;Implements7[[#This Row],[Width]]&amp;" "&amp;Implements7[[#This Row],[Width Unit]]</f>
        <v>Grain cart, 30 Ft</v>
      </c>
      <c r="L32" s="21" t="s">
        <v>531</v>
      </c>
      <c r="M32" s="22">
        <v>30</v>
      </c>
      <c r="N32" s="21" t="s">
        <v>438</v>
      </c>
      <c r="O32" s="22"/>
      <c r="P32" s="21"/>
      <c r="Q32" s="23">
        <v>131500</v>
      </c>
      <c r="R32" s="24">
        <v>0.1</v>
      </c>
      <c r="S32" s="25">
        <f t="shared" si="0"/>
        <v>146111.11111111109</v>
      </c>
      <c r="T32" s="22">
        <v>12</v>
      </c>
      <c r="U32" s="22">
        <v>200</v>
      </c>
      <c r="V32" s="26">
        <f t="shared" si="1"/>
        <v>1374.5454545454545</v>
      </c>
      <c r="W32" s="22" t="s">
        <v>524</v>
      </c>
      <c r="X32" s="22">
        <v>3</v>
      </c>
      <c r="Y32" s="24">
        <v>0.63</v>
      </c>
      <c r="Z32" s="24">
        <v>1.1100000000000001</v>
      </c>
      <c r="AA32" s="22">
        <v>0</v>
      </c>
      <c r="AB32"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32" s="46">
        <f>Implements7[[#This Row],[TradeIn%]]*Implements7[[#This Row],[PriceL]]</f>
        <v>42967.01659844743</v>
      </c>
      <c r="AD32" s="47">
        <f>(Implements7[[#This Row],[PriceP]]-Implements7[[#This Row],[TradeIn$]])/Implements7[[#This Row],[Life (yr)]]/Implements7[[#This Row],[Use (ac/yr)]]</f>
        <v>5.3674097079865426</v>
      </c>
      <c r="AE32" s="30">
        <f>((Implements7[[#This Row],[PriceP]]+Implements7[[#This Row],[TradeIn$]])/2*($BR$7+$BR$8+$BR$9)+Implements7[[#This Row],[Shed (ft^2)]]*$BR$12)/Implements7[[#This Row],[Use (ac/yr)]]</f>
        <v>4.0299342292994558</v>
      </c>
      <c r="AF32" s="48">
        <f>Implements7[[#This Row],[PriceL]]*(VLOOKUP(Implements7[[#This Row],[ASABEtype]],ASABECoefficients[],2)*(Implements7[[#This Row],[Life (yr)]]*Implements7[[#This Row],[Use (hr/yr)]]/1000)^VLOOKUP(Implements7[[#This Row],[ASABEtype]],ASABECoefficients[],3))/Implements7[[#This Row],[Life (yr)]]/Implements7[[#This Row],[Use (ac/yr)]]</f>
        <v>5.2525610214624514</v>
      </c>
      <c r="AG32" s="7">
        <f>$BR$18/(Implements7[[#This Row],[Width]]*Implements7[[#This Row],[Speed]]*Implements7[[#This Row],[Efficiency]])</f>
        <v>0.14550264550264549</v>
      </c>
      <c r="AH32" s="32">
        <f>SUM(Implements7[[#This Row],[Depr ($/ac)]:[OH ($/ac)]])</f>
        <v>9.3973439372859993</v>
      </c>
      <c r="AI32" s="33">
        <v>54</v>
      </c>
      <c r="AJ32" s="5" t="s">
        <v>623</v>
      </c>
      <c r="AK32" s="32"/>
      <c r="BE32" s="13" t="s">
        <v>502</v>
      </c>
      <c r="BF32" s="43">
        <v>0.16</v>
      </c>
      <c r="BG32" s="43">
        <v>1.3</v>
      </c>
      <c r="BH32" s="43">
        <v>2000</v>
      </c>
      <c r="BI32" s="43">
        <v>0.71940000000000004</v>
      </c>
      <c r="BJ32" s="43">
        <v>0.11020000000000001</v>
      </c>
      <c r="BK32" s="43">
        <v>0</v>
      </c>
      <c r="BL32" s="43">
        <v>3.0000000000000001E-3</v>
      </c>
      <c r="BM32" s="10">
        <f t="shared" si="5"/>
        <v>1.4713690000000001E-2</v>
      </c>
      <c r="BN32" s="43">
        <v>0.12130000000000001</v>
      </c>
      <c r="BO32" s="44"/>
    </row>
    <row r="33" spans="11:67">
      <c r="K33" s="5" t="str">
        <f>Implements7[[#This Row],[Implement type]]&amp;", "&amp;Implements7[[#This Row],[Width]]&amp;" "&amp;Implements7[[#This Row],[Width Unit]]</f>
        <v>Disk mower, 9 Ft</v>
      </c>
      <c r="L33" s="51" t="s">
        <v>587</v>
      </c>
      <c r="M33" s="22">
        <v>9</v>
      </c>
      <c r="N33" s="21" t="str">
        <f t="shared" ref="N33:N40" si="8">IF(M33&gt;15,"Ft Folding","Ft")</f>
        <v>Ft</v>
      </c>
      <c r="O33" s="22"/>
      <c r="P33" s="51"/>
      <c r="Q33" s="23">
        <v>13500</v>
      </c>
      <c r="R33" s="24">
        <v>0.1</v>
      </c>
      <c r="S33" s="25">
        <f t="shared" si="0"/>
        <v>15000</v>
      </c>
      <c r="T33" s="22">
        <v>12</v>
      </c>
      <c r="U33" s="22">
        <v>80</v>
      </c>
      <c r="V33" s="26">
        <f t="shared" si="1"/>
        <v>453.81818181818187</v>
      </c>
      <c r="W33" s="22" t="s">
        <v>495</v>
      </c>
      <c r="X33" s="22">
        <v>6.5</v>
      </c>
      <c r="Y33" s="24">
        <v>0.8</v>
      </c>
      <c r="Z33" s="24">
        <v>1.05</v>
      </c>
      <c r="AA33" s="22">
        <v>50</v>
      </c>
      <c r="AB33"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0.29790868815561528</v>
      </c>
      <c r="AC33" s="46">
        <f>Implements7[[#This Row],[TradeIn%]]*Implements7[[#This Row],[PriceL]]</f>
        <v>4468.6303223342293</v>
      </c>
      <c r="AD33" s="47">
        <f>(Implements7[[#This Row],[PriceP]]-Implements7[[#This Row],[TradeIn$]])/Implements7[[#This Row],[Life (yr)]]/Implements7[[#This Row],[Use (ac/yr)]]</f>
        <v>1.6584045548598336</v>
      </c>
      <c r="AE33" s="30">
        <f>((Implements7[[#This Row],[PriceP]]+Implements7[[#This Row],[TradeIn$]])/2*($BR$7+$BR$8+$BR$9)+Implements7[[#This Row],[Shed (ft^2)]]*$BR$12)/Implements7[[#This Row],[Use (ac/yr)]]</f>
        <v>1.3639051622227605</v>
      </c>
      <c r="AF33" s="48">
        <f>Implements7[[#This Row],[PriceL]]*(VLOOKUP(Implements7[[#This Row],[ASABEtype]],ASABECoefficients[],2)*(Implements7[[#This Row],[Life (yr)]]*Implements7[[#This Row],[Use (hr/yr)]]/1000)^VLOOKUP(Implements7[[#This Row],[ASABEtype]],ASABECoefficients[],3))/Implements7[[#This Row],[Life (yr)]]/Implements7[[#This Row],[Use (ac/yr)]]</f>
        <v>1.1169230769230767</v>
      </c>
      <c r="AG33" s="7">
        <f>$BR$18/(Implements7[[#This Row],[Width]]*Implements7[[#This Row],[Speed]]*Implements7[[#This Row],[Efficiency]])</f>
        <v>0.17628205128205127</v>
      </c>
      <c r="AH33" s="32">
        <f>SUM(Implements7[[#This Row],[Depr ($/ac)]:[OH ($/ac)]])</f>
        <v>3.0223097170825941</v>
      </c>
      <c r="AI33" s="33">
        <v>28</v>
      </c>
      <c r="AJ33" s="5" t="s">
        <v>616</v>
      </c>
      <c r="AK33" s="32"/>
      <c r="BE33" s="13" t="s">
        <v>503</v>
      </c>
      <c r="BF33" s="43">
        <v>0.19</v>
      </c>
      <c r="BG33" s="43">
        <v>1.4</v>
      </c>
      <c r="BH33" s="43">
        <v>2500</v>
      </c>
      <c r="BI33" s="43">
        <v>0.80910000000000004</v>
      </c>
      <c r="BJ33" s="43">
        <v>0.1109</v>
      </c>
      <c r="BK33" s="43">
        <v>0</v>
      </c>
      <c r="BL33" s="43">
        <v>1.4E-3</v>
      </c>
      <c r="BM33" s="10">
        <f t="shared" si="5"/>
        <v>1.605289E-2</v>
      </c>
      <c r="BN33" s="43">
        <v>0.12670000000000001</v>
      </c>
      <c r="BO33" s="44"/>
    </row>
    <row r="34" spans="11:67" ht="15">
      <c r="K34" s="5" t="str">
        <f>Implements7[[#This Row],[Implement type]]&amp;", "&amp;Implements7[[#This Row],[Width]]&amp;" "&amp;Implements7[[#This Row],[Width Unit]]</f>
        <v>Disk mower/conditioner, 12 Ft</v>
      </c>
      <c r="L34" s="51" t="s">
        <v>588</v>
      </c>
      <c r="M34" s="22">
        <v>12</v>
      </c>
      <c r="N34" s="21" t="str">
        <f t="shared" si="8"/>
        <v>Ft</v>
      </c>
      <c r="O34" s="22"/>
      <c r="P34" s="22"/>
      <c r="Q34" s="23">
        <v>47000</v>
      </c>
      <c r="R34" s="24">
        <v>0.1</v>
      </c>
      <c r="S34" s="25">
        <f t="shared" si="0"/>
        <v>52222.222222222219</v>
      </c>
      <c r="T34" s="22">
        <v>12</v>
      </c>
      <c r="U34" s="22">
        <v>80</v>
      </c>
      <c r="V34" s="26">
        <f t="shared" si="1"/>
        <v>605.09090909090912</v>
      </c>
      <c r="W34" s="22" t="s">
        <v>500</v>
      </c>
      <c r="X34" s="22">
        <v>6.5</v>
      </c>
      <c r="Y34" s="24">
        <v>0.8</v>
      </c>
      <c r="Z34" s="24">
        <v>1.05</v>
      </c>
      <c r="AA34" s="22">
        <v>200</v>
      </c>
      <c r="AB34"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0.3754768367568771</v>
      </c>
      <c r="AC34" s="46">
        <f>Implements7[[#This Row],[TradeIn%]]*Implements7[[#This Row],[PriceL]]</f>
        <v>19608.234808414691</v>
      </c>
      <c r="AD34" s="47">
        <f>(Implements7[[#This Row],[PriceP]]-Implements7[[#This Row],[TradeIn$]])/Implements7[[#This Row],[Life (yr)]]/Implements7[[#This Row],[Use (ac/yr)]]</f>
        <v>3.7724035595382408</v>
      </c>
      <c r="AE34" s="30">
        <f>((Implements7[[#This Row],[PriceP]]+Implements7[[#This Row],[TradeIn$]])/2*($BR$7+$BR$8+$BR$9)+Implements7[[#This Row],[Shed (ft^2)]]*$BR$12)/Implements7[[#This Row],[Use (ac/yr)]]</f>
        <v>3.8153857761120782</v>
      </c>
      <c r="AF34" s="48">
        <f>Implements7[[#This Row],[PriceL]]*(VLOOKUP(Implements7[[#This Row],[ASABEtype]],ASABECoefficients[],2)*(Implements7[[#This Row],[Life (yr)]]*Implements7[[#This Row],[Use (hr/yr)]]/1000)^VLOOKUP(Implements7[[#This Row],[ASABEtype]],ASABECoefficients[],3))/Implements7[[#This Row],[Life (yr)]]/Implements7[[#This Row],[Use (ac/yr)]]</f>
        <v>1.0605128205128203</v>
      </c>
      <c r="AG34" s="7">
        <f>$BR$18/(Implements7[[#This Row],[Width]]*Implements7[[#This Row],[Speed]]*Implements7[[#This Row],[Efficiency]])</f>
        <v>0.13221153846153844</v>
      </c>
      <c r="AH34" s="32">
        <f>SUM(Implements7[[#This Row],[Depr ($/ac)]:[OH ($/ac)]])</f>
        <v>7.587789335650319</v>
      </c>
      <c r="AI34" s="33">
        <v>28</v>
      </c>
      <c r="AJ34" s="5" t="s">
        <v>616</v>
      </c>
      <c r="AK34" s="32"/>
      <c r="AW34" s="60"/>
      <c r="BE34" s="13" t="s">
        <v>506</v>
      </c>
      <c r="BF34" s="43">
        <v>0.23</v>
      </c>
      <c r="BG34" s="43">
        <v>1.8</v>
      </c>
      <c r="BH34" s="43">
        <v>2000</v>
      </c>
      <c r="BI34" s="43">
        <v>0.80910000000000004</v>
      </c>
      <c r="BJ34" s="43">
        <v>0.1109</v>
      </c>
      <c r="BK34" s="43">
        <v>0</v>
      </c>
      <c r="BL34" s="43">
        <v>1.4E-3</v>
      </c>
      <c r="BM34" s="10">
        <f t="shared" si="5"/>
        <v>1.605289E-2</v>
      </c>
      <c r="BN34" s="43">
        <v>0.12670000000000001</v>
      </c>
      <c r="BO34" s="44"/>
    </row>
    <row r="35" spans="11:67" ht="15">
      <c r="K35" s="5" t="str">
        <f>Implements7[[#This Row],[Implement type]]&amp;", "&amp;Implements7[[#This Row],[Width]]&amp;" "&amp;Implements7[[#This Row],[Width Unit]]</f>
        <v>Sickle bar mower, 9 Ft</v>
      </c>
      <c r="L35" s="51" t="s">
        <v>668</v>
      </c>
      <c r="M35" s="22">
        <v>9</v>
      </c>
      <c r="N35" s="21" t="s">
        <v>438</v>
      </c>
      <c r="O35" s="22"/>
      <c r="P35" s="51"/>
      <c r="Q35" s="23">
        <v>6710</v>
      </c>
      <c r="R35" s="24">
        <v>0.05</v>
      </c>
      <c r="S35" s="25">
        <f>Q35/(1-R35)</f>
        <v>7063.1578947368425</v>
      </c>
      <c r="T35" s="22">
        <v>12</v>
      </c>
      <c r="U35" s="22">
        <v>80</v>
      </c>
      <c r="V35" s="26">
        <f>IF(AND(X35&lt;&gt;0,Y35&lt;&gt;0),U35*(M35*X35*Y35)/8.25,U35*M35)</f>
        <v>279.27272727272725</v>
      </c>
      <c r="W35" s="22" t="s">
        <v>492</v>
      </c>
      <c r="X35" s="22">
        <v>4</v>
      </c>
      <c r="Y35" s="24">
        <v>0.8</v>
      </c>
      <c r="Z35" s="24">
        <v>1.1000000000000001</v>
      </c>
      <c r="AA35" s="22">
        <v>50</v>
      </c>
      <c r="AB35"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0.29790868815561528</v>
      </c>
      <c r="AC35" s="46">
        <f>Implements7[[#This Row],[TradeIn%]]*Implements7[[#This Row],[PriceL]]</f>
        <v>2104.1761026570302</v>
      </c>
      <c r="AD35" s="47">
        <f>(Implements7[[#This Row],[PriceP]]-Implements7[[#This Row],[TradeIn$]])/Implements7[[#This Row],[Life (yr)]]/Implements7[[#This Row],[Use (ac/yr)]]</f>
        <v>1.3743506638121927</v>
      </c>
      <c r="AE35" s="78">
        <f>((Implements7[[#This Row],[PriceP]]+Implements7[[#This Row],[TradeIn$]])/2*($BR$7+$BR$8+$BR$9)+Implements7[[#This Row],[Shed (ft^2)]]*$BR$12)/Implements7[[#This Row],[Use (ac/yr)]]</f>
        <v>1.175592914581302</v>
      </c>
      <c r="AF35" s="48">
        <f>Implements7[[#This Row],[PriceL]]*(VLOOKUP(Implements7[[#This Row],[ASABEtype]],ASABECoefficients[],2)*(Implements7[[#This Row],[Life (yr)]]*Implements7[[#This Row],[Use (hr/yr)]]/1000)^VLOOKUP(Implements7[[#This Row],[ASABEtype]],ASABECoefficients[],3))/Implements7[[#This Row],[Life (yr)]]/Implements7[[#This Row],[Use (ac/yr)]]</f>
        <v>0.90449895716586715</v>
      </c>
      <c r="AG35" s="7">
        <f>$BR$18/(Implements7[[#This Row],[Width]]*Implements7[[#This Row],[Speed]]*Implements7[[#This Row],[Efficiency]])</f>
        <v>0.28645833333333331</v>
      </c>
      <c r="AH35" s="32">
        <f>SUM(Implements7[[#This Row],[Depr ($/ac)]:[OH ($/ac)]])</f>
        <v>2.5499435783934947</v>
      </c>
      <c r="AI35" s="32"/>
      <c r="AJ35" s="32" t="s">
        <v>616</v>
      </c>
      <c r="AK35" s="32" t="s">
        <v>669</v>
      </c>
      <c r="AW35" s="61"/>
      <c r="BE35" s="13" t="s">
        <v>508</v>
      </c>
      <c r="BF35" s="43">
        <v>0.16</v>
      </c>
      <c r="BG35" s="43">
        <v>1.3</v>
      </c>
      <c r="BH35" s="43">
        <v>2000</v>
      </c>
      <c r="BI35" s="43">
        <v>0.71940000000000004</v>
      </c>
      <c r="BJ35" s="43">
        <v>0.11020000000000001</v>
      </c>
      <c r="BK35" s="43">
        <v>0</v>
      </c>
      <c r="BL35" s="43">
        <v>3.0000000000000001E-3</v>
      </c>
      <c r="BM35" s="10">
        <f t="shared" si="5"/>
        <v>1.4713690000000001E-2</v>
      </c>
      <c r="BN35" s="43">
        <v>0.12130000000000001</v>
      </c>
      <c r="BO35" s="44"/>
    </row>
    <row r="36" spans="11:67" ht="15">
      <c r="K36" s="5" t="str">
        <f>Implements7[[#This Row],[Implement type]]&amp;", "&amp;Implements7[[#This Row],[Width]]&amp;" "&amp;Implements7[[#This Row],[Width Unit]]</f>
        <v>Hay merger, 14 Ft</v>
      </c>
      <c r="L36" s="51" t="s">
        <v>507</v>
      </c>
      <c r="M36" s="22">
        <v>14</v>
      </c>
      <c r="N36" s="21" t="str">
        <f t="shared" si="8"/>
        <v>Ft</v>
      </c>
      <c r="O36" s="22"/>
      <c r="P36" s="22"/>
      <c r="Q36" s="23">
        <f>ROUND(65000*1.1,-3)</f>
        <v>72000</v>
      </c>
      <c r="R36" s="24">
        <v>0.1</v>
      </c>
      <c r="S36" s="25">
        <f t="shared" si="0"/>
        <v>80000</v>
      </c>
      <c r="T36" s="22">
        <v>12</v>
      </c>
      <c r="U36" s="22">
        <v>200</v>
      </c>
      <c r="V36" s="26">
        <f t="shared" si="1"/>
        <v>2172.121212121212</v>
      </c>
      <c r="W36" s="22" t="s">
        <v>505</v>
      </c>
      <c r="X36" s="22">
        <v>8</v>
      </c>
      <c r="Y36" s="24">
        <v>0.8</v>
      </c>
      <c r="Z36" s="24">
        <v>1.02</v>
      </c>
      <c r="AA36" s="22">
        <v>345</v>
      </c>
      <c r="AB36"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36" s="46">
        <f>Implements7[[#This Row],[TradeIn%]]*Implements7[[#This Row],[PriceL]]</f>
        <v>23525.666882800117</v>
      </c>
      <c r="AD36" s="47">
        <f>(Implements7[[#This Row],[PriceP]]-Implements7[[#This Row],[TradeIn$]])/Implements7[[#This Row],[Life (yr)]]/Implements7[[#This Row],[Use (ac/yr)]]</f>
        <v>1.8597156260086454</v>
      </c>
      <c r="AE36" s="30">
        <f>((Implements7[[#This Row],[PriceP]]+Implements7[[#This Row],[TradeIn$]])/2*($BR$7+$BR$8+$BR$9)+Implements7[[#This Row],[Shed (ft^2)]]*$BR$12)/Implements7[[#This Row],[Use (ac/yr)]]</f>
        <v>1.550245192132927</v>
      </c>
      <c r="AF36" s="48">
        <f>Implements7[[#This Row],[PriceL]]*(VLOOKUP(Implements7[[#This Row],[ASABEtype]],ASABECoefficients[],2)*(Implements7[[#This Row],[Life (yr)]]*Implements7[[#This Row],[Use (hr/yr)]]/1000)^VLOOKUP(Implements7[[#This Row],[ASABEtype]],ASABECoefficients[],3))/Implements7[[#This Row],[Life (yr)]]/Implements7[[#This Row],[Use (ac/yr)]]</f>
        <v>1.7773352073562201</v>
      </c>
      <c r="AG36" s="7">
        <f>$BR$18/(Implements7[[#This Row],[Width]]*Implements7[[#This Row],[Speed]]*Implements7[[#This Row],[Efficiency]])</f>
        <v>9.2075892857142849E-2</v>
      </c>
      <c r="AH36" s="32">
        <f>SUM(Implements7[[#This Row],[Depr ($/ac)]:[OH ($/ac)]])</f>
        <v>3.4099608181415721</v>
      </c>
      <c r="AI36" s="33">
        <v>30</v>
      </c>
      <c r="AJ36" s="5" t="s">
        <v>616</v>
      </c>
      <c r="AK36" s="32"/>
      <c r="AW36" s="61"/>
      <c r="BE36" s="13" t="s">
        <v>510</v>
      </c>
      <c r="BF36" s="43">
        <v>0.23</v>
      </c>
      <c r="BG36" s="43">
        <v>1.4</v>
      </c>
      <c r="BH36" s="43">
        <v>2000</v>
      </c>
      <c r="BI36" s="43">
        <v>0.69269999999999998</v>
      </c>
      <c r="BJ36" s="43">
        <v>7.0300000000000001E-2</v>
      </c>
      <c r="BK36" s="43">
        <v>0</v>
      </c>
      <c r="BL36" s="43">
        <v>1.1999999999999999E-3</v>
      </c>
      <c r="BM36" s="10">
        <f t="shared" si="5"/>
        <v>1.4957290000000002E-2</v>
      </c>
      <c r="BN36" s="43">
        <v>0.12230000000000001</v>
      </c>
      <c r="BO36" s="44"/>
    </row>
    <row r="37" spans="11:67">
      <c r="K37" s="5" t="str">
        <f>Implements7[[#This Row],[Implement type]]&amp;", "&amp;Implements7[[#This Row],[Width]]&amp;" "&amp;Implements7[[#This Row],[Width Unit]]</f>
        <v>Hay merger, 34 Ft Folding</v>
      </c>
      <c r="L37" s="51" t="s">
        <v>507</v>
      </c>
      <c r="M37" s="22">
        <v>34</v>
      </c>
      <c r="N37" s="21" t="str">
        <f t="shared" si="8"/>
        <v>Ft Folding</v>
      </c>
      <c r="O37" s="22"/>
      <c r="P37" s="22"/>
      <c r="Q37" s="23">
        <f>260000*1.1</f>
        <v>286000</v>
      </c>
      <c r="R37" s="24">
        <v>0.1</v>
      </c>
      <c r="S37" s="25">
        <f t="shared" si="0"/>
        <v>317777.77777777775</v>
      </c>
      <c r="T37" s="22">
        <v>12</v>
      </c>
      <c r="U37" s="22">
        <v>200</v>
      </c>
      <c r="V37" s="26">
        <f t="shared" si="1"/>
        <v>5275.1515151515159</v>
      </c>
      <c r="W37" s="22" t="s">
        <v>509</v>
      </c>
      <c r="X37" s="22">
        <v>8</v>
      </c>
      <c r="Y37" s="24">
        <v>0.8</v>
      </c>
      <c r="Z37" s="24">
        <v>1.02</v>
      </c>
      <c r="AA37" s="22">
        <v>345</v>
      </c>
      <c r="AB37"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0.3754768367568771</v>
      </c>
      <c r="AC37" s="46">
        <f>Implements7[[#This Row],[TradeIn%]]*Implements7[[#This Row],[PriceL]]</f>
        <v>119318.19479162982</v>
      </c>
      <c r="AD37" s="47">
        <f>(Implements7[[#This Row],[PriceP]]-Implements7[[#This Row],[TradeIn$]])/Implements7[[#This Row],[Life (yr)]]/Implements7[[#This Row],[Use (ac/yr)]]</f>
        <v>2.6331282417452773</v>
      </c>
      <c r="AE37" s="30">
        <f>((Implements7[[#This Row],[PriceP]]+Implements7[[#This Row],[TradeIn$]])/2*($BR$7+$BR$8+$BR$9)+Implements7[[#This Row],[Shed (ft^2)]]*$BR$12)/Implements7[[#This Row],[Use (ac/yr)]]</f>
        <v>2.5029107105271393</v>
      </c>
      <c r="AF37" s="48">
        <f>Implements7[[#This Row],[PriceL]]*(VLOOKUP(Implements7[[#This Row],[ASABEtype]],ASABECoefficients[],2)*(Implements7[[#This Row],[Life (yr)]]*Implements7[[#This Row],[Use (hr/yr)]]/1000)^VLOOKUP(Implements7[[#This Row],[ASABEtype]],ASABECoefficients[],3))/Implements7[[#This Row],[Life (yr)]]/Implements7[[#This Row],[Use (ac/yr)]]</f>
        <v>1.7349264705882348</v>
      </c>
      <c r="AG37" s="7">
        <f>$BR$18/(Implements7[[#This Row],[Width]]*Implements7[[#This Row],[Speed]]*Implements7[[#This Row],[Efficiency]])</f>
        <v>3.7913602941176468E-2</v>
      </c>
      <c r="AH37" s="32">
        <f>SUM(Implements7[[#This Row],[Depr ($/ac)]:[OH ($/ac)]])</f>
        <v>5.1360389522724166</v>
      </c>
      <c r="AI37" s="33">
        <v>31</v>
      </c>
      <c r="AJ37" s="5" t="s">
        <v>616</v>
      </c>
      <c r="AK37" s="32"/>
      <c r="BE37" s="13" t="s">
        <v>511</v>
      </c>
      <c r="BF37" s="43">
        <v>0.36</v>
      </c>
      <c r="BG37" s="43">
        <v>2</v>
      </c>
      <c r="BH37" s="43">
        <v>1500</v>
      </c>
      <c r="BI37" s="43">
        <v>0.71940000000000004</v>
      </c>
      <c r="BJ37" s="43">
        <v>0.11020000000000001</v>
      </c>
      <c r="BK37" s="43">
        <v>0</v>
      </c>
      <c r="BL37" s="43">
        <v>3.0000000000000001E-3</v>
      </c>
      <c r="BM37" s="10">
        <f t="shared" si="5"/>
        <v>1.4713690000000001E-2</v>
      </c>
      <c r="BN37" s="43">
        <v>0.12130000000000001</v>
      </c>
      <c r="BO37" s="44"/>
    </row>
    <row r="38" spans="11:67" ht="15">
      <c r="K38" s="5" t="str">
        <f>Implements7[[#This Row],[Implement type]]&amp;", "&amp;Implements7[[#This Row],[Width]]&amp;" "&amp;Implements7[[#This Row],[Width Unit]]</f>
        <v>Hay rake, 20 Ft Folding</v>
      </c>
      <c r="L38" s="51" t="s">
        <v>504</v>
      </c>
      <c r="M38" s="22">
        <v>20</v>
      </c>
      <c r="N38" s="21" t="str">
        <f t="shared" si="8"/>
        <v>Ft Folding</v>
      </c>
      <c r="O38" s="22">
        <v>8</v>
      </c>
      <c r="P38" s="51" t="s">
        <v>602</v>
      </c>
      <c r="Q38" s="23">
        <v>9000</v>
      </c>
      <c r="R38" s="24">
        <v>0.15</v>
      </c>
      <c r="S38" s="25">
        <f t="shared" si="0"/>
        <v>10588.235294117647</v>
      </c>
      <c r="T38" s="22">
        <v>12</v>
      </c>
      <c r="U38" s="22">
        <v>80</v>
      </c>
      <c r="V38" s="26">
        <f t="shared" si="1"/>
        <v>1241.2121212121212</v>
      </c>
      <c r="W38" s="22" t="s">
        <v>586</v>
      </c>
      <c r="X38" s="22">
        <v>8</v>
      </c>
      <c r="Y38" s="24">
        <v>0.8</v>
      </c>
      <c r="Z38" s="24">
        <v>1.02</v>
      </c>
      <c r="AA38" s="22">
        <v>175</v>
      </c>
      <c r="AB38"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38" s="46">
        <f>Implements7[[#This Row],[TradeIn%]]*Implements7[[#This Row],[PriceL]]</f>
        <v>3113.6912050764859</v>
      </c>
      <c r="AD38" s="47">
        <f>(Implements7[[#This Row],[PriceP]]-Implements7[[#This Row],[TradeIn$]])/Implements7[[#This Row],[Life (yr)]]/Implements7[[#This Row],[Use (ac/yr)]]</f>
        <v>0.39519895473729649</v>
      </c>
      <c r="AE38" s="78">
        <f>((Implements7[[#This Row],[PriceP]]+Implements7[[#This Row],[TradeIn$]])/2*($BR$7+$BR$8+$BR$9)+Implements7[[#This Row],[Shed (ft^2)]]*$BR$12)/Implements7[[#This Row],[Use (ac/yr)]]</f>
        <v>0.44651756524407221</v>
      </c>
      <c r="AF38" s="48">
        <f>Implements7[[#This Row],[PriceL]]*(VLOOKUP(Implements7[[#This Row],[ASABEtype]],ASABECoefficients[],2)*(Implements7[[#This Row],[Life (yr)]]*Implements7[[#This Row],[Use (hr/yr)]]/1000)^VLOOKUP(Implements7[[#This Row],[ASABEtype]],ASABECoefficients[],3))/Implements7[[#This Row],[Life (yr)]]/Implements7[[#This Row],[Use (ac/yr)]]</f>
        <v>0.12808625665292797</v>
      </c>
      <c r="AG38" s="7">
        <f>$BR$18/(Implements7[[#This Row],[Width]]*Implements7[[#This Row],[Speed]]*Implements7[[#This Row],[Efficiency]])</f>
        <v>6.4453125E-2</v>
      </c>
      <c r="AH38" s="32">
        <f>SUM(Implements7[[#This Row],[Depr ($/ac)]:[OH ($/ac)]])</f>
        <v>0.84171651998136876</v>
      </c>
      <c r="AI38" s="32"/>
      <c r="AJ38" s="5" t="s">
        <v>616</v>
      </c>
      <c r="AK38" s="32"/>
      <c r="AW38" s="61"/>
      <c r="BE38" s="13" t="s">
        <v>494</v>
      </c>
      <c r="BF38" s="43">
        <v>0.17</v>
      </c>
      <c r="BG38" s="43">
        <v>2.2000000000000002</v>
      </c>
      <c r="BH38" s="43">
        <v>2000</v>
      </c>
      <c r="BI38" s="43">
        <v>0.69269999999999998</v>
      </c>
      <c r="BJ38" s="43">
        <v>7.0300000000000001E-2</v>
      </c>
      <c r="BK38" s="43">
        <v>0</v>
      </c>
      <c r="BL38" s="43">
        <v>1.1999999999999999E-3</v>
      </c>
      <c r="BM38" s="10">
        <f t="shared" si="5"/>
        <v>1.4957290000000002E-2</v>
      </c>
      <c r="BN38" s="43">
        <v>0.12230000000000001</v>
      </c>
      <c r="BO38" s="44"/>
    </row>
    <row r="39" spans="11:67" ht="15">
      <c r="K39" s="5" t="str">
        <f>Implements7[[#This Row],[Implement type]]&amp;", "&amp;Implements7[[#This Row],[Width]]&amp;" "&amp;Implements7[[#This Row],[Width Unit]]</f>
        <v>Hay rake, 30 Ft Folding</v>
      </c>
      <c r="L39" s="51" t="s">
        <v>504</v>
      </c>
      <c r="M39" s="22">
        <v>30</v>
      </c>
      <c r="N39" s="21" t="str">
        <f t="shared" si="8"/>
        <v>Ft Folding</v>
      </c>
      <c r="O39" s="22">
        <v>12</v>
      </c>
      <c r="P39" s="22" t="s">
        <v>602</v>
      </c>
      <c r="Q39" s="23">
        <v>17500</v>
      </c>
      <c r="R39" s="24">
        <v>0.1</v>
      </c>
      <c r="S39" s="25">
        <f t="shared" ref="S39:S64" si="9">Q39/(1-R39)</f>
        <v>19444.444444444445</v>
      </c>
      <c r="T39" s="22">
        <v>12</v>
      </c>
      <c r="U39" s="22">
        <v>80</v>
      </c>
      <c r="V39" s="26">
        <f t="shared" ref="V39:V64" si="10">IF(AND(X39&lt;&gt;0,Y39&lt;&gt;0),U39*(M39*X39*Y39)/8.25,U39*M39)</f>
        <v>1861.8181818181818</v>
      </c>
      <c r="W39" s="22" t="s">
        <v>586</v>
      </c>
      <c r="X39" s="22">
        <v>8</v>
      </c>
      <c r="Y39" s="24">
        <v>0.8</v>
      </c>
      <c r="Z39" s="24">
        <v>1.02</v>
      </c>
      <c r="AA39" s="22">
        <v>250</v>
      </c>
      <c r="AB39"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39" s="46">
        <f>Implements7[[#This Row],[TradeIn%]]*Implements7[[#This Row],[PriceL]]</f>
        <v>5718.0440340139176</v>
      </c>
      <c r="AD39" s="47">
        <f>(Implements7[[#This Row],[PriceP]]-Implements7[[#This Row],[TradeIn$]])/Implements7[[#This Row],[Life (yr)]]/Implements7[[#This Row],[Use (ac/yr)]]</f>
        <v>0.5273499170973589</v>
      </c>
      <c r="AE39" s="30">
        <f>((Implements7[[#This Row],[PriceP]]+Implements7[[#This Row],[TradeIn$]])/2*($BR$7+$BR$8+$BR$9)+Implements7[[#This Row],[Shed (ft^2)]]*$BR$12)/Implements7[[#This Row],[Use (ac/yr)]]</f>
        <v>0.52608662244059168</v>
      </c>
      <c r="AF39" s="48">
        <f>Implements7[[#This Row],[PriceL]]*(VLOOKUP(Implements7[[#This Row],[ASABEtype]],ASABECoefficients[],2)*(Implements7[[#This Row],[Life (yr)]]*Implements7[[#This Row],[Use (hr/yr)]]/1000)^VLOOKUP(Implements7[[#This Row],[ASABEtype]],ASABECoefficients[],3))/Implements7[[#This Row],[Life (yr)]]/Implements7[[#This Row],[Use (ac/yr)]]</f>
        <v>0.1568134212108892</v>
      </c>
      <c r="AG39" s="7">
        <f>$BR$18/(Implements7[[#This Row],[Width]]*Implements7[[#This Row],[Speed]]*Implements7[[#This Row],[Efficiency]])</f>
        <v>4.296875E-2</v>
      </c>
      <c r="AH39" s="32">
        <f>SUM(Implements7[[#This Row],[Depr ($/ac)]:[OH ($/ac)]])</f>
        <v>1.0534365395379506</v>
      </c>
      <c r="AI39" s="33">
        <v>29</v>
      </c>
      <c r="AJ39" s="5" t="s">
        <v>616</v>
      </c>
      <c r="AK39" s="32"/>
      <c r="AW39" s="61"/>
      <c r="BE39" s="13" t="s">
        <v>474</v>
      </c>
      <c r="BF39" s="43">
        <v>0.32</v>
      </c>
      <c r="BG39" s="43">
        <v>2.1</v>
      </c>
      <c r="BH39" s="43">
        <v>1500</v>
      </c>
      <c r="BI39" s="43">
        <v>0.85540000000000005</v>
      </c>
      <c r="BJ39" s="43">
        <v>0.1177</v>
      </c>
      <c r="BK39" s="43">
        <v>0</v>
      </c>
      <c r="BL39" s="43">
        <v>2.8999999999999998E-3</v>
      </c>
      <c r="BM39" s="10">
        <f t="shared" si="5"/>
        <v>1.6230760000000004E-2</v>
      </c>
      <c r="BN39" s="43">
        <v>0.12740000000000001</v>
      </c>
      <c r="BO39" s="44"/>
    </row>
    <row r="40" spans="11:67" ht="15">
      <c r="K40" s="5" t="str">
        <f>Implements7[[#This Row],[Implement type]]&amp;", "&amp;Implements7[[#This Row],[Width]]&amp;" "&amp;Implements7[[#This Row],[Width Unit]]</f>
        <v>Hay tedder, 16 Ft Folding</v>
      </c>
      <c r="L40" s="51" t="s">
        <v>600</v>
      </c>
      <c r="M40" s="22">
        <v>16</v>
      </c>
      <c r="N40" s="21" t="str">
        <f t="shared" si="8"/>
        <v>Ft Folding</v>
      </c>
      <c r="O40" s="22">
        <v>4</v>
      </c>
      <c r="P40" s="51" t="s">
        <v>601</v>
      </c>
      <c r="Q40" s="23">
        <v>7000</v>
      </c>
      <c r="R40" s="24">
        <v>0.1</v>
      </c>
      <c r="S40" s="25">
        <f t="shared" si="9"/>
        <v>7777.7777777777774</v>
      </c>
      <c r="T40" s="22">
        <v>12</v>
      </c>
      <c r="U40" s="22">
        <v>25</v>
      </c>
      <c r="V40" s="26">
        <f t="shared" si="10"/>
        <v>412.12121212121212</v>
      </c>
      <c r="W40" s="22" t="s">
        <v>505</v>
      </c>
      <c r="X40" s="22">
        <v>10</v>
      </c>
      <c r="Y40" s="24">
        <v>0.85</v>
      </c>
      <c r="Z40" s="24">
        <v>1.02</v>
      </c>
      <c r="AA40" s="22">
        <v>70</v>
      </c>
      <c r="AB40"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0" s="46">
        <f>Implements7[[#This Row],[TradeIn%]]*Implements7[[#This Row],[PriceL]]</f>
        <v>2287.2176136055668</v>
      </c>
      <c r="AD40" s="47">
        <f>(Implements7[[#This Row],[PriceP]]-Implements7[[#This Row],[TradeIn$]])/Implements7[[#This Row],[Life (yr)]]/Implements7[[#This Row],[Use (ac/yr)]]</f>
        <v>0.95295232077828618</v>
      </c>
      <c r="AE40" s="78">
        <f>((Implements7[[#This Row],[PriceP]]+Implements7[[#This Row],[TradeIn$]])/2*($BR$7+$BR$8+$BR$9)+Implements7[[#This Row],[Shed (ft^2)]]*$BR$12)/Implements7[[#This Row],[Use (ac/yr)]]</f>
        <v>0.88011603379165859</v>
      </c>
      <c r="AF40" s="48">
        <f>Implements7[[#This Row],[PriceL]]*(VLOOKUP(Implements7[[#This Row],[ASABEtype]],ASABECoefficients[],2)*(Implements7[[#This Row],[Life (yr)]]*Implements7[[#This Row],[Use (hr/yr)]]/1000)^VLOOKUP(Implements7[[#This Row],[ASABEtype]],ASABECoefficients[],3))/Implements7[[#This Row],[Life (yr)]]/Implements7[[#This Row],[Use (ac/yr)]]</f>
        <v>4.9552776555927824E-2</v>
      </c>
      <c r="AG40" s="7">
        <f>$BR$18/(Implements7[[#This Row],[Width]]*Implements7[[#This Row],[Speed]]*Implements7[[#This Row],[Efficiency]])</f>
        <v>6.0661764705882353E-2</v>
      </c>
      <c r="AH40" s="32">
        <f>SUM(Implements7[[#This Row],[Depr ($/ac)]:[OH ($/ac)]])</f>
        <v>1.8330683545699449</v>
      </c>
      <c r="AI40" s="32"/>
      <c r="AJ40" s="5" t="s">
        <v>616</v>
      </c>
      <c r="AK40" s="32"/>
      <c r="AW40" s="60"/>
      <c r="BE40" s="13" t="s">
        <v>505</v>
      </c>
      <c r="BF40" s="43">
        <v>0.17</v>
      </c>
      <c r="BG40" s="43">
        <v>1.4</v>
      </c>
      <c r="BH40" s="43">
        <v>2500</v>
      </c>
      <c r="BI40" s="43">
        <v>0.80910000000000004</v>
      </c>
      <c r="BJ40" s="43">
        <v>0.1109</v>
      </c>
      <c r="BK40" s="43">
        <v>0</v>
      </c>
      <c r="BL40" s="43">
        <v>1.4E-3</v>
      </c>
      <c r="BM40" s="10">
        <f t="shared" si="5"/>
        <v>1.605289E-2</v>
      </c>
      <c r="BN40" s="43">
        <v>0.12670000000000001</v>
      </c>
      <c r="BO40" s="44"/>
    </row>
    <row r="41" spans="11:67" ht="15">
      <c r="K41" s="5" t="str">
        <f>Implements7[[#This Row],[Implement type]]&amp;", "&amp;Implements7[[#This Row],[Width]]&amp;" "&amp;Implements7[[#This Row],[Width Unit]]</f>
        <v>Inline bale wrapper, 60 Ft</v>
      </c>
      <c r="L41" s="51" t="s">
        <v>596</v>
      </c>
      <c r="M41" s="22">
        <v>60</v>
      </c>
      <c r="N41" s="21" t="s">
        <v>438</v>
      </c>
      <c r="O41" s="22"/>
      <c r="P41" s="51"/>
      <c r="Q41" s="23">
        <v>32500</v>
      </c>
      <c r="R41" s="24">
        <v>0.1</v>
      </c>
      <c r="S41" s="25">
        <f t="shared" si="9"/>
        <v>36111.111111111109</v>
      </c>
      <c r="T41" s="22">
        <v>12</v>
      </c>
      <c r="U41" s="22">
        <v>100</v>
      </c>
      <c r="V41" s="26">
        <f t="shared" si="10"/>
        <v>5236.363636363636</v>
      </c>
      <c r="W41" s="22" t="s">
        <v>522</v>
      </c>
      <c r="X41" s="22">
        <v>8</v>
      </c>
      <c r="Y41" s="24">
        <v>0.9</v>
      </c>
      <c r="Z41" s="24">
        <v>1.1000000000000001</v>
      </c>
      <c r="AA41" s="22">
        <v>200</v>
      </c>
      <c r="AB41"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1" s="46">
        <f>Implements7[[#This Row],[TradeIn%]]*Implements7[[#This Row],[PriceL]]</f>
        <v>10619.224634597274</v>
      </c>
      <c r="AD41" s="47">
        <f>(Implements7[[#This Row],[PriceP]]-Implements7[[#This Row],[TradeIn$]])/Implements7[[#This Row],[Life (yr)]]/Implements7[[#This Row],[Use (ac/yr)]]</f>
        <v>0.34821835795635131</v>
      </c>
      <c r="AE41" s="78">
        <f>((Implements7[[#This Row],[PriceP]]+Implements7[[#This Row],[TradeIn$]])/2*($BR$7+$BR$8+$BR$9)+Implements7[[#This Row],[Shed (ft^2)]]*$BR$12)/Implements7[[#This Row],[Use (ac/yr)]]</f>
        <v>0.29846650907285183</v>
      </c>
      <c r="AF41" s="48">
        <f>Implements7[[#This Row],[PriceL]]*(VLOOKUP(Implements7[[#This Row],[ASABEtype]],ASABECoefficients[],2)*(Implements7[[#This Row],[Life (yr)]]*Implements7[[#This Row],[Use (hr/yr)]]/1000)^VLOOKUP(Implements7[[#This Row],[ASABEtype]],ASABECoefficients[],3))/Implements7[[#This Row],[Life (yr)]]/Implements7[[#This Row],[Use (ac/yr)]]</f>
        <v>1.1540139533229552E-2</v>
      </c>
      <c r="AG41" s="7">
        <f>$BR$18/(Implements7[[#This Row],[Width]]*Implements7[[#This Row],[Speed]]*Implements7[[#This Row],[Efficiency]])</f>
        <v>1.9097222222222224E-2</v>
      </c>
      <c r="AH41" s="32">
        <f>SUM(Implements7[[#This Row],[Depr ($/ac)]:[OH ($/ac)]])</f>
        <v>0.64668486702920314</v>
      </c>
      <c r="AI41" s="32"/>
      <c r="AJ41" s="5" t="s">
        <v>616</v>
      </c>
      <c r="AK41" s="32"/>
      <c r="AW41" s="61"/>
      <c r="BE41" s="13" t="s">
        <v>516</v>
      </c>
      <c r="BF41" s="43">
        <v>0.27</v>
      </c>
      <c r="BG41" s="43">
        <v>1.4</v>
      </c>
      <c r="BH41" s="43">
        <v>2000</v>
      </c>
      <c r="BI41" s="43">
        <v>0.69269999999999998</v>
      </c>
      <c r="BJ41" s="43">
        <v>7.0300000000000001E-2</v>
      </c>
      <c r="BK41" s="43">
        <v>0</v>
      </c>
      <c r="BL41" s="43">
        <v>1.1999999999999999E-3</v>
      </c>
      <c r="BM41" s="10">
        <f t="shared" si="5"/>
        <v>1.4957290000000002E-2</v>
      </c>
      <c r="BN41" s="43">
        <v>0.12230000000000001</v>
      </c>
      <c r="BO41" s="44"/>
    </row>
    <row r="42" spans="11:67">
      <c r="K42" s="5" t="str">
        <f>Implements7[[#This Row],[Implement type]]&amp;", "&amp;Implements7[[#This Row],[Width]]&amp;" "&amp;Implements7[[#This Row],[Width Unit]]</f>
        <v>Large rectangular baler, 20 Ft</v>
      </c>
      <c r="L42" s="51" t="s">
        <v>483</v>
      </c>
      <c r="M42" s="22">
        <v>20</v>
      </c>
      <c r="N42" s="21" t="s">
        <v>438</v>
      </c>
      <c r="O42" s="22" t="s">
        <v>514</v>
      </c>
      <c r="P42" s="22"/>
      <c r="Q42" s="23">
        <v>155500</v>
      </c>
      <c r="R42" s="24">
        <v>0.1</v>
      </c>
      <c r="S42" s="25">
        <f t="shared" si="9"/>
        <v>172777.77777777778</v>
      </c>
      <c r="T42" s="22">
        <v>12</v>
      </c>
      <c r="U42" s="22">
        <v>250</v>
      </c>
      <c r="V42" s="26">
        <f t="shared" si="10"/>
        <v>2909.090909090909</v>
      </c>
      <c r="W42" s="22" t="s">
        <v>483</v>
      </c>
      <c r="X42" s="22">
        <v>6</v>
      </c>
      <c r="Y42" s="24">
        <v>0.8</v>
      </c>
      <c r="Z42" s="24">
        <v>1.1100000000000001</v>
      </c>
      <c r="AA42" s="22">
        <v>250</v>
      </c>
      <c r="AB42"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2" s="46">
        <f>Implements7[[#This Row],[TradeIn%]]*Implements7[[#This Row],[PriceL]]</f>
        <v>50808.905559380808</v>
      </c>
      <c r="AD42" s="47">
        <f>(Implements7[[#This Row],[PriceP]]-Implements7[[#This Row],[TradeIn$]])/Implements7[[#This Row],[Life (yr)]]/Implements7[[#This Row],[Use (ac/yr)]]</f>
        <v>2.9989636428302378</v>
      </c>
      <c r="AE42" s="30">
        <f>((Implements7[[#This Row],[PriceP]]+Implements7[[#This Row],[TradeIn$]])/2*($BR$7+$BR$8+$BR$9)+Implements7[[#This Row],[Shed (ft^2)]]*$BR$12)/Implements7[[#This Row],[Use (ac/yr)]]</f>
        <v>2.3349605442286783</v>
      </c>
      <c r="AF42" s="48">
        <f>Implements7[[#This Row],[PriceL]]*(VLOOKUP(Implements7[[#This Row],[ASABEtype]],ASABECoefficients[],2)*(Implements7[[#This Row],[Life (yr)]]*Implements7[[#This Row],[Use (hr/yr)]]/1000)^VLOOKUP(Implements7[[#This Row],[ASABEtype]],ASABECoefficients[],3))/Implements7[[#This Row],[Life (yr)]]/Implements7[[#This Row],[Use (ac/yr)]]</f>
        <v>3.5757537536220712</v>
      </c>
      <c r="AG42" s="7">
        <f>$BR$18/(Implements7[[#This Row],[Width]]*Implements7[[#This Row],[Speed]]*Implements7[[#This Row],[Efficiency]])</f>
        <v>8.59375E-2</v>
      </c>
      <c r="AH42" s="32">
        <f>SUM(Implements7[[#This Row],[Depr ($/ac)]:[OH ($/ac)]])</f>
        <v>5.3339241870589156</v>
      </c>
      <c r="AI42" s="33">
        <v>35</v>
      </c>
      <c r="AJ42" s="5" t="s">
        <v>616</v>
      </c>
      <c r="AK42" s="32"/>
      <c r="BE42" s="13" t="s">
        <v>519</v>
      </c>
      <c r="BF42" s="43">
        <v>0.59</v>
      </c>
      <c r="BG42" s="43">
        <v>1.3</v>
      </c>
      <c r="BH42" s="43">
        <v>1500</v>
      </c>
      <c r="BI42" s="43">
        <v>0.71940000000000004</v>
      </c>
      <c r="BJ42" s="43">
        <v>0.11020000000000001</v>
      </c>
      <c r="BK42" s="43">
        <v>0</v>
      </c>
      <c r="BL42" s="43">
        <v>3.0000000000000001E-3</v>
      </c>
      <c r="BM42" s="10">
        <f t="shared" si="5"/>
        <v>1.4713690000000001E-2</v>
      </c>
      <c r="BN42" s="43">
        <v>0.12130000000000001</v>
      </c>
      <c r="BO42" s="44"/>
    </row>
    <row r="43" spans="11:67">
      <c r="K43" s="5" t="str">
        <f>Implements7[[#This Row],[Implement type]]&amp;", "&amp;Implements7[[#This Row],[Width]]&amp;" "&amp;Implements7[[#This Row],[Width Unit]]</f>
        <v>Large rectangular baler, 30 Ft</v>
      </c>
      <c r="L43" s="51" t="s">
        <v>483</v>
      </c>
      <c r="M43" s="22">
        <v>30</v>
      </c>
      <c r="N43" s="21" t="s">
        <v>438</v>
      </c>
      <c r="O43" s="22" t="s">
        <v>515</v>
      </c>
      <c r="P43" s="22"/>
      <c r="Q43" s="23">
        <v>188000</v>
      </c>
      <c r="R43" s="24">
        <v>0.1</v>
      </c>
      <c r="S43" s="25">
        <f t="shared" si="9"/>
        <v>208888.88888888888</v>
      </c>
      <c r="T43" s="22">
        <v>12</v>
      </c>
      <c r="U43" s="22">
        <v>250</v>
      </c>
      <c r="V43" s="26">
        <f t="shared" si="10"/>
        <v>4363.636363636364</v>
      </c>
      <c r="W43" s="22" t="s">
        <v>483</v>
      </c>
      <c r="X43" s="22">
        <v>6</v>
      </c>
      <c r="Y43" s="24">
        <v>0.8</v>
      </c>
      <c r="Z43" s="24">
        <v>1.1100000000000001</v>
      </c>
      <c r="AA43" s="22">
        <v>250</v>
      </c>
      <c r="AB43"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3" s="46">
        <f>Implements7[[#This Row],[TradeIn%]]*Implements7[[#This Row],[PriceL]]</f>
        <v>61428.130193978075</v>
      </c>
      <c r="AD43" s="47">
        <f>(Implements7[[#This Row],[PriceP]]-Implements7[[#This Row],[TradeIn$]])/Implements7[[#This Row],[Life (yr)]]/Implements7[[#This Row],[Use (ac/yr)]]</f>
        <v>2.4171711247677798</v>
      </c>
      <c r="AE43" s="30">
        <f>((Implements7[[#This Row],[PriceP]]+Implements7[[#This Row],[TradeIn$]])/2*($BR$7+$BR$8+$BR$9)+Implements7[[#This Row],[Shed (ft^2)]]*$BR$12)/Implements7[[#This Row],[Use (ac/yr)]]</f>
        <v>1.8703776378948085</v>
      </c>
      <c r="AF43" s="48">
        <f>Implements7[[#This Row],[PriceL]]*(VLOOKUP(Implements7[[#This Row],[ASABEtype]],ASABECoefficients[],2)*(Implements7[[#This Row],[Life (yr)]]*Implements7[[#This Row],[Use (hr/yr)]]/1000)^VLOOKUP(Implements7[[#This Row],[ASABEtype]],ASABECoefficients[],3))/Implements7[[#This Row],[Life (yr)]]/Implements7[[#This Row],[Use (ac/yr)]]</f>
        <v>2.8820651904863843</v>
      </c>
      <c r="AG43" s="7">
        <f>$BR$18/(Implements7[[#This Row],[Width]]*Implements7[[#This Row],[Speed]]*Implements7[[#This Row],[Efficiency]])</f>
        <v>5.7291666666666664E-2</v>
      </c>
      <c r="AH43" s="32">
        <f>SUM(Implements7[[#This Row],[Depr ($/ac)]:[OH ($/ac)]])</f>
        <v>4.2875487626625883</v>
      </c>
      <c r="AI43" s="33">
        <v>36</v>
      </c>
      <c r="AJ43" s="5" t="s">
        <v>616</v>
      </c>
      <c r="AK43" s="32"/>
      <c r="BE43" s="13" t="s">
        <v>447</v>
      </c>
      <c r="BF43" s="43">
        <v>0.18</v>
      </c>
      <c r="BG43" s="43">
        <v>1.7</v>
      </c>
      <c r="BH43" s="43">
        <v>2000</v>
      </c>
      <c r="BI43" s="43">
        <v>0.71940000000000004</v>
      </c>
      <c r="BJ43" s="43">
        <v>0.11020000000000001</v>
      </c>
      <c r="BK43" s="43">
        <v>0</v>
      </c>
      <c r="BL43" s="43">
        <v>3.0000000000000001E-3</v>
      </c>
      <c r="BM43" s="10">
        <f t="shared" si="5"/>
        <v>1.4713690000000001E-2</v>
      </c>
      <c r="BN43" s="43">
        <v>0.12130000000000001</v>
      </c>
      <c r="BO43" s="44"/>
    </row>
    <row r="44" spans="11:67">
      <c r="K44" s="5" t="str">
        <f>Implements7[[#This Row],[Implement type]]&amp;", "&amp;Implements7[[#This Row],[Width]]&amp;" "&amp;Implements7[[#This Row],[Width Unit]]</f>
        <v>Round baler w/net wrap, 30 Ft</v>
      </c>
      <c r="L44" s="21" t="s">
        <v>598</v>
      </c>
      <c r="M44" s="22">
        <v>30</v>
      </c>
      <c r="N44" s="21" t="s">
        <v>438</v>
      </c>
      <c r="O44" s="22" t="s">
        <v>513</v>
      </c>
      <c r="P44" s="22"/>
      <c r="Q44" s="23">
        <v>110000</v>
      </c>
      <c r="R44" s="24">
        <v>0.1</v>
      </c>
      <c r="S44" s="25">
        <f t="shared" si="9"/>
        <v>122222.22222222222</v>
      </c>
      <c r="T44" s="22">
        <v>12</v>
      </c>
      <c r="U44" s="22">
        <v>200</v>
      </c>
      <c r="V44" s="26">
        <f t="shared" si="10"/>
        <v>2363.6363636363635</v>
      </c>
      <c r="W44" s="22" t="s">
        <v>484</v>
      </c>
      <c r="X44" s="22">
        <v>5</v>
      </c>
      <c r="Y44" s="24">
        <v>0.65</v>
      </c>
      <c r="Z44" s="24">
        <v>1.1100000000000001</v>
      </c>
      <c r="AA44" s="22">
        <v>120</v>
      </c>
      <c r="AB44"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4" s="46">
        <f>Implements7[[#This Row],[TradeIn%]]*Implements7[[#This Row],[PriceL]]</f>
        <v>35941.991070944619</v>
      </c>
      <c r="AD44" s="47">
        <f>(Implements7[[#This Row],[PriceP]]-Implements7[[#This Row],[TradeIn$]])/Implements7[[#This Row],[Life (yr)]]/Implements7[[#This Row],[Use (ac/yr)]]</f>
        <v>2.6110195455756711</v>
      </c>
      <c r="AE44" s="30">
        <f>((Implements7[[#This Row],[PriceP]]+Implements7[[#This Row],[TradeIn$]])/2*($BR$7+$BR$8+$BR$9)+Implements7[[#This Row],[Shed (ft^2)]]*$BR$12)/Implements7[[#This Row],[Use (ac/yr)]]</f>
        <v>2.0096003620348193</v>
      </c>
      <c r="AF44" s="48">
        <f>Implements7[[#This Row],[PriceL]]*(VLOOKUP(Implements7[[#This Row],[ASABEtype]],ASABECoefficients[],2)*(Implements7[[#This Row],[Life (yr)]]*Implements7[[#This Row],[Use (hr/yr)]]/1000)^VLOOKUP(Implements7[[#This Row],[ASABEtype]],ASABECoefficients[],3))/Implements7[[#This Row],[Life (yr)]]/Implements7[[#This Row],[Use (ac/yr)]]</f>
        <v>8.9585342316030179</v>
      </c>
      <c r="AG44" s="7">
        <f>$BR$18/(Implements7[[#This Row],[Width]]*Implements7[[#This Row],[Speed]]*Implements7[[#This Row],[Efficiency]])</f>
        <v>8.461538461538462E-2</v>
      </c>
      <c r="AH44" s="32">
        <f>SUM(Implements7[[#This Row],[Depr ($/ac)]:[OH ($/ac)]])</f>
        <v>4.6206199076104904</v>
      </c>
      <c r="AI44" s="33">
        <v>34</v>
      </c>
      <c r="AJ44" s="5" t="s">
        <v>616</v>
      </c>
      <c r="AK44" s="32"/>
      <c r="BE44" s="13" t="s">
        <v>522</v>
      </c>
      <c r="BF44" s="43">
        <v>1.4999999999999999E-2</v>
      </c>
      <c r="BG44" s="43">
        <v>1.6</v>
      </c>
      <c r="BH44" s="43">
        <v>5000</v>
      </c>
      <c r="BI44" s="43">
        <v>0.80910000000000004</v>
      </c>
      <c r="BJ44" s="43">
        <v>0.1109</v>
      </c>
      <c r="BK44" s="43">
        <v>0</v>
      </c>
      <c r="BL44" s="43">
        <v>1.4E-3</v>
      </c>
      <c r="BM44" s="10">
        <f t="shared" si="5"/>
        <v>1.605289E-2</v>
      </c>
      <c r="BN44" s="43">
        <v>0.12670000000000001</v>
      </c>
      <c r="BO44" s="44" t="s">
        <v>487</v>
      </c>
    </row>
    <row r="45" spans="11:67">
      <c r="K45" s="5" t="str">
        <f>Implements7[[#This Row],[Implement type]]&amp;", "&amp;Implements7[[#This Row],[Width]]&amp;" "&amp;Implements7[[#This Row],[Width Unit]]</f>
        <v>Round baler, 30 Ft</v>
      </c>
      <c r="L45" s="21" t="s">
        <v>512</v>
      </c>
      <c r="M45" s="22">
        <v>30</v>
      </c>
      <c r="N45" s="21" t="s">
        <v>438</v>
      </c>
      <c r="O45" s="22" t="s">
        <v>513</v>
      </c>
      <c r="P45" s="22"/>
      <c r="Q45" s="23">
        <v>100500</v>
      </c>
      <c r="R45" s="24">
        <v>0.1</v>
      </c>
      <c r="S45" s="25">
        <f t="shared" si="9"/>
        <v>111666.66666666666</v>
      </c>
      <c r="T45" s="22">
        <v>12</v>
      </c>
      <c r="U45" s="22">
        <v>200</v>
      </c>
      <c r="V45" s="26">
        <f t="shared" si="10"/>
        <v>2363.6363636363635</v>
      </c>
      <c r="W45" s="22" t="s">
        <v>484</v>
      </c>
      <c r="X45" s="22">
        <v>5</v>
      </c>
      <c r="Y45" s="24">
        <v>0.65</v>
      </c>
      <c r="Z45" s="24">
        <v>1.1100000000000001</v>
      </c>
      <c r="AA45" s="22">
        <v>120</v>
      </c>
      <c r="AB45"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5" s="46">
        <f>Implements7[[#This Row],[TradeIn%]]*Implements7[[#This Row],[PriceL]]</f>
        <v>32837.910023908495</v>
      </c>
      <c r="AD45" s="47">
        <f>(Implements7[[#This Row],[PriceP]]-Implements7[[#This Row],[TradeIn$]])/Implements7[[#This Row],[Life (yr)]]/Implements7[[#This Row],[Use (ac/yr)]]</f>
        <v>2.3855224030032263</v>
      </c>
      <c r="AE45" s="30">
        <f>((Implements7[[#This Row],[PriceP]]+Implements7[[#This Row],[TradeIn$]])/2*($BR$7+$BR$8+$BR$9)+Implements7[[#This Row],[Shed (ft^2)]]*$BR$12)/Implements7[[#This Row],[Use (ac/yr)]]</f>
        <v>1.8402936195087671</v>
      </c>
      <c r="AF45" s="48">
        <f>Implements7[[#This Row],[PriceL]]*(VLOOKUP(Implements7[[#This Row],[ASABEtype]],ASABECoefficients[],2)*(Implements7[[#This Row],[Life (yr)]]*Implements7[[#This Row],[Use (hr/yr)]]/1000)^VLOOKUP(Implements7[[#This Row],[ASABEtype]],ASABECoefficients[],3))/Implements7[[#This Row],[Life (yr)]]/Implements7[[#This Row],[Use (ac/yr)]]</f>
        <v>8.1848426388736648</v>
      </c>
      <c r="AG45" s="7">
        <f>$BR$18/(Implements7[[#This Row],[Width]]*Implements7[[#This Row],[Speed]]*Implements7[[#This Row],[Efficiency]])</f>
        <v>8.461538461538462E-2</v>
      </c>
      <c r="AH45" s="32">
        <f>SUM(Implements7[[#This Row],[Depr ($/ac)]:[OH ($/ac)]])</f>
        <v>4.2258160225119932</v>
      </c>
      <c r="AI45" s="33">
        <v>33</v>
      </c>
      <c r="AJ45" s="5" t="s">
        <v>616</v>
      </c>
      <c r="AK45" s="32"/>
      <c r="BE45" s="13" t="s">
        <v>439</v>
      </c>
      <c r="BF45" s="43">
        <v>7.0000000000000001E-3</v>
      </c>
      <c r="BG45" s="43">
        <v>2</v>
      </c>
      <c r="BH45" s="43">
        <v>12000</v>
      </c>
      <c r="BI45" s="43">
        <v>0.84930000000000005</v>
      </c>
      <c r="BJ45" s="43">
        <v>9.6600000000000005E-2</v>
      </c>
      <c r="BK45" s="43">
        <v>5.8999999999999999E-3</v>
      </c>
      <c r="BL45" s="43">
        <v>3.8E-3</v>
      </c>
      <c r="BM45" s="10">
        <f t="shared" si="5"/>
        <v>1.1278440000000001E-2</v>
      </c>
      <c r="BN45" s="43">
        <v>0.1062</v>
      </c>
      <c r="BO45" s="44"/>
    </row>
    <row r="46" spans="11:67">
      <c r="K46" s="5" t="str">
        <f>Implements7[[#This Row],[Implement type]]&amp;", "&amp;Implements7[[#This Row],[Width]]&amp;" "&amp;Implements7[[#This Row],[Width Unit]]</f>
        <v>Small square baler, twine tie, 20 Ft</v>
      </c>
      <c r="L46" s="51" t="s">
        <v>593</v>
      </c>
      <c r="M46" s="22">
        <v>20</v>
      </c>
      <c r="N46" s="21" t="s">
        <v>438</v>
      </c>
      <c r="O46" s="22" t="s">
        <v>9</v>
      </c>
      <c r="P46" s="22" t="s">
        <v>9</v>
      </c>
      <c r="Q46" s="23">
        <v>36000</v>
      </c>
      <c r="R46" s="24">
        <v>0.1</v>
      </c>
      <c r="S46" s="25">
        <f t="shared" si="9"/>
        <v>40000</v>
      </c>
      <c r="T46" s="22">
        <v>12</v>
      </c>
      <c r="U46" s="22">
        <v>200</v>
      </c>
      <c r="V46" s="26">
        <f t="shared" si="10"/>
        <v>1454.5454545454545</v>
      </c>
      <c r="W46" s="22" t="s">
        <v>506</v>
      </c>
      <c r="X46" s="22">
        <v>4</v>
      </c>
      <c r="Y46" s="24">
        <v>0.75</v>
      </c>
      <c r="Z46" s="24">
        <v>1.1100000000000001</v>
      </c>
      <c r="AA46" s="22">
        <v>184</v>
      </c>
      <c r="AB46"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46" s="46">
        <f>Implements7[[#This Row],[TradeIn%]]*Implements7[[#This Row],[PriceL]]</f>
        <v>11762.833441400058</v>
      </c>
      <c r="AD46" s="47">
        <f>(Implements7[[#This Row],[PriceP]]-Implements7[[#This Row],[TradeIn$]])/Implements7[[#This Row],[Life (yr)]]/Implements7[[#This Row],[Use (ac/yr)]]</f>
        <v>1.3885876674197886</v>
      </c>
      <c r="AE46" s="30">
        <f>((Implements7[[#This Row],[PriceP]]+Implements7[[#This Row],[TradeIn$]])/2*($BR$7+$BR$8+$BR$9)+Implements7[[#This Row],[Shed (ft^2)]]*$BR$12)/Implements7[[#This Row],[Use (ac/yr)]]</f>
        <v>1.1651792975534427</v>
      </c>
      <c r="AF46" s="48">
        <f>Implements7[[#This Row],[PriceL]]*(VLOOKUP(Implements7[[#This Row],[ASABEtype]],ASABECoefficients[],2)*(Implements7[[#This Row],[Life (yr)]]*Implements7[[#This Row],[Use (hr/yr)]]/1000)^VLOOKUP(Implements7[[#This Row],[ASABEtype]],ASABECoefficients[],3))/Implements7[[#This Row],[Life (yr)]]/Implements7[[#This Row],[Use (ac/yr)]]</f>
        <v>2.5483526022456364</v>
      </c>
      <c r="AG46" s="7">
        <f>$BR$18/(Implements7[[#This Row],[Width]]*Implements7[[#This Row],[Speed]]*Implements7[[#This Row],[Efficiency]])</f>
        <v>0.13750000000000001</v>
      </c>
      <c r="AH46" s="32">
        <f>SUM(Implements7[[#This Row],[Depr ($/ac)]:[OH ($/ac)]])</f>
        <v>2.5537669649732315</v>
      </c>
      <c r="AI46" s="33">
        <v>32</v>
      </c>
      <c r="AJ46" s="5" t="s">
        <v>616</v>
      </c>
      <c r="AK46" s="32"/>
      <c r="BE46" s="13" t="s">
        <v>524</v>
      </c>
      <c r="BF46" s="43">
        <v>0.19</v>
      </c>
      <c r="BG46" s="43">
        <v>1.3</v>
      </c>
      <c r="BH46" s="43">
        <v>3000</v>
      </c>
      <c r="BI46" s="43">
        <v>0.80910000000000004</v>
      </c>
      <c r="BJ46" s="43">
        <v>0.1109</v>
      </c>
      <c r="BK46" s="43">
        <v>0</v>
      </c>
      <c r="BL46" s="43">
        <v>1.4E-3</v>
      </c>
      <c r="BM46" s="10">
        <f t="shared" si="5"/>
        <v>1.605289E-2</v>
      </c>
      <c r="BN46" s="43">
        <v>0.12670000000000001</v>
      </c>
      <c r="BO46" s="44"/>
    </row>
    <row r="47" spans="11:67">
      <c r="K47" s="5" t="str">
        <f>Implements7[[#This Row],[Implement type]]&amp;", "&amp;Implements7[[#This Row],[Width]]&amp;" "&amp;Implements7[[#This Row],[Width Unit]]</f>
        <v>Rotary Mower (brush hog), 15 Ft Folding</v>
      </c>
      <c r="L47" s="51" t="s">
        <v>597</v>
      </c>
      <c r="M47" s="22">
        <v>15</v>
      </c>
      <c r="N47" s="21" t="s">
        <v>585</v>
      </c>
      <c r="O47" s="22"/>
      <c r="P47" s="51"/>
      <c r="Q47" s="23">
        <v>28000</v>
      </c>
      <c r="R47" s="24">
        <v>0.1</v>
      </c>
      <c r="S47" s="25">
        <f t="shared" si="9"/>
        <v>31111.111111111109</v>
      </c>
      <c r="T47" s="22">
        <v>12</v>
      </c>
      <c r="U47" s="22">
        <v>100</v>
      </c>
      <c r="V47" s="26">
        <f t="shared" si="10"/>
        <v>772.72727272727275</v>
      </c>
      <c r="W47" s="22" t="s">
        <v>495</v>
      </c>
      <c r="X47" s="22">
        <v>5</v>
      </c>
      <c r="Y47" s="24">
        <v>0.85</v>
      </c>
      <c r="Z47" s="24">
        <v>1.04</v>
      </c>
      <c r="AA47" s="22">
        <v>130</v>
      </c>
      <c r="AB47"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0.29790868815561528</v>
      </c>
      <c r="AC47" s="46">
        <f>Implements7[[#This Row],[TradeIn%]]*Implements7[[#This Row],[PriceL]]</f>
        <v>9268.270298174697</v>
      </c>
      <c r="AD47" s="47">
        <f>(Implements7[[#This Row],[PriceP]]-Implements7[[#This Row],[TradeIn$]])/Implements7[[#This Row],[Life (yr)]]/Implements7[[#This Row],[Use (ac/yr)]]</f>
        <v>2.0200884972556694</v>
      </c>
      <c r="AE47" s="78">
        <f>((Implements7[[#This Row],[PriceP]]+Implements7[[#This Row],[TradeIn$]])/2*($BR$7+$BR$8+$BR$9)+Implements7[[#This Row],[Shed (ft^2)]]*$BR$12)/Implements7[[#This Row],[Use (ac/yr)]]</f>
        <v>1.6943442963486552</v>
      </c>
      <c r="AF47" s="48">
        <f>Implements7[[#This Row],[PriceL]]*(VLOOKUP(Implements7[[#This Row],[ASABEtype]],ASABECoefficients[],2)*(Implements7[[#This Row],[Life (yr)]]*Implements7[[#This Row],[Use (hr/yr)]]/1000)^VLOOKUP(Implements7[[#This Row],[ASABEtype]],ASABECoefficients[],3))/Implements7[[#This Row],[Life (yr)]]/Implements7[[#This Row],[Use (ac/yr)]]</f>
        <v>2.1258039215686271</v>
      </c>
      <c r="AG47" s="7">
        <f>$BR$18/(Implements7[[#This Row],[Width]]*Implements7[[#This Row],[Speed]]*Implements7[[#This Row],[Efficiency]])</f>
        <v>0.12941176470588237</v>
      </c>
      <c r="AH47" s="32">
        <f>SUM(Implements7[[#This Row],[Depr ($/ac)]:[OH ($/ac)]])</f>
        <v>3.7144327936043249</v>
      </c>
      <c r="AI47" s="32"/>
      <c r="AJ47" s="5" t="s">
        <v>617</v>
      </c>
      <c r="AK47" s="32"/>
      <c r="BE47" s="13" t="s">
        <v>509</v>
      </c>
      <c r="BF47" s="43">
        <v>0.06</v>
      </c>
      <c r="BG47" s="43">
        <v>2</v>
      </c>
      <c r="BH47" s="43">
        <v>3000</v>
      </c>
      <c r="BI47" s="43">
        <v>0.72430000000000005</v>
      </c>
      <c r="BJ47" s="43">
        <v>0.11269999999999999</v>
      </c>
      <c r="BK47" s="43">
        <v>0</v>
      </c>
      <c r="BL47" s="43">
        <v>3.3999999999999998E-3</v>
      </c>
      <c r="BM47" s="10">
        <f t="shared" si="5"/>
        <v>1.4113440000000001E-2</v>
      </c>
      <c r="BN47" s="43">
        <v>0.1188</v>
      </c>
      <c r="BO47" s="44"/>
    </row>
    <row r="48" spans="11:67">
      <c r="K48" s="5" t="str">
        <f>Implements7[[#This Row],[Implement type]]&amp;", "&amp;Implements7[[#This Row],[Width]]&amp;" "&amp;Implements7[[#This Row],[Width Unit]]</f>
        <v>Stalk shredder, 20 Ft Folding</v>
      </c>
      <c r="L48" s="51" t="s">
        <v>501</v>
      </c>
      <c r="M48" s="22">
        <v>20</v>
      </c>
      <c r="N48" s="21" t="str">
        <f>IF(M48&gt;15,"Ft Folding","Ft")</f>
        <v>Ft Folding</v>
      </c>
      <c r="O48" s="22"/>
      <c r="P48" s="22"/>
      <c r="Q48" s="23">
        <v>39000</v>
      </c>
      <c r="R48" s="24">
        <v>0.1</v>
      </c>
      <c r="S48" s="25">
        <f t="shared" si="9"/>
        <v>43333.333333333336</v>
      </c>
      <c r="T48" s="22">
        <v>12</v>
      </c>
      <c r="U48" s="22">
        <v>100</v>
      </c>
      <c r="V48" s="26">
        <f t="shared" si="10"/>
        <v>775.75757575757575</v>
      </c>
      <c r="W48" s="22" t="s">
        <v>444</v>
      </c>
      <c r="X48" s="22">
        <v>4</v>
      </c>
      <c r="Y48" s="24">
        <v>0.8</v>
      </c>
      <c r="Z48" s="24">
        <v>1.1000000000000001</v>
      </c>
      <c r="AA48" s="22">
        <v>231</v>
      </c>
      <c r="AB48"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48" s="46">
        <f>Implements7[[#This Row],[TradeIn%]]*Implements7[[#This Row],[PriceL]]</f>
        <v>14795.492252460808</v>
      </c>
      <c r="AD48" s="47">
        <f>(Implements7[[#This Row],[PriceP]]-Implements7[[#This Row],[TradeIn$]])/Implements7[[#This Row],[Life (yr)]]/Implements7[[#This Row],[Use (ac/yr)]]</f>
        <v>2.6000936056926864</v>
      </c>
      <c r="AE48" s="30">
        <f>((Implements7[[#This Row],[PriceP]]+Implements7[[#This Row],[TradeIn$]])/2*($BR$7+$BR$8+$BR$9)+Implements7[[#This Row],[Shed (ft^2)]]*$BR$12)/Implements7[[#This Row],[Use (ac/yr)]]</f>
        <v>2.4903352798329368</v>
      </c>
      <c r="AF48" s="48">
        <f>Implements7[[#This Row],[PriceL]]*(VLOOKUP(Implements7[[#This Row],[ASABEtype]],ASABECoefficients[],2)*(Implements7[[#This Row],[Life (yr)]]*Implements7[[#This Row],[Use (hr/yr)]]/1000)^VLOOKUP(Implements7[[#This Row],[ASABEtype]],ASABECoefficients[],3))/Implements7[[#This Row],[Life (yr)]]/Implements7[[#This Row],[Use (ac/yr)]]</f>
        <v>1.6823897042023481</v>
      </c>
      <c r="AG48" s="7">
        <f>$BR$18/(Implements7[[#This Row],[Width]]*Implements7[[#This Row],[Speed]]*Implements7[[#This Row],[Efficiency]])</f>
        <v>0.12890625</v>
      </c>
      <c r="AH48" s="32">
        <f>SUM(Implements7[[#This Row],[Depr ($/ac)]:[OH ($/ac)]])</f>
        <v>5.0904288855256237</v>
      </c>
      <c r="AI48" s="33">
        <v>27</v>
      </c>
      <c r="AJ48" s="5" t="s">
        <v>617</v>
      </c>
      <c r="AK48" s="32"/>
      <c r="BE48" s="5" t="s">
        <v>527</v>
      </c>
      <c r="BF48" s="6">
        <v>7.0000000000000001E-3</v>
      </c>
      <c r="BG48" s="6">
        <v>2</v>
      </c>
      <c r="BH48" s="6">
        <v>3000</v>
      </c>
      <c r="BI48" s="6">
        <v>0.72750000000000004</v>
      </c>
      <c r="BJ48" s="6">
        <v>8.0600000000000005E-2</v>
      </c>
      <c r="BK48" s="6">
        <v>2.5000000000000001E-3</v>
      </c>
      <c r="BL48" s="6">
        <v>4.0000000000000001E-3</v>
      </c>
      <c r="BM48" s="5">
        <v>8.1199999999999994E-2</v>
      </c>
      <c r="BN48" s="43"/>
      <c r="BO48" s="44"/>
    </row>
    <row r="49" spans="11:67">
      <c r="K49" s="5" t="str">
        <f>Implements7[[#This Row],[Implement type]]&amp;", "&amp;Implements7[[#This Row],[Width]]&amp;" "&amp;Implements7[[#This Row],[Width Unit]]</f>
        <v>Air seeder drill w/cart, 52 Ft Folding</v>
      </c>
      <c r="L49" s="51" t="s">
        <v>489</v>
      </c>
      <c r="M49" s="22">
        <v>52</v>
      </c>
      <c r="N49" s="21" t="str">
        <f>IF(M49&gt;15,"Ft Folding","Ft")</f>
        <v>Ft Folding</v>
      </c>
      <c r="O49" s="22"/>
      <c r="P49" s="22"/>
      <c r="Q49" s="23">
        <v>339000</v>
      </c>
      <c r="R49" s="24">
        <v>0.1</v>
      </c>
      <c r="S49" s="25">
        <f t="shared" si="9"/>
        <v>376666.66666666669</v>
      </c>
      <c r="T49" s="22">
        <v>12</v>
      </c>
      <c r="U49" s="22">
        <v>80</v>
      </c>
      <c r="V49" s="26">
        <f t="shared" si="10"/>
        <v>1764.8484848484848</v>
      </c>
      <c r="W49" s="22" t="s">
        <v>481</v>
      </c>
      <c r="X49" s="22">
        <v>5</v>
      </c>
      <c r="Y49" s="24">
        <v>0.7</v>
      </c>
      <c r="Z49" s="24">
        <v>1.1100000000000001</v>
      </c>
      <c r="AA49" s="22">
        <v>270</v>
      </c>
      <c r="AB49"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49" s="46">
        <f>Implements7[[#This Row],[TradeIn%]]*Implements7[[#This Row],[PriceL]]</f>
        <v>88793.854075248732</v>
      </c>
      <c r="AD49" s="47">
        <f>(Implements7[[#This Row],[PriceP]]-Implements7[[#This Row],[TradeIn$]])/Implements7[[#This Row],[Life (yr)]]/Implements7[[#This Row],[Use (ac/yr)]]</f>
        <v>11.814335530444128</v>
      </c>
      <c r="AE49" s="30">
        <f>((Implements7[[#This Row],[PriceP]]+Implements7[[#This Row],[TradeIn$]])/2*($BR$7+$BR$8+$BR$9)+Implements7[[#This Row],[Shed (ft^2)]]*$BR$12)/Implements7[[#This Row],[Use (ac/yr)]]</f>
        <v>7.8443810365580813</v>
      </c>
      <c r="AF49" s="48">
        <f>Implements7[[#This Row],[PriceL]]*(VLOOKUP(Implements7[[#This Row],[ASABEtype]],ASABECoefficients[],2)*(Implements7[[#This Row],[Life (yr)]]*Implements7[[#This Row],[Use (hr/yr)]]/1000)^VLOOKUP(Implements7[[#This Row],[ASABEtype]],ASABECoefficients[],3))/Implements7[[#This Row],[Life (yr)]]/Implements7[[#This Row],[Use (ac/yr)]]</f>
        <v>5.2238185588642949</v>
      </c>
      <c r="AG49" s="7">
        <f>$BR$18/(Implements7[[#This Row],[Width]]*Implements7[[#This Row],[Speed]]*Implements7[[#This Row],[Efficiency]])</f>
        <v>4.5329670329670328E-2</v>
      </c>
      <c r="AH49" s="32">
        <f>SUM(Implements7[[#This Row],[Depr ($/ac)]:[OH ($/ac)]])</f>
        <v>19.658716567002209</v>
      </c>
      <c r="AI49" s="33">
        <v>22</v>
      </c>
      <c r="AJ49" s="5" t="s">
        <v>615</v>
      </c>
      <c r="AK49" s="32"/>
      <c r="BE49" s="10" t="s">
        <v>383</v>
      </c>
      <c r="BF49" s="43"/>
      <c r="BG49" s="43"/>
      <c r="BH49" s="43"/>
      <c r="BI49" s="43"/>
      <c r="BJ49" s="43"/>
      <c r="BK49" s="22"/>
      <c r="BL49" s="43"/>
      <c r="BM49" s="10">
        <f>BN49^2</f>
        <v>0</v>
      </c>
      <c r="BN49" s="43"/>
      <c r="BO49" s="44"/>
    </row>
    <row r="50" spans="11:67">
      <c r="K50" s="5" t="str">
        <f>Implements7[[#This Row],[Implement type]]&amp;", "&amp;Implements7[[#This Row],[Width]]&amp;" "&amp;Implements7[[#This Row],[Width Unit]]</f>
        <v>No-till drill, 15 Ft</v>
      </c>
      <c r="L50" s="51" t="s">
        <v>491</v>
      </c>
      <c r="M50" s="22">
        <v>15</v>
      </c>
      <c r="N50" s="21" t="str">
        <f>IF(M50&gt;15,"Ft Folding","Ft")</f>
        <v>Ft</v>
      </c>
      <c r="O50" s="22"/>
      <c r="P50" s="22"/>
      <c r="Q50" s="23">
        <v>75500</v>
      </c>
      <c r="R50" s="24">
        <v>0.1</v>
      </c>
      <c r="S50" s="25">
        <f t="shared" si="9"/>
        <v>83888.888888888891</v>
      </c>
      <c r="T50" s="22">
        <v>12</v>
      </c>
      <c r="U50" s="22">
        <v>80</v>
      </c>
      <c r="V50" s="26">
        <f t="shared" si="10"/>
        <v>509.09090909090907</v>
      </c>
      <c r="W50" s="22" t="s">
        <v>481</v>
      </c>
      <c r="X50" s="22">
        <v>5</v>
      </c>
      <c r="Y50" s="24">
        <v>0.7</v>
      </c>
      <c r="Z50" s="24">
        <v>1.1100000000000001</v>
      </c>
      <c r="AA50" s="22">
        <v>160</v>
      </c>
      <c r="AB50"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50" s="46">
        <f>Implements7[[#This Row],[TradeIn%]]*Implements7[[#This Row],[PriceL]]</f>
        <v>19775.622367791384</v>
      </c>
      <c r="AD50" s="47">
        <f>(Implements7[[#This Row],[PriceP]]-Implements7[[#This Row],[TradeIn$]])/Implements7[[#This Row],[Life (yr)]]/Implements7[[#This Row],[Use (ac/yr)]]</f>
        <v>9.1215499100341493</v>
      </c>
      <c r="AE50" s="30">
        <f>((Implements7[[#This Row],[PriceP]]+Implements7[[#This Row],[TradeIn$]])/2*($BR$7+$BR$8+$BR$9)+Implements7[[#This Row],[Shed (ft^2)]]*$BR$12)/Implements7[[#This Row],[Use (ac/yr)]]</f>
        <v>6.2465779441288705</v>
      </c>
      <c r="AF50" s="48">
        <f>Implements7[[#This Row],[PriceL]]*(VLOOKUP(Implements7[[#This Row],[ASABEtype]],ASABECoefficients[],2)*(Implements7[[#This Row],[Life (yr)]]*Implements7[[#This Row],[Use (hr/yr)]]/1000)^VLOOKUP(Implements7[[#This Row],[ASABEtype]],ASABECoefficients[],3))/Implements7[[#This Row],[Life (yr)]]/Implements7[[#This Row],[Use (ac/yr)]]</f>
        <v>4.0331783012981752</v>
      </c>
      <c r="AG50" s="7">
        <f>$BR$18/(Implements7[[#This Row],[Width]]*Implements7[[#This Row],[Speed]]*Implements7[[#This Row],[Efficiency]])</f>
        <v>0.15714285714285714</v>
      </c>
      <c r="AH50" s="32">
        <f>SUM(Implements7[[#This Row],[Depr ($/ac)]:[OH ($/ac)]])</f>
        <v>15.368127854163021</v>
      </c>
      <c r="AI50" s="33">
        <v>23</v>
      </c>
      <c r="AJ50" s="5" t="s">
        <v>615</v>
      </c>
      <c r="AK50" s="32"/>
    </row>
    <row r="51" spans="11:67">
      <c r="K51" s="5" t="str">
        <f>Implements7[[#This Row],[Implement type]]&amp;", "&amp;Implements7[[#This Row],[Width]]&amp;" "&amp;Implements7[[#This Row],[Width Unit]]</f>
        <v>Presswheel drill, 16 Ft</v>
      </c>
      <c r="L51" s="51" t="s">
        <v>654</v>
      </c>
      <c r="M51" s="22">
        <v>16</v>
      </c>
      <c r="N51" s="21" t="str">
        <f>IF(M51&gt;20,"Ft Folding","Ft")</f>
        <v>Ft</v>
      </c>
      <c r="O51" s="22"/>
      <c r="P51" s="22"/>
      <c r="Q51" s="23">
        <v>29500</v>
      </c>
      <c r="R51" s="24">
        <v>0.1</v>
      </c>
      <c r="S51" s="25">
        <f t="shared" si="9"/>
        <v>32777.777777777774</v>
      </c>
      <c r="T51" s="22">
        <v>12</v>
      </c>
      <c r="U51" s="22">
        <v>75</v>
      </c>
      <c r="V51" s="26">
        <f t="shared" si="10"/>
        <v>509.09090909090907</v>
      </c>
      <c r="W51" s="22" t="s">
        <v>481</v>
      </c>
      <c r="X51" s="22">
        <v>5</v>
      </c>
      <c r="Y51" s="24">
        <v>0.7</v>
      </c>
      <c r="Z51" s="24">
        <v>1.1100000000000001</v>
      </c>
      <c r="AA51" s="22">
        <v>150</v>
      </c>
      <c r="AB51"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51" s="46">
        <f>Implements7[[#This Row],[TradeIn%]]*Implements7[[#This Row],[PriceL]]</f>
        <v>7726.8988059582216</v>
      </c>
      <c r="AD51" s="47">
        <f>(Implements7[[#This Row],[PriceP]]-Implements7[[#This Row],[TradeIn$]])/Implements7[[#This Row],[Life (yr)]]/Implements7[[#This Row],[Use (ac/yr)]]</f>
        <v>3.5640493025961244</v>
      </c>
      <c r="AE51" s="30">
        <f>((Implements7[[#This Row],[PriceP]]+Implements7[[#This Row],[TradeIn$]])/2*($BR$7+$BR$8+$BR$9)+Implements7[[#This Row],[Shed (ft^2)]]*$BR$12)/Implements7[[#This Row],[Use (ac/yr)]]</f>
        <v>2.6072688745005861</v>
      </c>
      <c r="AF51" s="48">
        <f>Implements7[[#This Row],[PriceL]]*(VLOOKUP(Implements7[[#This Row],[ASABEtype]],ASABECoefficients[],2)*(Implements7[[#This Row],[Life (yr)]]*Implements7[[#This Row],[Use (hr/yr)]]/1000)^VLOOKUP(Implements7[[#This Row],[ASABEtype]],ASABECoefficients[],3))/Implements7[[#This Row],[Life (yr)]]/Implements7[[#This Row],[Use (ac/yr)]]</f>
        <v>1.3761385683767853</v>
      </c>
      <c r="AG51" s="7">
        <f>$BR$18/(Implements7[[#This Row],[Width]]*Implements7[[#This Row],[Speed]]*Implements7[[#This Row],[Efficiency]])</f>
        <v>0.14732142857142858</v>
      </c>
      <c r="AH51" s="32">
        <f>SUM(Implements7[[#This Row],[Depr ($/ac)]:[OH ($/ac)]])</f>
        <v>6.17131817709671</v>
      </c>
      <c r="AI51" s="33">
        <v>18</v>
      </c>
      <c r="AJ51" s="5" t="s">
        <v>615</v>
      </c>
      <c r="AK51" s="32"/>
    </row>
    <row r="52" spans="11:67">
      <c r="K52" s="5" t="str">
        <f>Implements7[[#This Row],[Implement type]]&amp;", "&amp;Implements7[[#This Row],[Width]]&amp;" "&amp;Implements7[[#This Row],[Width Unit]]</f>
        <v>Presswheel drill, 20 Ft</v>
      </c>
      <c r="L52" s="51" t="s">
        <v>654</v>
      </c>
      <c r="M52" s="22">
        <v>20</v>
      </c>
      <c r="N52" s="21" t="str">
        <f>IF(M52&gt;20,"Ft Folding","Ft")</f>
        <v>Ft</v>
      </c>
      <c r="O52" s="22"/>
      <c r="P52" s="22"/>
      <c r="Q52" s="23">
        <v>35000</v>
      </c>
      <c r="R52" s="24">
        <v>0.1</v>
      </c>
      <c r="S52" s="25">
        <f t="shared" si="9"/>
        <v>38888.888888888891</v>
      </c>
      <c r="T52" s="22">
        <v>12</v>
      </c>
      <c r="U52" s="22">
        <v>75</v>
      </c>
      <c r="V52" s="26">
        <f t="shared" si="10"/>
        <v>636.36363636363637</v>
      </c>
      <c r="W52" s="22" t="s">
        <v>481</v>
      </c>
      <c r="X52" s="22">
        <v>5</v>
      </c>
      <c r="Y52" s="24">
        <v>0.7</v>
      </c>
      <c r="Z52" s="24">
        <v>1.1100000000000001</v>
      </c>
      <c r="AA52" s="22">
        <v>185</v>
      </c>
      <c r="AB52"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52" s="46">
        <f>Implements7[[#This Row],[TradeIn%]]*Implements7[[#This Row],[PriceL]]</f>
        <v>9167.5070579165349</v>
      </c>
      <c r="AD52" s="47">
        <f>(Implements7[[#This Row],[PriceP]]-Implements7[[#This Row],[TradeIn$]])/Implements7[[#This Row],[Life (yr)]]/Implements7[[#This Row],[Use (ac/yr)]]</f>
        <v>3.3828264567014061</v>
      </c>
      <c r="AE52" s="30">
        <f>((Implements7[[#This Row],[PriceP]]+Implements7[[#This Row],[TradeIn$]])/2*($BR$7+$BR$8+$BR$9)+Implements7[[#This Row],[Shed (ft^2)]]*$BR$12)/Implements7[[#This Row],[Use (ac/yr)]]</f>
        <v>2.4854089185740396</v>
      </c>
      <c r="AF52" s="48">
        <f>Implements7[[#This Row],[PriceL]]*(VLOOKUP(Implements7[[#This Row],[ASABEtype]],ASABECoefficients[],2)*(Implements7[[#This Row],[Life (yr)]]*Implements7[[#This Row],[Use (hr/yr)]]/1000)^VLOOKUP(Implements7[[#This Row],[ASABEtype]],ASABECoefficients[],3))/Implements7[[#This Row],[Life (yr)]]/Implements7[[#This Row],[Use (ac/yr)]]</f>
        <v>1.3061654208322031</v>
      </c>
      <c r="AG52" s="7">
        <f>$BR$18/(Implements7[[#This Row],[Width]]*Implements7[[#This Row],[Speed]]*Implements7[[#This Row],[Efficiency]])</f>
        <v>0.11785714285714285</v>
      </c>
      <c r="AH52" s="32">
        <f>SUM(Implements7[[#This Row],[Depr ($/ac)]:[OH ($/ac)]])</f>
        <v>5.8682353752754457</v>
      </c>
      <c r="AI52" s="33">
        <v>19</v>
      </c>
      <c r="AJ52" s="5" t="s">
        <v>615</v>
      </c>
      <c r="AK52" s="32"/>
    </row>
    <row r="53" spans="11:67">
      <c r="K53" s="5" t="str">
        <f>Implements7[[#This Row],[Implement type]]&amp;", "&amp;Implements7[[#This Row],[Width]]&amp;" "&amp;Implements7[[#This Row],[Width Unit]]</f>
        <v>Presswheel drill, 25 Ft Folding</v>
      </c>
      <c r="L53" s="51" t="s">
        <v>654</v>
      </c>
      <c r="M53" s="22">
        <v>25</v>
      </c>
      <c r="N53" s="21" t="str">
        <f t="shared" ref="N53:N69" si="11">IF(M53&gt;15,"Ft Folding","Ft")</f>
        <v>Ft Folding</v>
      </c>
      <c r="O53" s="22"/>
      <c r="P53" s="22"/>
      <c r="Q53" s="23">
        <v>67500</v>
      </c>
      <c r="R53" s="24">
        <v>0.1</v>
      </c>
      <c r="S53" s="25">
        <f t="shared" si="9"/>
        <v>75000</v>
      </c>
      <c r="T53" s="22">
        <v>12</v>
      </c>
      <c r="U53" s="22">
        <v>75</v>
      </c>
      <c r="V53" s="26">
        <f t="shared" si="10"/>
        <v>795.4545454545455</v>
      </c>
      <c r="W53" s="22" t="s">
        <v>481</v>
      </c>
      <c r="X53" s="22">
        <v>5</v>
      </c>
      <c r="Y53" s="24">
        <v>0.7</v>
      </c>
      <c r="Z53" s="24">
        <v>1.1100000000000001</v>
      </c>
      <c r="AA53" s="22">
        <v>230</v>
      </c>
      <c r="AB53"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53" s="46">
        <f>Implements7[[#This Row],[TradeIn%]]*Implements7[[#This Row],[PriceL]]</f>
        <v>17680.192183124745</v>
      </c>
      <c r="AD53" s="47">
        <f>(Implements7[[#This Row],[PriceP]]-Implements7[[#This Row],[TradeIn$]])/Implements7[[#This Row],[Life (yr)]]/Implements7[[#This Row],[Use (ac/yr)]]</f>
        <v>5.2192179617678836</v>
      </c>
      <c r="AE53" s="30">
        <f>((Implements7[[#This Row],[PriceP]]+Implements7[[#This Row],[TradeIn$]])/2*($BR$7+$BR$8+$BR$9)+Implements7[[#This Row],[Shed (ft^2)]]*$BR$12)/Implements7[[#This Row],[Use (ac/yr)]]</f>
        <v>3.6801492682015948</v>
      </c>
      <c r="AF53" s="48">
        <f>Implements7[[#This Row],[PriceL]]*(VLOOKUP(Implements7[[#This Row],[ASABEtype]],ASABECoefficients[],2)*(Implements7[[#This Row],[Life (yr)]]*Implements7[[#This Row],[Use (hr/yr)]]/1000)^VLOOKUP(Implements7[[#This Row],[ASABEtype]],ASABECoefficients[],3))/Implements7[[#This Row],[Life (yr)]]/Implements7[[#This Row],[Use (ac/yr)]]</f>
        <v>2.0152266492839703</v>
      </c>
      <c r="AG53" s="7">
        <f>$BR$18/(Implements7[[#This Row],[Width]]*Implements7[[#This Row],[Speed]]*Implements7[[#This Row],[Efficiency]])</f>
        <v>9.4285714285714292E-2</v>
      </c>
      <c r="AH53" s="32">
        <f>SUM(Implements7[[#This Row],[Depr ($/ac)]:[OH ($/ac)]])</f>
        <v>8.8993672299694779</v>
      </c>
      <c r="AI53" s="33">
        <v>20</v>
      </c>
      <c r="AJ53" s="5" t="s">
        <v>615</v>
      </c>
      <c r="AK53" s="32"/>
    </row>
    <row r="54" spans="11:67">
      <c r="K54" s="5" t="str">
        <f>Implements7[[#This Row],[Implement type]]&amp;", "&amp;Implements7[[#This Row],[Width]]&amp;" "&amp;Implements7[[#This Row],[Width Unit]]</f>
        <v>Presswheel drill, 30 Ft Folding</v>
      </c>
      <c r="L54" s="51" t="s">
        <v>654</v>
      </c>
      <c r="M54" s="22">
        <v>30</v>
      </c>
      <c r="N54" s="21" t="str">
        <f t="shared" si="11"/>
        <v>Ft Folding</v>
      </c>
      <c r="O54" s="22"/>
      <c r="P54" s="22"/>
      <c r="Q54" s="23">
        <v>85000</v>
      </c>
      <c r="R54" s="24">
        <v>0.1</v>
      </c>
      <c r="S54" s="25">
        <f t="shared" si="9"/>
        <v>94444.444444444438</v>
      </c>
      <c r="T54" s="22">
        <v>12</v>
      </c>
      <c r="U54" s="22">
        <v>80</v>
      </c>
      <c r="V54" s="26">
        <f t="shared" si="10"/>
        <v>1018.1818181818181</v>
      </c>
      <c r="W54" s="22" t="s">
        <v>481</v>
      </c>
      <c r="X54" s="22">
        <v>5</v>
      </c>
      <c r="Y54" s="24">
        <v>0.7</v>
      </c>
      <c r="Z54" s="24">
        <v>1.1100000000000001</v>
      </c>
      <c r="AA54" s="22">
        <v>240</v>
      </c>
      <c r="AB54"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0.23573589577499662</v>
      </c>
      <c r="AC54" s="46">
        <f>Implements7[[#This Row],[TradeIn%]]*Implements7[[#This Row],[PriceL]]</f>
        <v>22263.945712083012</v>
      </c>
      <c r="AD54" s="47">
        <f>(Implements7[[#This Row],[PriceP]]-Implements7[[#This Row],[TradeIn$]])/Implements7[[#This Row],[Life (yr)]]/Implements7[[#This Row],[Use (ac/yr)]]</f>
        <v>5.1346473003503492</v>
      </c>
      <c r="AE54" s="30">
        <f>((Implements7[[#This Row],[PriceP]]+Implements7[[#This Row],[TradeIn$]])/2*($BR$7+$BR$8+$BR$9)+Implements7[[#This Row],[Shed (ft^2)]]*$BR$12)/Implements7[[#This Row],[Use (ac/yr)]]</f>
        <v>3.5732742055982851</v>
      </c>
      <c r="AF54" s="48">
        <f>Implements7[[#This Row],[PriceL]]*(VLOOKUP(Implements7[[#This Row],[ASABEtype]],ASABECoefficients[],2)*(Implements7[[#This Row],[Life (yr)]]*Implements7[[#This Row],[Use (hr/yr)]]/1000)^VLOOKUP(Implements7[[#This Row],[ASABEtype]],ASABECoefficients[],3))/Implements7[[#This Row],[Life (yr)]]/Implements7[[#This Row],[Use (ac/yr)]]</f>
        <v>2.2703321563598999</v>
      </c>
      <c r="AG54" s="7">
        <f>$BR$18/(Implements7[[#This Row],[Width]]*Implements7[[#This Row],[Speed]]*Implements7[[#This Row],[Efficiency]])</f>
        <v>7.857142857142857E-2</v>
      </c>
      <c r="AH54" s="32">
        <f>SUM(Implements7[[#This Row],[Depr ($/ac)]:[OH ($/ac)]])</f>
        <v>8.7079215059486348</v>
      </c>
      <c r="AI54" s="33">
        <v>21</v>
      </c>
      <c r="AJ54" s="5" t="s">
        <v>615</v>
      </c>
      <c r="AK54" s="32"/>
    </row>
    <row r="55" spans="11:67">
      <c r="K55" s="5" t="str">
        <f>Implements7[[#This Row],[Implement type]]&amp;", "&amp;Implements7[[#This Row],[Width]]&amp;" "&amp;Implements7[[#This Row],[Width Unit]]</f>
        <v>Row crop planter, 15 Ft</v>
      </c>
      <c r="L55" s="21" t="s">
        <v>474</v>
      </c>
      <c r="M55" s="22">
        <v>15</v>
      </c>
      <c r="N55" s="21" t="str">
        <f t="shared" si="11"/>
        <v>Ft</v>
      </c>
      <c r="O55" s="22">
        <v>6</v>
      </c>
      <c r="P55" s="22" t="s">
        <v>475</v>
      </c>
      <c r="Q55" s="23">
        <v>48000</v>
      </c>
      <c r="R55" s="24">
        <v>0.1</v>
      </c>
      <c r="S55" s="25">
        <f t="shared" si="9"/>
        <v>53333.333333333328</v>
      </c>
      <c r="T55" s="22">
        <v>12</v>
      </c>
      <c r="U55" s="22">
        <v>70</v>
      </c>
      <c r="V55" s="26">
        <f t="shared" si="10"/>
        <v>489.99999999999994</v>
      </c>
      <c r="W55" s="22" t="s">
        <v>474</v>
      </c>
      <c r="X55" s="22">
        <v>5.5</v>
      </c>
      <c r="Y55" s="24">
        <v>0.7</v>
      </c>
      <c r="Z55" s="24">
        <v>1.1599999999999999</v>
      </c>
      <c r="AA55" s="22">
        <v>200</v>
      </c>
      <c r="AB55"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5" s="46">
        <f>Implements7[[#This Row],[TradeIn%]]*Implements7[[#This Row],[PriceL]]</f>
        <v>25100.921996706413</v>
      </c>
      <c r="AD55" s="47">
        <f>(Implements7[[#This Row],[PriceP]]-Implements7[[#This Row],[TradeIn$]])/Implements7[[#This Row],[Life (yr)]]/Implements7[[#This Row],[Use (ac/yr)]]</f>
        <v>3.8944010209682975</v>
      </c>
      <c r="AE55" s="30">
        <f>((Implements7[[#This Row],[PriceP]]+Implements7[[#This Row],[TradeIn$]])/2*($BR$7+$BR$8+$BR$9)+Implements7[[#This Row],[Shed (ft^2)]]*$BR$12)/Implements7[[#This Row],[Use (ac/yr)]]</f>
        <v>5.1322409510784572</v>
      </c>
      <c r="AF55" s="48">
        <f>Implements7[[#This Row],[PriceL]]*(VLOOKUP(Implements7[[#This Row],[ASABEtype]],ASABECoefficients[],2)*(Implements7[[#This Row],[Life (yr)]]*Implements7[[#This Row],[Use (hr/yr)]]/1000)^VLOOKUP(Implements7[[#This Row],[ASABEtype]],ASABECoefficients[],3))/Implements7[[#This Row],[Life (yr)]]/Implements7[[#This Row],[Use (ac/yr)]]</f>
        <v>2.0126019118615992</v>
      </c>
      <c r="AG55" s="7">
        <f>$BR$18/(Implements7[[#This Row],[Width]]*Implements7[[#This Row],[Speed]]*Implements7[[#This Row],[Efficiency]])</f>
        <v>0.14285714285714288</v>
      </c>
      <c r="AH55" s="32">
        <f>SUM(Implements7[[#This Row],[Depr ($/ac)]:[OH ($/ac)]])</f>
        <v>9.0266419720467539</v>
      </c>
      <c r="AI55" s="33">
        <v>13</v>
      </c>
      <c r="AJ55" s="5" t="s">
        <v>615</v>
      </c>
      <c r="AK55" s="32"/>
    </row>
    <row r="56" spans="11:67">
      <c r="K56" s="5" t="str">
        <f>Implements7[[#This Row],[Implement type]]&amp;", "&amp;Implements7[[#This Row],[Width]]&amp;" "&amp;Implements7[[#This Row],[Width Unit]]</f>
        <v>Row crop planter, 20 Ft Folding</v>
      </c>
      <c r="L56" s="21" t="s">
        <v>474</v>
      </c>
      <c r="M56" s="22">
        <v>20</v>
      </c>
      <c r="N56" s="21" t="str">
        <f t="shared" si="11"/>
        <v>Ft Folding</v>
      </c>
      <c r="O56" s="22">
        <v>8</v>
      </c>
      <c r="P56" s="22" t="s">
        <v>475</v>
      </c>
      <c r="Q56" s="23">
        <v>59000</v>
      </c>
      <c r="R56" s="24">
        <v>0.1</v>
      </c>
      <c r="S56" s="25">
        <f t="shared" si="9"/>
        <v>65555.555555555547</v>
      </c>
      <c r="T56" s="22">
        <v>12</v>
      </c>
      <c r="U56" s="22">
        <v>70</v>
      </c>
      <c r="V56" s="26">
        <f t="shared" si="10"/>
        <v>653.33333333333337</v>
      </c>
      <c r="W56" s="22" t="s">
        <v>474</v>
      </c>
      <c r="X56" s="22">
        <v>5.5</v>
      </c>
      <c r="Y56" s="24">
        <v>0.7</v>
      </c>
      <c r="Z56" s="24">
        <v>1.1599999999999999</v>
      </c>
      <c r="AA56" s="22">
        <v>200</v>
      </c>
      <c r="AB56"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6" s="46">
        <f>Implements7[[#This Row],[TradeIn%]]*Implements7[[#This Row],[PriceL]]</f>
        <v>30853.216620951629</v>
      </c>
      <c r="AD56" s="47">
        <f>(Implements7[[#This Row],[PriceP]]-Implements7[[#This Row],[TradeIn$]])/Implements7[[#This Row],[Life (yr)]]/Implements7[[#This Row],[Use (ac/yr)]]</f>
        <v>3.5901509412051489</v>
      </c>
      <c r="AE56" s="30">
        <f>((Implements7[[#This Row],[PriceP]]+Implements7[[#This Row],[TradeIn$]])/2*($BR$7+$BR$8+$BR$9)+Implements7[[#This Row],[Shed (ft^2)]]*$BR$12)/Implements7[[#This Row],[Use (ac/yr)]]</f>
        <v>4.6632909495125956</v>
      </c>
      <c r="AF56" s="48">
        <f>Implements7[[#This Row],[PriceL]]*(VLOOKUP(Implements7[[#This Row],[ASABEtype]],ASABECoefficients[],2)*(Implements7[[#This Row],[Life (yr)]]*Implements7[[#This Row],[Use (hr/yr)]]/1000)^VLOOKUP(Implements7[[#This Row],[ASABEtype]],ASABECoefficients[],3))/Implements7[[#This Row],[Life (yr)]]/Implements7[[#This Row],[Use (ac/yr)]]</f>
        <v>1.8553673874974115</v>
      </c>
      <c r="AG56" s="7">
        <f>$BR$18/(Implements7[[#This Row],[Width]]*Implements7[[#This Row],[Speed]]*Implements7[[#This Row],[Efficiency]])</f>
        <v>0.10714285714285714</v>
      </c>
      <c r="AH56" s="32">
        <f>SUM(Implements7[[#This Row],[Depr ($/ac)]:[OH ($/ac)]])</f>
        <v>8.2534418907177454</v>
      </c>
      <c r="AI56" s="33">
        <v>14</v>
      </c>
      <c r="AJ56" s="5" t="s">
        <v>615</v>
      </c>
      <c r="AK56" s="32"/>
    </row>
    <row r="57" spans="11:67">
      <c r="K57" s="5" t="str">
        <f>Implements7[[#This Row],[Implement type]]&amp;", "&amp;Implements7[[#This Row],[Width]]&amp;" "&amp;Implements7[[#This Row],[Width Unit]]</f>
        <v>Row crop planter, 30 Ft Folding</v>
      </c>
      <c r="L57" s="21" t="s">
        <v>474</v>
      </c>
      <c r="M57" s="22">
        <v>30</v>
      </c>
      <c r="N57" s="21" t="str">
        <f t="shared" si="11"/>
        <v>Ft Folding</v>
      </c>
      <c r="O57" s="22">
        <v>12</v>
      </c>
      <c r="P57" s="22" t="s">
        <v>475</v>
      </c>
      <c r="Q57" s="23">
        <v>135000</v>
      </c>
      <c r="R57" s="24">
        <v>0.1</v>
      </c>
      <c r="S57" s="25">
        <f t="shared" si="9"/>
        <v>150000</v>
      </c>
      <c r="T57" s="22">
        <v>12</v>
      </c>
      <c r="U57" s="22">
        <v>70.000000000000014</v>
      </c>
      <c r="V57" s="26">
        <f t="shared" si="10"/>
        <v>980.00000000000011</v>
      </c>
      <c r="W57" s="22" t="s">
        <v>474</v>
      </c>
      <c r="X57" s="22">
        <v>5.5</v>
      </c>
      <c r="Y57" s="24">
        <v>0.7</v>
      </c>
      <c r="Z57" s="24">
        <v>1.1599999999999999</v>
      </c>
      <c r="AA57" s="22">
        <v>300</v>
      </c>
      <c r="AB57"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7" s="46">
        <f>Implements7[[#This Row],[TradeIn%]]*Implements7[[#This Row],[PriceL]]</f>
        <v>70596.343115736789</v>
      </c>
      <c r="AD57" s="47">
        <f>(Implements7[[#This Row],[PriceP]]-Implements7[[#This Row],[TradeIn$]])/Implements7[[#This Row],[Life (yr)]]/Implements7[[#This Row],[Use (ac/yr)]]</f>
        <v>5.476501435736667</v>
      </c>
      <c r="AE57" s="30">
        <f>((Implements7[[#This Row],[PriceP]]+Implements7[[#This Row],[TradeIn$]])/2*($BR$7+$BR$8+$BR$9)+Implements7[[#This Row],[Shed (ft^2)]]*$BR$12)/Implements7[[#This Row],[Use (ac/yr)]]</f>
        <v>6.9576016151777189</v>
      </c>
      <c r="AF57" s="48">
        <f>Implements7[[#This Row],[PriceL]]*(VLOOKUP(Implements7[[#This Row],[ASABEtype]],ASABECoefficients[],2)*(Implements7[[#This Row],[Life (yr)]]*Implements7[[#This Row],[Use (hr/yr)]]/1000)^VLOOKUP(Implements7[[#This Row],[ASABEtype]],ASABECoefficients[],3))/Implements7[[#This Row],[Life (yr)]]/Implements7[[#This Row],[Use (ac/yr)]]</f>
        <v>2.830221438555375</v>
      </c>
      <c r="AG57" s="7">
        <f>$BR$18/(Implements7[[#This Row],[Width]]*Implements7[[#This Row],[Speed]]*Implements7[[#This Row],[Efficiency]])</f>
        <v>7.1428571428571438E-2</v>
      </c>
      <c r="AH57" s="32">
        <f>SUM(Implements7[[#This Row],[Depr ($/ac)]:[OH ($/ac)]])</f>
        <v>12.434103050914386</v>
      </c>
      <c r="AI57" s="33">
        <v>15</v>
      </c>
      <c r="AJ57" s="5" t="s">
        <v>615</v>
      </c>
      <c r="AK57" s="32"/>
    </row>
    <row r="58" spans="11:67">
      <c r="K58" s="5" t="str">
        <f>Implements7[[#This Row],[Implement type]]&amp;", "&amp;Implements7[[#This Row],[Width]]&amp;" "&amp;Implements7[[#This Row],[Width Unit]]</f>
        <v>Row crop planter, 40 Ft Folding</v>
      </c>
      <c r="L58" s="21" t="s">
        <v>474</v>
      </c>
      <c r="M58" s="22">
        <v>40</v>
      </c>
      <c r="N58" s="21" t="str">
        <f t="shared" si="11"/>
        <v>Ft Folding</v>
      </c>
      <c r="O58" s="22">
        <v>16</v>
      </c>
      <c r="P58" s="22" t="s">
        <v>475</v>
      </c>
      <c r="Q58" s="23">
        <v>199000</v>
      </c>
      <c r="R58" s="24">
        <v>0.1</v>
      </c>
      <c r="S58" s="25">
        <f t="shared" si="9"/>
        <v>221111.11111111109</v>
      </c>
      <c r="T58" s="22">
        <v>12</v>
      </c>
      <c r="U58" s="22">
        <v>70</v>
      </c>
      <c r="V58" s="26">
        <f t="shared" si="10"/>
        <v>1306.6666666666667</v>
      </c>
      <c r="W58" s="22" t="s">
        <v>474</v>
      </c>
      <c r="X58" s="22">
        <v>5.5</v>
      </c>
      <c r="Y58" s="24">
        <v>0.7</v>
      </c>
      <c r="Z58" s="24">
        <v>1.1599999999999999</v>
      </c>
      <c r="AA58" s="22">
        <v>300</v>
      </c>
      <c r="AB58"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8" s="46">
        <f>Implements7[[#This Row],[TradeIn%]]*Implements7[[#This Row],[PriceL]]</f>
        <v>104064.23911134533</v>
      </c>
      <c r="AD58" s="47">
        <f>(Implements7[[#This Row],[PriceP]]-Implements7[[#This Row],[TradeIn$]])/Implements7[[#This Row],[Life (yr)]]/Implements7[[#This Row],[Use (ac/yr)]]</f>
        <v>6.0545765872866495</v>
      </c>
      <c r="AE58" s="30">
        <f>((Implements7[[#This Row],[PriceP]]+Implements7[[#This Row],[TradeIn$]])/2*($BR$7+$BR$8+$BR$9)+Implements7[[#This Row],[Shed (ft^2)]]*$BR$12)/Implements7[[#This Row],[Use (ac/yr)]]</f>
        <v>7.5865218985214824</v>
      </c>
      <c r="AF58" s="48">
        <f>Implements7[[#This Row],[PriceL]]*(VLOOKUP(Implements7[[#This Row],[ASABEtype]],ASABECoefficients[],2)*(Implements7[[#This Row],[Life (yr)]]*Implements7[[#This Row],[Use (hr/yr)]]/1000)^VLOOKUP(Implements7[[#This Row],[ASABEtype]],ASABECoefficients[],3))/Implements7[[#This Row],[Life (yr)]]/Implements7[[#This Row],[Use (ac/yr)]]</f>
        <v>3.1289670348473297</v>
      </c>
      <c r="AG58" s="7">
        <f>$BR$18/(Implements7[[#This Row],[Width]]*Implements7[[#This Row],[Speed]]*Implements7[[#This Row],[Efficiency]])</f>
        <v>5.3571428571428568E-2</v>
      </c>
      <c r="AH58" s="32">
        <f>SUM(Implements7[[#This Row],[Depr ($/ac)]:[OH ($/ac)]])</f>
        <v>13.641098485808133</v>
      </c>
      <c r="AI58" s="33">
        <v>16</v>
      </c>
      <c r="AJ58" s="5" t="s">
        <v>615</v>
      </c>
      <c r="AK58" s="32"/>
    </row>
    <row r="59" spans="11:67">
      <c r="K59" s="5" t="str">
        <f>Implements7[[#This Row],[Implement type]]&amp;", "&amp;Implements7[[#This Row],[Width]]&amp;" "&amp;Implements7[[#This Row],[Width Unit]]</f>
        <v>Row crop planter, 60 Ft Folding</v>
      </c>
      <c r="L59" s="21" t="s">
        <v>474</v>
      </c>
      <c r="M59" s="22">
        <v>60</v>
      </c>
      <c r="N59" s="21" t="str">
        <f t="shared" si="11"/>
        <v>Ft Folding</v>
      </c>
      <c r="O59" s="22">
        <v>24</v>
      </c>
      <c r="P59" s="22" t="s">
        <v>475</v>
      </c>
      <c r="Q59" s="23">
        <v>321500</v>
      </c>
      <c r="R59" s="24">
        <v>0.1</v>
      </c>
      <c r="S59" s="25">
        <f t="shared" si="9"/>
        <v>357222.22222222219</v>
      </c>
      <c r="T59" s="22">
        <v>12</v>
      </c>
      <c r="U59" s="22">
        <v>70</v>
      </c>
      <c r="V59" s="26">
        <f t="shared" si="10"/>
        <v>1959.9999999999998</v>
      </c>
      <c r="W59" s="22" t="s">
        <v>474</v>
      </c>
      <c r="X59" s="22">
        <v>5.5</v>
      </c>
      <c r="Y59" s="24">
        <v>0.7</v>
      </c>
      <c r="Z59" s="24">
        <v>1.1599999999999999</v>
      </c>
      <c r="AA59" s="22">
        <v>300</v>
      </c>
      <c r="AB59"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59" s="46">
        <f>Implements7[[#This Row],[TradeIn%]]*Implements7[[#This Row],[PriceL]]</f>
        <v>168123.88379043981</v>
      </c>
      <c r="AD59" s="47">
        <f>(Implements7[[#This Row],[PriceP]]-Implements7[[#This Row],[TradeIn$]])/Implements7[[#This Row],[Life (yr)]]/Implements7[[#This Row],[Use (ac/yr)]]</f>
        <v>6.5210933762568111</v>
      </c>
      <c r="AE59" s="30">
        <f>((Implements7[[#This Row],[PriceP]]+Implements7[[#This Row],[TradeIn$]])/2*($BR$7+$BR$8+$BR$9)+Implements7[[#This Row],[Shed (ft^2)]]*$BR$12)/Implements7[[#This Row],[Use (ac/yr)]]</f>
        <v>8.0797571424979537</v>
      </c>
      <c r="AF59" s="48">
        <f>Implements7[[#This Row],[PriceL]]*(VLOOKUP(Implements7[[#This Row],[ASABEtype]],ASABECoefficients[],2)*(Implements7[[#This Row],[Life (yr)]]*Implements7[[#This Row],[Use (hr/yr)]]/1000)^VLOOKUP(Implements7[[#This Row],[ASABEtype]],ASABECoefficients[],3))/Implements7[[#This Row],[Life (yr)]]/Implements7[[#This Row],[Use (ac/yr)]]</f>
        <v>3.3700599722057509</v>
      </c>
      <c r="AG59" s="7">
        <f>$BR$18/(Implements7[[#This Row],[Width]]*Implements7[[#This Row],[Speed]]*Implements7[[#This Row],[Efficiency]])</f>
        <v>3.5714285714285719E-2</v>
      </c>
      <c r="AH59" s="32">
        <f>SUM(Implements7[[#This Row],[Depr ($/ac)]:[OH ($/ac)]])</f>
        <v>14.600850518754765</v>
      </c>
      <c r="AI59" s="33">
        <v>17</v>
      </c>
      <c r="AJ59" s="5" t="s">
        <v>615</v>
      </c>
      <c r="AK59" s="32"/>
      <c r="BB59" s="62"/>
    </row>
    <row r="60" spans="11:67">
      <c r="K60" s="20" t="str">
        <f>Implements7[[#This Row],[Implement type]]&amp;", "&amp;Implements7[[#This Row],[Width]]&amp;" "&amp;Implements7[[#This Row],[Width Unit]]</f>
        <v>Chisel plow, 22 Ft Folding</v>
      </c>
      <c r="L60" s="21" t="s">
        <v>437</v>
      </c>
      <c r="M60" s="22">
        <v>22</v>
      </c>
      <c r="N60" s="21" t="str">
        <f t="shared" si="11"/>
        <v>Ft Folding</v>
      </c>
      <c r="O60" s="22"/>
      <c r="P60" s="22"/>
      <c r="Q60" s="23">
        <v>57500</v>
      </c>
      <c r="R60" s="24">
        <v>0.1</v>
      </c>
      <c r="S60" s="25">
        <f t="shared" si="9"/>
        <v>63888.888888888891</v>
      </c>
      <c r="T60" s="22">
        <v>12</v>
      </c>
      <c r="U60" s="22">
        <v>60</v>
      </c>
      <c r="V60" s="26">
        <f t="shared" si="10"/>
        <v>680</v>
      </c>
      <c r="W60" s="22" t="s">
        <v>437</v>
      </c>
      <c r="X60" s="22">
        <v>5</v>
      </c>
      <c r="Y60" s="24">
        <v>0.85</v>
      </c>
      <c r="Z60" s="24">
        <v>1.02</v>
      </c>
      <c r="AA60" s="22">
        <v>250</v>
      </c>
      <c r="AB60" s="27">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60" s="28">
        <f>Implements7[[#This Row],[TradeIn%]]*Implements7[[#This Row],[PriceL]]</f>
        <v>19325.573929190938</v>
      </c>
      <c r="AD60" s="29">
        <f>(Implements7[[#This Row],[PriceP]]-Implements7[[#This Row],[TradeIn$]])/Implements7[[#This Row],[Life (yr)]]/Implements7[[#This Row],[Use (ac/yr)]]</f>
        <v>4.6782384890697379</v>
      </c>
      <c r="AE60" s="30">
        <f>((Implements7[[#This Row],[PriceP]]+Implements7[[#This Row],[TradeIn$]])/2*($BR$7+$BR$8+$BR$9)+Implements7[[#This Row],[Shed (ft^2)]]*$BR$12)/Implements7[[#This Row],[Use (ac/yr)]]</f>
        <v>3.9434069309457072</v>
      </c>
      <c r="AF60" s="31">
        <f>Implements7[[#This Row],[PriceL]]*(VLOOKUP(Implements7[[#This Row],[ASABEtype]],ASABECoefficients[],2)*(Implements7[[#This Row],[Life (yr)]]*Implements7[[#This Row],[Use (hr/yr)]]/1000)^VLOOKUP(Implements7[[#This Row],[ASABEtype]],ASABECoefficients[],3))/Implements7[[#This Row],[Life (yr)]]/Implements7[[#This Row],[Use (ac/yr)]]</f>
        <v>1.3840720635948824</v>
      </c>
      <c r="AG60" s="7">
        <f>$BR$18/(Implements7[[#This Row],[Width]]*Implements7[[#This Row],[Speed]]*Implements7[[#This Row],[Efficiency]])</f>
        <v>8.8235294117647065E-2</v>
      </c>
      <c r="AH60" s="32">
        <f>SUM(Implements7[[#This Row],[Depr ($/ac)]:[OH ($/ac)]])</f>
        <v>8.6216454200154455</v>
      </c>
      <c r="AI60" s="33">
        <v>1</v>
      </c>
      <c r="AJ60" s="5" t="s">
        <v>614</v>
      </c>
    </row>
    <row r="61" spans="11:67">
      <c r="K61" s="5" t="str">
        <f>Implements7[[#This Row],[Implement type]]&amp;", "&amp;Implements7[[#This Row],[Width]]&amp;" "&amp;Implements7[[#This Row],[Width Unit]]</f>
        <v>Chisel plow, 36 Ft Folding</v>
      </c>
      <c r="L61" s="21" t="s">
        <v>437</v>
      </c>
      <c r="M61" s="22">
        <v>36</v>
      </c>
      <c r="N61" s="21" t="str">
        <f t="shared" si="11"/>
        <v>Ft Folding</v>
      </c>
      <c r="O61" s="22"/>
      <c r="P61" s="22"/>
      <c r="Q61" s="23">
        <v>80500</v>
      </c>
      <c r="R61" s="24">
        <v>0.1</v>
      </c>
      <c r="S61" s="25">
        <f t="shared" si="9"/>
        <v>89444.444444444438</v>
      </c>
      <c r="T61" s="22">
        <v>12</v>
      </c>
      <c r="U61" s="22">
        <v>60</v>
      </c>
      <c r="V61" s="26">
        <f t="shared" si="10"/>
        <v>1112.7272727272727</v>
      </c>
      <c r="W61" s="22" t="s">
        <v>437</v>
      </c>
      <c r="X61" s="22">
        <v>5</v>
      </c>
      <c r="Y61" s="24">
        <v>0.85</v>
      </c>
      <c r="Z61" s="24">
        <v>1.02</v>
      </c>
      <c r="AA61" s="22">
        <v>370</v>
      </c>
      <c r="AB61"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61" s="46">
        <f>Implements7[[#This Row],[TradeIn%]]*Implements7[[#This Row],[PriceL]]</f>
        <v>27055.803500867307</v>
      </c>
      <c r="AD61" s="47">
        <f>(Implements7[[#This Row],[PriceP]]-Implements7[[#This Row],[TradeIn$]])/Implements7[[#This Row],[Life (yr)]]/Implements7[[#This Row],[Use (ac/yr)]]</f>
        <v>4.0024929295374427</v>
      </c>
      <c r="AE61" s="30">
        <f>((Implements7[[#This Row],[PriceP]]+Implements7[[#This Row],[TradeIn$]])/2*($BR$7+$BR$8+$BR$9)+Implements7[[#This Row],[Shed (ft^2)]]*$BR$12)/Implements7[[#This Row],[Use (ac/yr)]]</f>
        <v>3.3912243098659935</v>
      </c>
      <c r="AF61" s="48">
        <f>Implements7[[#This Row],[PriceL]]*(VLOOKUP(Implements7[[#This Row],[ASABEtype]],ASABECoefficients[],2)*(Implements7[[#This Row],[Life (yr)]]*Implements7[[#This Row],[Use (hr/yr)]]/1000)^VLOOKUP(Implements7[[#This Row],[ASABEtype]],ASABECoefficients[],3))/Implements7[[#This Row],[Life (yr)]]/Implements7[[#This Row],[Use (ac/yr)]]</f>
        <v>1.1841505432978439</v>
      </c>
      <c r="AG61" s="7">
        <f>$BR$18/(Implements7[[#This Row],[Width]]*Implements7[[#This Row],[Speed]]*Implements7[[#This Row],[Efficiency]])</f>
        <v>5.3921568627450983E-2</v>
      </c>
      <c r="AH61" s="32">
        <f>SUM(Implements7[[#This Row],[Depr ($/ac)]:[OH ($/ac)]])</f>
        <v>7.3937172394034363</v>
      </c>
      <c r="AI61" s="33">
        <v>2</v>
      </c>
      <c r="AJ61" s="5" t="s">
        <v>614</v>
      </c>
    </row>
    <row r="62" spans="11:67">
      <c r="K62" s="5" t="str">
        <f>Implements7[[#This Row],[Implement type]]&amp;", "&amp;Implements7[[#This Row],[Width]]&amp;" "&amp;Implements7[[#This Row],[Width Unit]]</f>
        <v>Chisel plow, 55 Ft Folding</v>
      </c>
      <c r="L62" s="21" t="s">
        <v>437</v>
      </c>
      <c r="M62" s="22">
        <v>55</v>
      </c>
      <c r="N62" s="21" t="str">
        <f t="shared" si="11"/>
        <v>Ft Folding</v>
      </c>
      <c r="O62" s="22"/>
      <c r="P62" s="22"/>
      <c r="Q62" s="23">
        <v>141000</v>
      </c>
      <c r="R62" s="24">
        <v>0.1</v>
      </c>
      <c r="S62" s="25">
        <f t="shared" si="9"/>
        <v>156666.66666666666</v>
      </c>
      <c r="T62" s="22">
        <v>12</v>
      </c>
      <c r="U62" s="22">
        <v>60</v>
      </c>
      <c r="V62" s="26">
        <f t="shared" si="10"/>
        <v>1700</v>
      </c>
      <c r="W62" s="22" t="s">
        <v>437</v>
      </c>
      <c r="X62" s="22">
        <v>5</v>
      </c>
      <c r="Y62" s="24">
        <v>0.85</v>
      </c>
      <c r="Z62" s="24">
        <v>1.02</v>
      </c>
      <c r="AA62" s="22">
        <v>370</v>
      </c>
      <c r="AB62"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62" s="46">
        <f>Implements7[[#This Row],[TradeIn%]]*Implements7[[#This Row],[PriceL]]</f>
        <v>47389.668243755164</v>
      </c>
      <c r="AD62" s="47">
        <f>(Implements7[[#This Row],[PriceP]]-Implements7[[#This Row],[TradeIn$]])/Implements7[[#This Row],[Life (yr)]]/Implements7[[#This Row],[Use (ac/yr)]]</f>
        <v>4.5887417527570999</v>
      </c>
      <c r="AE62" s="30">
        <f>((Implements7[[#This Row],[PriceP]]+Implements7[[#This Row],[TradeIn$]])/2*($BR$7+$BR$8+$BR$9)+Implements7[[#This Row],[Shed (ft^2)]]*$BR$12)/Implements7[[#This Row],[Use (ac/yr)]]</f>
        <v>3.7294017547707679</v>
      </c>
      <c r="AF62" s="48">
        <f>Implements7[[#This Row],[PriceL]]*(VLOOKUP(Implements7[[#This Row],[ASABEtype]],ASABECoefficients[],2)*(Implements7[[#This Row],[Life (yr)]]*Implements7[[#This Row],[Use (hr/yr)]]/1000)^VLOOKUP(Implements7[[#This Row],[ASABEtype]],ASABECoefficients[],3))/Implements7[[#This Row],[Life (yr)]]/Implements7[[#This Row],[Use (ac/yr)]]</f>
        <v>1.3575941632478499</v>
      </c>
      <c r="AG62" s="7">
        <f>$BR$18/(Implements7[[#This Row],[Width]]*Implements7[[#This Row],[Speed]]*Implements7[[#This Row],[Efficiency]])</f>
        <v>3.5294117647058823E-2</v>
      </c>
      <c r="AH62" s="32">
        <f>SUM(Implements7[[#This Row],[Depr ($/ac)]:[OH ($/ac)]])</f>
        <v>8.3181435075278678</v>
      </c>
      <c r="AI62" s="33">
        <v>3</v>
      </c>
      <c r="AJ62" s="5" t="s">
        <v>614</v>
      </c>
    </row>
    <row r="63" spans="11:67">
      <c r="K63" s="5" t="str">
        <f>Implements7[[#This Row],[Implement type]]&amp;", "&amp;Implements7[[#This Row],[Width]]&amp;" "&amp;Implements7[[#This Row],[Width Unit]]</f>
        <v>Chisel plow, front dsk , 16 Ft Folding</v>
      </c>
      <c r="L63" s="51" t="s">
        <v>446</v>
      </c>
      <c r="M63" s="22">
        <v>16</v>
      </c>
      <c r="N63" s="21" t="str">
        <f t="shared" si="11"/>
        <v>Ft Folding</v>
      </c>
      <c r="O63" s="22"/>
      <c r="P63" s="22"/>
      <c r="Q63" s="23">
        <v>37500</v>
      </c>
      <c r="R63" s="24">
        <v>0.1</v>
      </c>
      <c r="S63" s="25">
        <f t="shared" si="9"/>
        <v>41666.666666666664</v>
      </c>
      <c r="T63" s="22">
        <v>12</v>
      </c>
      <c r="U63" s="22">
        <v>80</v>
      </c>
      <c r="V63" s="26">
        <f t="shared" si="10"/>
        <v>659.39393939393938</v>
      </c>
      <c r="W63" s="22" t="s">
        <v>447</v>
      </c>
      <c r="X63" s="22">
        <v>5</v>
      </c>
      <c r="Y63" s="24">
        <v>0.85</v>
      </c>
      <c r="Z63" s="24">
        <v>1.02</v>
      </c>
      <c r="AA63" s="22">
        <v>225</v>
      </c>
      <c r="AB63"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63" s="46">
        <f>Implements7[[#This Row],[TradeIn%]]*Implements7[[#This Row],[PriceL]]</f>
        <v>14226.434858135392</v>
      </c>
      <c r="AD63" s="47">
        <f>(Implements7[[#This Row],[PriceP]]-Implements7[[#This Row],[TradeIn$]])/Implements7[[#This Row],[Life (yr)]]/Implements7[[#This Row],[Use (ac/yr)]]</f>
        <v>2.9412823593808675</v>
      </c>
      <c r="AE63" s="30">
        <f>((Implements7[[#This Row],[PriceP]]+Implements7[[#This Row],[TradeIn$]])/2*($BR$7+$BR$8+$BR$9)+Implements7[[#This Row],[Shed (ft^2)]]*$BR$12)/Implements7[[#This Row],[Use (ac/yr)]]</f>
        <v>2.8213613476154431</v>
      </c>
      <c r="AF63" s="48">
        <f>Implements7[[#This Row],[PriceL]]*(VLOOKUP(Implements7[[#This Row],[ASABEtype]],ASABECoefficients[],2)*(Implements7[[#This Row],[Life (yr)]]*Implements7[[#This Row],[Use (hr/yr)]]/1000)^VLOOKUP(Implements7[[#This Row],[ASABEtype]],ASABECoefficients[],3))/Implements7[[#This Row],[Life (yr)]]/Implements7[[#This Row],[Use (ac/yr)]]</f>
        <v>0.88429294945912251</v>
      </c>
      <c r="AG63" s="7">
        <f>$BR$18/(Implements7[[#This Row],[Width]]*Implements7[[#This Row],[Speed]]*Implements7[[#This Row],[Efficiency]])</f>
        <v>0.12132352941176471</v>
      </c>
      <c r="AH63" s="32">
        <f>SUM(Implements7[[#This Row],[Depr ($/ac)]:[OH ($/ac)]])</f>
        <v>5.762643706996311</v>
      </c>
      <c r="AI63" s="33">
        <v>4</v>
      </c>
      <c r="AJ63" s="5" t="s">
        <v>614</v>
      </c>
    </row>
    <row r="64" spans="11:67">
      <c r="K64" s="5" t="str">
        <f>Implements7[[#This Row],[Implement type]]&amp;", "&amp;Implements7[[#This Row],[Width]]&amp;" "&amp;Implements7[[#This Row],[Width Unit]]</f>
        <v>Chisel plow, front dsk , 21 Ft Folding</v>
      </c>
      <c r="L64" s="51" t="s">
        <v>446</v>
      </c>
      <c r="M64" s="22">
        <v>21</v>
      </c>
      <c r="N64" s="21" t="str">
        <f t="shared" si="11"/>
        <v>Ft Folding</v>
      </c>
      <c r="O64" s="22"/>
      <c r="P64" s="22"/>
      <c r="Q64" s="23">
        <v>59000</v>
      </c>
      <c r="R64" s="24">
        <v>0.1</v>
      </c>
      <c r="S64" s="25">
        <f t="shared" si="9"/>
        <v>65555.555555555547</v>
      </c>
      <c r="T64" s="22">
        <v>12</v>
      </c>
      <c r="U64" s="22">
        <v>80</v>
      </c>
      <c r="V64" s="26">
        <f t="shared" si="10"/>
        <v>865.4545454545455</v>
      </c>
      <c r="W64" s="22" t="s">
        <v>447</v>
      </c>
      <c r="X64" s="22">
        <v>5</v>
      </c>
      <c r="Y64" s="24">
        <v>0.85</v>
      </c>
      <c r="Z64" s="24">
        <v>1.02</v>
      </c>
      <c r="AA64" s="22">
        <v>225</v>
      </c>
      <c r="AB64"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0.34143443659524941</v>
      </c>
      <c r="AC64" s="46">
        <f>Implements7[[#This Row],[TradeIn%]]*Implements7[[#This Row],[PriceL]]</f>
        <v>22382.924176799683</v>
      </c>
      <c r="AD64" s="47">
        <f>(Implements7[[#This Row],[PriceP]]-Implements7[[#This Row],[TradeIn$]])/Implements7[[#This Row],[Life (yr)]]/Implements7[[#This Row],[Use (ac/yr)]]</f>
        <v>3.5258038695308422</v>
      </c>
      <c r="AE64" s="30">
        <f>((Implements7[[#This Row],[PriceP]]+Implements7[[#This Row],[TradeIn$]])/2*($BR$7+$BR$8+$BR$9)+Implements7[[#This Row],[Shed (ft^2)]]*$BR$12)/Implements7[[#This Row],[Use (ac/yr)]]</f>
        <v>3.2375843700189968</v>
      </c>
      <c r="AF64" s="48">
        <f>Implements7[[#This Row],[PriceL]]*(VLOOKUP(Implements7[[#This Row],[ASABEtype]],ASABECoefficients[],2)*(Implements7[[#This Row],[Life (yr)]]*Implements7[[#This Row],[Use (hr/yr)]]/1000)^VLOOKUP(Implements7[[#This Row],[ASABEtype]],ASABECoefficients[],3))/Implements7[[#This Row],[Life (yr)]]/Implements7[[#This Row],[Use (ac/yr)]]</f>
        <v>1.060028627669094</v>
      </c>
      <c r="AG64" s="7">
        <f>$BR$18/(Implements7[[#This Row],[Width]]*Implements7[[#This Row],[Speed]]*Implements7[[#This Row],[Efficiency]])</f>
        <v>9.2436974789915971E-2</v>
      </c>
      <c r="AH64" s="32">
        <f>SUM(Implements7[[#This Row],[Depr ($/ac)]:[OH ($/ac)]])</f>
        <v>6.7633882395498386</v>
      </c>
      <c r="AI64" s="33">
        <v>5</v>
      </c>
      <c r="AJ64" s="5" t="s">
        <v>614</v>
      </c>
    </row>
    <row r="65" spans="11:36">
      <c r="K65" s="5" t="str">
        <f>Implements7[[#This Row],[Implement type]]&amp;", "&amp;Implements7[[#This Row],[Width]]&amp;" "&amp;Implements7[[#This Row],[Width Unit]]</f>
        <v>Moldboard plow, 12 Ft</v>
      </c>
      <c r="L65" s="21" t="s">
        <v>453</v>
      </c>
      <c r="M65" s="22">
        <v>12</v>
      </c>
      <c r="N65" s="21" t="str">
        <f t="shared" si="11"/>
        <v>Ft</v>
      </c>
      <c r="O65" s="22">
        <v>8</v>
      </c>
      <c r="P65" s="51" t="s">
        <v>454</v>
      </c>
      <c r="Q65" s="23">
        <v>59500</v>
      </c>
      <c r="R65" s="24">
        <v>0.1</v>
      </c>
      <c r="S65" s="25">
        <v>27777.777777777777</v>
      </c>
      <c r="T65" s="22">
        <v>12</v>
      </c>
      <c r="U65" s="22">
        <v>120</v>
      </c>
      <c r="V65" s="26">
        <v>667.63636363636363</v>
      </c>
      <c r="W65" s="22" t="s">
        <v>453</v>
      </c>
      <c r="X65" s="22">
        <v>4.5</v>
      </c>
      <c r="Y65" s="24">
        <v>0.85</v>
      </c>
      <c r="Z65" s="24">
        <v>1.02</v>
      </c>
      <c r="AA65" s="22">
        <v>150</v>
      </c>
      <c r="AB65"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0.43541084589966828</v>
      </c>
      <c r="AC65" s="46">
        <f>Implements7[[#This Row],[TradeIn%]]*Implements7[[#This Row],[PriceL]]</f>
        <v>12094.74571943523</v>
      </c>
      <c r="AD65" s="47">
        <f>(Implements7[[#This Row],[PriceP]]-Implements7[[#This Row],[TradeIn$]])/Implements7[[#This Row],[Life (yr)]]/Implements7[[#This Row],[Use (ac/yr)]]</f>
        <v>5.9170501666463826</v>
      </c>
      <c r="AE65" s="30">
        <f>((Implements7[[#This Row],[PriceP]]+Implements7[[#This Row],[TradeIn$]])/2*($BR$7+$BR$8+$BR$9)+Implements7[[#This Row],[Shed (ft^2)]]*$BR$12)/Implements7[[#This Row],[Use (ac/yr)]]</f>
        <v>3.622504933515132</v>
      </c>
      <c r="AF65" s="48">
        <f>Implements7[[#This Row],[PriceL]]*(VLOOKUP(Implements7[[#This Row],[ASABEtype]],ASABECoefficients[],2)*(Implements7[[#This Row],[Life (yr)]]*Implements7[[#This Row],[Use (hr/yr)]]/1000)^VLOOKUP(Implements7[[#This Row],[ASABEtype]],ASABECoefficients[],3))/Implements7[[#This Row],[Life (yr)]]/Implements7[[#This Row],[Use (ac/yr)]]</f>
        <v>3.5947712418300651E-2</v>
      </c>
      <c r="AG65" s="7">
        <f>$BR$18/(Implements7[[#This Row],[Width]]*Implements7[[#This Row],[Speed]]*Implements7[[#This Row],[Efficiency]])</f>
        <v>0.17973856209150327</v>
      </c>
      <c r="AH65" s="32">
        <f>SUM(Implements7[[#This Row],[Depr ($/ac)]:[OH ($/ac)]])</f>
        <v>9.5395551001615146</v>
      </c>
      <c r="AI65" s="33">
        <v>7</v>
      </c>
      <c r="AJ65" s="5" t="s">
        <v>614</v>
      </c>
    </row>
    <row r="66" spans="11:36">
      <c r="K66" s="5" t="str">
        <f>Implements7[[#This Row],[Implement type]]&amp;", "&amp;Implements7[[#This Row],[Width]]&amp;" "&amp;Implements7[[#This Row],[Width Unit]]</f>
        <v>Moldboard plow, 9 Ft</v>
      </c>
      <c r="L66" s="21" t="s">
        <v>453</v>
      </c>
      <c r="M66" s="22">
        <v>9</v>
      </c>
      <c r="N66" s="21" t="str">
        <f t="shared" si="11"/>
        <v>Ft</v>
      </c>
      <c r="O66" s="22">
        <v>6</v>
      </c>
      <c r="P66" s="51" t="s">
        <v>454</v>
      </c>
      <c r="Q66" s="23">
        <v>33000</v>
      </c>
      <c r="R66" s="24">
        <v>0.1</v>
      </c>
      <c r="S66" s="25">
        <f>Q66/(1-R66)</f>
        <v>36666.666666666664</v>
      </c>
      <c r="T66" s="22">
        <v>12</v>
      </c>
      <c r="U66" s="22">
        <v>120</v>
      </c>
      <c r="V66" s="26">
        <f>IF(AND(X66&lt;&gt;0,Y66&lt;&gt;0),U66*(M66*X66*Y66)/8.25,U66*M66)</f>
        <v>500.72727272727275</v>
      </c>
      <c r="W66" s="22" t="s">
        <v>453</v>
      </c>
      <c r="X66" s="22">
        <v>4.5</v>
      </c>
      <c r="Y66" s="24">
        <v>0.85</v>
      </c>
      <c r="Z66" s="24">
        <v>1.02</v>
      </c>
      <c r="AA66" s="22">
        <v>132</v>
      </c>
      <c r="AB66"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0.43541084589966828</v>
      </c>
      <c r="AC66" s="46">
        <f>Implements7[[#This Row],[TradeIn%]]*Implements7[[#This Row],[PriceL]]</f>
        <v>15965.064349654502</v>
      </c>
      <c r="AD66" s="47">
        <f>(Implements7[[#This Row],[PriceP]]-Implements7[[#This Row],[TradeIn$]])/Implements7[[#This Row],[Life (yr)]]/Implements7[[#This Row],[Use (ac/yr)]]</f>
        <v>2.8350322584392469</v>
      </c>
      <c r="AE66" s="30">
        <f>((Implements7[[#This Row],[PriceP]]+Implements7[[#This Row],[TradeIn$]])/2*($BR$7+$BR$8+$BR$9)+Implements7[[#This Row],[Shed (ft^2)]]*$BR$12)/Implements7[[#This Row],[Use (ac/yr)]]</f>
        <v>3.36026773032544</v>
      </c>
      <c r="AF66" s="48">
        <f>Implements7[[#This Row],[PriceL]]*(VLOOKUP(Implements7[[#This Row],[ASABEtype]],ASABECoefficients[],2)*(Implements7[[#This Row],[Life (yr)]]*Implements7[[#This Row],[Use (hr/yr)]]/1000)^VLOOKUP(Implements7[[#This Row],[ASABEtype]],ASABECoefficients[],3))/Implements7[[#This Row],[Life (yr)]]/Implements7[[#This Row],[Use (ac/yr)]]</f>
        <v>6.3267973856209136E-2</v>
      </c>
      <c r="AG66" s="7">
        <f>$BR$18/(Implements7[[#This Row],[Width]]*Implements7[[#This Row],[Speed]]*Implements7[[#This Row],[Efficiency]])</f>
        <v>0.23965141612200438</v>
      </c>
      <c r="AH66" s="32">
        <f>SUM(Implements7[[#This Row],[Depr ($/ac)]:[OH ($/ac)]])</f>
        <v>6.1952999887646865</v>
      </c>
      <c r="AI66" s="33">
        <v>6</v>
      </c>
      <c r="AJ66" s="5" t="s">
        <v>614</v>
      </c>
    </row>
    <row r="67" spans="11:36">
      <c r="K67" s="5" t="str">
        <f>Implements7[[#This Row],[Implement type]]&amp;", "&amp;Implements7[[#This Row],[Width]]&amp;" "&amp;Implements7[[#This Row],[Width Unit]]</f>
        <v>Boom sprayer - pull-type, 90 Ft Folding</v>
      </c>
      <c r="L67" s="51" t="s">
        <v>499</v>
      </c>
      <c r="M67" s="22">
        <v>90</v>
      </c>
      <c r="N67" s="21" t="str">
        <f t="shared" si="11"/>
        <v>Ft Folding</v>
      </c>
      <c r="O67" s="22"/>
      <c r="P67" s="22"/>
      <c r="Q67" s="23">
        <v>54500</v>
      </c>
      <c r="R67" s="24">
        <v>0.1</v>
      </c>
      <c r="S67" s="25">
        <f>Q67/(1-R67)</f>
        <v>60555.555555555555</v>
      </c>
      <c r="T67" s="22">
        <v>12</v>
      </c>
      <c r="U67" s="22">
        <v>25</v>
      </c>
      <c r="V67" s="26">
        <f>IF(AND(X67&lt;&gt;0,Y67&lt;&gt;0),U67*(M67*X67*Y67)/8.25,U67*M67)</f>
        <v>1152.2727272727273</v>
      </c>
      <c r="W67" s="22" t="s">
        <v>450</v>
      </c>
      <c r="X67" s="22">
        <v>6.5</v>
      </c>
      <c r="Y67" s="24">
        <v>0.65</v>
      </c>
      <c r="Z67" s="24">
        <v>1.25</v>
      </c>
      <c r="AA67" s="22">
        <v>400</v>
      </c>
      <c r="AB67"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0.47064228743824527</v>
      </c>
      <c r="AC67" s="46">
        <f>Implements7[[#This Row],[TradeIn%]]*Implements7[[#This Row],[PriceL]]</f>
        <v>28500.005183760408</v>
      </c>
      <c r="AD67" s="47">
        <f>(Implements7[[#This Row],[PriceP]]-Implements7[[#This Row],[TradeIn$]])/Implements7[[#This Row],[Life (yr)]]/Implements7[[#This Row],[Use (ac/yr)]]</f>
        <v>1.8803415054479655</v>
      </c>
      <c r="AE67" s="30">
        <f>((Implements7[[#This Row],[PriceP]]+Implements7[[#This Row],[TradeIn$]])/2*($BR$7+$BR$8+$BR$9)+Implements7[[#This Row],[Shed (ft^2)]]*$BR$12)/Implements7[[#This Row],[Use (ac/yr)]]</f>
        <v>2.6234568243277834</v>
      </c>
      <c r="AF67" s="48">
        <f>Implements7[[#This Row],[PriceL]]*(VLOOKUP(Implements7[[#This Row],[ASABEtype]],ASABECoefficients[],2)*(Implements7[[#This Row],[Life (yr)]]*Implements7[[#This Row],[Use (hr/yr)]]/1000)^VLOOKUP(Implements7[[#This Row],[ASABEtype]],ASABECoefficients[],3))/Implements7[[#This Row],[Life (yr)]]/Implements7[[#This Row],[Use (ac/yr)]]</f>
        <v>0.3753694740068958</v>
      </c>
      <c r="AG67" s="7">
        <f>$BR$18/(Implements7[[#This Row],[Width]]*Implements7[[#This Row],[Speed]]*Implements7[[#This Row],[Efficiency]])</f>
        <v>2.1696252465483234E-2</v>
      </c>
      <c r="AH67" s="32">
        <f>SUM(Implements7[[#This Row],[Depr ($/ac)]:[OH ($/ac)]])</f>
        <v>4.5037983297757487</v>
      </c>
      <c r="AI67" s="33">
        <v>26</v>
      </c>
      <c r="AJ67" s="5" t="s">
        <v>621</v>
      </c>
    </row>
    <row r="68" spans="11:36">
      <c r="K68" s="5" t="str">
        <f>Implements7[[#This Row],[Implement type]]&amp;", "&amp;Implements7[[#This Row],[Width]]&amp;" "&amp;Implements7[[#This Row],[Width Unit]]</f>
        <v>Boom sprayer - self-propelled, 120 Ft Folding</v>
      </c>
      <c r="L68" s="21" t="s">
        <v>496</v>
      </c>
      <c r="M68" s="22">
        <v>120</v>
      </c>
      <c r="N68" s="21" t="str">
        <f t="shared" si="11"/>
        <v>Ft Folding</v>
      </c>
      <c r="O68" s="22"/>
      <c r="P68" s="22"/>
      <c r="Q68" s="23">
        <v>607500</v>
      </c>
      <c r="R68" s="24">
        <v>0.1</v>
      </c>
      <c r="S68" s="25">
        <f>Q68/(1-R68)</f>
        <v>675000</v>
      </c>
      <c r="T68" s="22">
        <v>12</v>
      </c>
      <c r="U68" s="22">
        <v>100</v>
      </c>
      <c r="V68" s="26">
        <f>IF(AND(X68&lt;&gt;0,Y68&lt;&gt;0),U68*(M68*X68*Y68)/8.25,U68*M68)</f>
        <v>6618.181818181818</v>
      </c>
      <c r="W68" s="22" t="s">
        <v>497</v>
      </c>
      <c r="X68" s="22">
        <v>7</v>
      </c>
      <c r="Y68" s="24">
        <v>0.65</v>
      </c>
      <c r="Z68" s="24">
        <v>1.25</v>
      </c>
      <c r="AA68" s="22">
        <v>200</v>
      </c>
      <c r="AB68"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0.29407083603500145</v>
      </c>
      <c r="AC68" s="46">
        <f>Implements7[[#This Row],[TradeIn%]]*Implements7[[#This Row],[PriceL]]</f>
        <v>198497.81432362596</v>
      </c>
      <c r="AD68" s="47">
        <f>(Implements7[[#This Row],[PriceP]]-Implements7[[#This Row],[TradeIn$]])/Implements7[[#This Row],[Life (yr)]]/Implements7[[#This Row],[Use (ac/yr)]]</f>
        <v>5.1499817335624023</v>
      </c>
      <c r="AE68" s="30">
        <f>((Implements7[[#This Row],[PriceP]]+Implements7[[#This Row],[TradeIn$]])/2*($BR$7+$BR$8+$BR$9)+Implements7[[#This Row],[Shed (ft^2)]]*$BR$12)/Implements7[[#This Row],[Use (ac/yr)]]</f>
        <v>3.8959755270809007</v>
      </c>
      <c r="AF68" s="48">
        <f>Implements7[[#This Row],[PriceL]]*(VLOOKUP(Implements7[[#This Row],[ASABEtype]],ASABECoefficients[],2)*(Implements7[[#This Row],[Life (yr)]]*Implements7[[#This Row],[Use (hr/yr)]]/1000)^VLOOKUP(Implements7[[#This Row],[ASABEtype]],ASABECoefficients[],3))/Implements7[[#This Row],[Life (yr)]]/Implements7[[#This Row],[Use (ac/yr)]]</f>
        <v>1.8650329047913965</v>
      </c>
      <c r="AG68" s="7">
        <f>$BR$18/(Implements7[[#This Row],[Width]]*Implements7[[#This Row],[Speed]]*Implements7[[#This Row],[Efficiency]])</f>
        <v>1.510989010989011E-2</v>
      </c>
      <c r="AH68" s="32">
        <f>SUM(Implements7[[#This Row],[Depr ($/ac)]:[OH ($/ac)]])</f>
        <v>9.0459572606433021</v>
      </c>
      <c r="AI68" s="33">
        <v>25</v>
      </c>
      <c r="AJ68" s="5" t="s">
        <v>621</v>
      </c>
    </row>
    <row r="69" spans="11:36">
      <c r="K69" s="5" t="str">
        <f>Implements7[[#This Row],[Implement type]]&amp;", "&amp;Implements7[[#This Row],[Width]]&amp;" "&amp;Implements7[[#This Row],[Width Unit]]</f>
        <v>Row cultivator, 30 Ft Folding</v>
      </c>
      <c r="L69" s="21" t="s">
        <v>493</v>
      </c>
      <c r="M69" s="22">
        <v>30</v>
      </c>
      <c r="N69" s="21" t="str">
        <f t="shared" si="11"/>
        <v>Ft Folding</v>
      </c>
      <c r="O69" s="22">
        <v>12</v>
      </c>
      <c r="P69" s="22" t="s">
        <v>475</v>
      </c>
      <c r="Q69" s="23">
        <v>48000</v>
      </c>
      <c r="R69" s="24">
        <v>0.1</v>
      </c>
      <c r="S69" s="25">
        <f>Q69/(1-R69)</f>
        <v>53333.333333333328</v>
      </c>
      <c r="T69" s="22">
        <v>12</v>
      </c>
      <c r="U69" s="22">
        <v>100</v>
      </c>
      <c r="V69" s="26">
        <f>IF(AND(X69&lt;&gt;0,Y69&lt;&gt;0),U69*(M69*X69*Y69)/8.25,U69*M69)</f>
        <v>1545.4545454545455</v>
      </c>
      <c r="W69" s="22" t="s">
        <v>494</v>
      </c>
      <c r="X69" s="22">
        <v>5</v>
      </c>
      <c r="Y69" s="24">
        <v>0.85</v>
      </c>
      <c r="Z69" s="24">
        <v>1.04</v>
      </c>
      <c r="AA69" s="22">
        <v>140</v>
      </c>
      <c r="AB69" s="45">
        <f>(VLOOKUP(Implements7[[#This Row],[ASABEtype]],ASABECoefficients[],5)-VLOOKUP(Implements7[[#This Row],[ASABEtype]],ASABECoefficients[],6)*Implements7[[#This Row],[Life (yr)]]^0.5-VLOOKUP(Implements7[[#This Row],[ASABEtype]],ASABECoefficients[],7)*Implements7[[#This Row],[Use (hr/yr)]]^0.5+VLOOKUP(Implements7[[#This Row],[ASABEtype]],ASABECoefficients[],8)*$BR$17)^2+0.25*VLOOKUP(Implements7[[#This Row],[ASABEtype]],ASABECoefficients[],9)</f>
        <v>0.30248724410907551</v>
      </c>
      <c r="AC69" s="46">
        <f>Implements7[[#This Row],[TradeIn%]]*Implements7[[#This Row],[PriceL]]</f>
        <v>16132.653019150692</v>
      </c>
      <c r="AD69" s="47">
        <f>(Implements7[[#This Row],[PriceP]]-Implements7[[#This Row],[TradeIn$]])/Implements7[[#This Row],[Life (yr)]]/Implements7[[#This Row],[Use (ac/yr)]]</f>
        <v>1.7183373372026589</v>
      </c>
      <c r="AE69" s="30">
        <f>((Implements7[[#This Row],[PriceP]]+Implements7[[#This Row],[TradeIn$]])/2*($BR$7+$BR$8+$BR$9)+Implements7[[#This Row],[Shed (ft^2)]]*$BR$12)/Implements7[[#This Row],[Use (ac/yr)]]</f>
        <v>1.4053486041301528</v>
      </c>
      <c r="AF69" s="48">
        <f>Implements7[[#This Row],[PriceL]]*(VLOOKUP(Implements7[[#This Row],[ASABEtype]],ASABECoefficients[],2)*(Implements7[[#This Row],[Life (yr)]]*Implements7[[#This Row],[Use (hr/yr)]]/1000)^VLOOKUP(Implements7[[#This Row],[ASABEtype]],ASABECoefficients[],3))/Implements7[[#This Row],[Life (yr)]]/Implements7[[#This Row],[Use (ac/yr)]]</f>
        <v>0.73014465169300014</v>
      </c>
      <c r="AG69" s="7">
        <f>$BR$18/(Implements7[[#This Row],[Width]]*Implements7[[#This Row],[Speed]]*Implements7[[#This Row],[Efficiency]])</f>
        <v>6.4705882352941183E-2</v>
      </c>
      <c r="AH69" s="32">
        <f>SUM(Implements7[[#This Row],[Depr ($/ac)]:[OH ($/ac)]])</f>
        <v>3.1236859413328117</v>
      </c>
      <c r="AI69" s="33">
        <v>24</v>
      </c>
      <c r="AJ69" s="5" t="s">
        <v>621</v>
      </c>
    </row>
    <row r="92" spans="69:70">
      <c r="BQ92" s="44"/>
      <c r="BR92" s="44"/>
    </row>
    <row r="93" spans="69:70">
      <c r="BQ93" s="44"/>
      <c r="BR93" s="44"/>
    </row>
    <row r="94" spans="69:70">
      <c r="BQ94" s="44"/>
      <c r="BR94" s="44"/>
    </row>
    <row r="95" spans="69:70">
      <c r="BQ95" s="44"/>
      <c r="BR95" s="44"/>
    </row>
    <row r="96" spans="69:70">
      <c r="BQ96" s="44"/>
      <c r="BR96" s="44"/>
    </row>
    <row r="97" spans="30:70">
      <c r="BQ97" s="44"/>
      <c r="BR97" s="44"/>
    </row>
    <row r="98" spans="30:70">
      <c r="BQ98" s="44"/>
      <c r="BR98" s="44"/>
    </row>
    <row r="99" spans="30:70">
      <c r="BQ99" s="44"/>
      <c r="BR99" s="44"/>
    </row>
    <row r="100" spans="30:70">
      <c r="AD100" s="63"/>
      <c r="AE100" s="63"/>
      <c r="AF100" s="63"/>
      <c r="BQ100" s="44"/>
      <c r="BR100" s="44"/>
    </row>
    <row r="101" spans="30:70">
      <c r="BQ101" s="44"/>
      <c r="BR101" s="44"/>
    </row>
    <row r="102" spans="30:70">
      <c r="BQ102" s="44"/>
      <c r="BR102" s="44"/>
    </row>
    <row r="103" spans="30:70">
      <c r="BQ103" s="44"/>
      <c r="BR103" s="44"/>
    </row>
    <row r="104" spans="30:70">
      <c r="BQ104" s="44"/>
      <c r="BR104" s="44"/>
    </row>
    <row r="105" spans="30:70">
      <c r="BQ105" s="44"/>
      <c r="BR105" s="44"/>
    </row>
    <row r="106" spans="30:70">
      <c r="BQ106" s="44"/>
      <c r="BR106" s="44"/>
    </row>
    <row r="107" spans="30:70">
      <c r="BQ107" s="44"/>
      <c r="BR107" s="44"/>
    </row>
    <row r="108" spans="30:70">
      <c r="BQ108" s="44"/>
      <c r="BR108" s="44"/>
    </row>
    <row r="109" spans="30:70">
      <c r="BQ109" s="44"/>
      <c r="BR109" s="44"/>
    </row>
    <row r="110" spans="30:70">
      <c r="BQ110" s="44"/>
      <c r="BR110" s="44"/>
    </row>
    <row r="111" spans="30:70">
      <c r="BQ111" s="44"/>
      <c r="BR111" s="44"/>
    </row>
    <row r="112" spans="30:70">
      <c r="BQ112" s="44"/>
      <c r="BR112" s="44"/>
    </row>
    <row r="113" spans="69:70">
      <c r="BQ113" s="44"/>
      <c r="BR113" s="44"/>
    </row>
    <row r="114" spans="69:70">
      <c r="BQ114" s="44"/>
      <c r="BR114" s="44"/>
    </row>
    <row r="115" spans="69:70">
      <c r="BQ115" s="44"/>
      <c r="BR115" s="44"/>
    </row>
    <row r="116" spans="69:70">
      <c r="BQ116" s="44"/>
      <c r="BR116" s="44"/>
    </row>
    <row r="117" spans="69:70">
      <c r="BQ117" s="44"/>
      <c r="BR117" s="44"/>
    </row>
    <row r="118" spans="69:70">
      <c r="BQ118" s="44"/>
      <c r="BR118" s="44"/>
    </row>
    <row r="119" spans="69:70">
      <c r="BQ119" s="44"/>
      <c r="BR119" s="44"/>
    </row>
    <row r="120" spans="69:70">
      <c r="BQ120" s="44"/>
      <c r="BR120" s="44"/>
    </row>
    <row r="121" spans="69:70">
      <c r="BQ121" s="44"/>
      <c r="BR121" s="44"/>
    </row>
    <row r="122" spans="69:70">
      <c r="BQ122" s="44"/>
      <c r="BR122" s="44"/>
    </row>
    <row r="123" spans="69:70">
      <c r="BQ123" s="44"/>
      <c r="BR123" s="44"/>
    </row>
    <row r="124" spans="69:70">
      <c r="BQ124" s="44"/>
      <c r="BR124" s="44"/>
    </row>
    <row r="125" spans="69:70">
      <c r="BQ125" s="44"/>
      <c r="BR125" s="44"/>
    </row>
    <row r="126" spans="69:70">
      <c r="BQ126" s="44"/>
      <c r="BR126" s="44"/>
    </row>
    <row r="127" spans="69:70">
      <c r="BQ127" s="44"/>
      <c r="BR127" s="44"/>
    </row>
    <row r="128" spans="69:70">
      <c r="BQ128" s="44"/>
      <c r="BR128" s="44"/>
    </row>
    <row r="129" spans="69:70">
      <c r="BQ129" s="44"/>
      <c r="BR129" s="44"/>
    </row>
    <row r="130" spans="69:70">
      <c r="BQ130" s="44"/>
      <c r="BR130" s="44"/>
    </row>
    <row r="131" spans="69:70">
      <c r="BQ131" s="44"/>
      <c r="BR131" s="44"/>
    </row>
    <row r="132" spans="69:70">
      <c r="BQ132" s="44"/>
      <c r="BR132" s="44"/>
    </row>
    <row r="133" spans="69:70">
      <c r="BQ133" s="44"/>
      <c r="BR133" s="44"/>
    </row>
    <row r="134" spans="69:70">
      <c r="BQ134" s="44"/>
      <c r="BR134" s="44"/>
    </row>
    <row r="135" spans="69:70">
      <c r="BQ135" s="44"/>
      <c r="BR135" s="44"/>
    </row>
    <row r="136" spans="69:70">
      <c r="BQ136" s="44"/>
      <c r="BR136" s="44"/>
    </row>
    <row r="159" spans="97:97">
      <c r="CS159" s="64"/>
    </row>
    <row r="162" spans="79:101">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row>
  </sheetData>
  <protectedRanges>
    <protectedRange sqref="B17:C21 F22:G22 H17:H21 B6:C11 F12:G12 H6:H11" name="Grey edit cells"/>
  </protectedRanges>
  <mergeCells count="7">
    <mergeCell ref="B15:I15"/>
    <mergeCell ref="B2:I2"/>
    <mergeCell ref="B3:B4"/>
    <mergeCell ref="C3:C4"/>
    <mergeCell ref="D3:D4"/>
    <mergeCell ref="E3:E4"/>
    <mergeCell ref="I3:I4"/>
  </mergeCells>
  <dataValidations count="4">
    <dataValidation type="list" allowBlank="1" showInputMessage="1" showErrorMessage="1" sqref="W5" xr:uid="{91C67832-7CBD-413D-A36B-168C176278B5}">
      <formula1>repair_impl</formula1>
    </dataValidation>
    <dataValidation type="list" allowBlank="1" showInputMessage="1" showErrorMessage="1" sqref="C17:C21 C6:C11" xr:uid="{A75CE179-0160-4259-B51E-7717ECF83CB9}">
      <formula1>PowerSel</formula1>
    </dataValidation>
    <dataValidation type="list" allowBlank="1" showInputMessage="1" showErrorMessage="1" sqref="W6:W69" xr:uid="{1E31608F-88F1-4055-81A4-136721B9D049}">
      <formula1>$BE$6:$BE$49</formula1>
    </dataValidation>
    <dataValidation type="list" allowBlank="1" showInputMessage="1" showErrorMessage="1" sqref="B17:B21 B6:B11" xr:uid="{5B7A3D0C-8D04-4FA4-9724-B51DF819A10A}">
      <formula1>$K$6:$K$69</formula1>
    </dataValidation>
  </dataValidations>
  <pageMargins left="0.7" right="0.7" top="0.75" bottom="0.75" header="0.3" footer="0.3"/>
  <pageSetup orientation="portrait" r:id="rId1"/>
  <legacyDrawing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50384-F215-44C2-84FD-8DD6B5AB1C1A}">
  <dimension ref="A1:P99"/>
  <sheetViews>
    <sheetView topLeftCell="E32" workbookViewId="0">
      <selection activeCell="H72" sqref="H72"/>
    </sheetView>
  </sheetViews>
  <sheetFormatPr defaultColWidth="9" defaultRowHeight="14.25" zeroHeight="1"/>
  <cols>
    <col min="1" max="1" width="42.25" style="5" bestFit="1" customWidth="1"/>
    <col min="2" max="3" width="14.5" style="5" customWidth="1"/>
    <col min="4" max="5" width="9" style="5"/>
    <col min="6" max="6" width="9" style="5" customWidth="1"/>
    <col min="7" max="7" width="14.625" style="5" customWidth="1"/>
    <col min="8" max="8" width="64.375" style="5" customWidth="1"/>
    <col min="9" max="9" width="17.875" style="5" customWidth="1"/>
    <col min="10" max="10" width="17.75" style="5" customWidth="1"/>
    <col min="11" max="11" width="19.625" style="5" customWidth="1"/>
    <col min="12" max="16384" width="9" style="5"/>
  </cols>
  <sheetData>
    <row r="1" spans="1:11"/>
    <row r="2" spans="1:11"/>
    <row r="3" spans="1:11" ht="16.5" customHeight="1">
      <c r="G3" s="65" t="s">
        <v>532</v>
      </c>
      <c r="H3" s="66" t="s">
        <v>381</v>
      </c>
      <c r="I3" s="66" t="s">
        <v>533</v>
      </c>
      <c r="J3" s="66" t="s">
        <v>380</v>
      </c>
      <c r="K3" s="5" t="s">
        <v>650</v>
      </c>
    </row>
    <row r="4" spans="1:11" ht="16.5" customHeight="1">
      <c r="A4" s="118" t="s">
        <v>657</v>
      </c>
      <c r="B4" s="118"/>
      <c r="C4" s="118"/>
      <c r="D4" s="118"/>
      <c r="G4" s="5" t="s">
        <v>534</v>
      </c>
      <c r="H4" s="43" t="s">
        <v>437</v>
      </c>
      <c r="I4" s="67">
        <v>27.1</v>
      </c>
      <c r="J4" s="43" t="s">
        <v>355</v>
      </c>
      <c r="K4" s="5" t="s">
        <v>651</v>
      </c>
    </row>
    <row r="5" spans="1:11" ht="16.5" customHeight="1">
      <c r="A5" s="87" t="s">
        <v>624</v>
      </c>
      <c r="B5" s="91" t="s">
        <v>625</v>
      </c>
      <c r="C5" s="92" t="s">
        <v>380</v>
      </c>
      <c r="D5" s="91" t="s">
        <v>595</v>
      </c>
      <c r="G5" s="5" t="s">
        <v>534</v>
      </c>
      <c r="H5" s="43" t="s">
        <v>535</v>
      </c>
      <c r="I5" s="67">
        <v>21.36</v>
      </c>
      <c r="J5" s="43" t="s">
        <v>355</v>
      </c>
      <c r="K5" s="5" t="s">
        <v>651</v>
      </c>
    </row>
    <row r="6" spans="1:11" ht="16.5" customHeight="1">
      <c r="A6" s="6" t="s">
        <v>556</v>
      </c>
      <c r="B6" s="94">
        <f>IF(ISBLANK($A6),"",VLOOKUP($A6,$H$3:$J$53,2,FALSE))</f>
        <v>7.25</v>
      </c>
      <c r="C6" s="2" t="str">
        <f>IF(ISBLANK($A6),"",VLOOKUP($A6,$H$3:$J$53,3,FALSE))</f>
        <v>per acre</v>
      </c>
      <c r="D6" s="6">
        <v>1</v>
      </c>
      <c r="G6" s="5" t="s">
        <v>534</v>
      </c>
      <c r="H6" s="43" t="s">
        <v>469</v>
      </c>
      <c r="I6" s="67">
        <v>23.81</v>
      </c>
      <c r="J6" s="43" t="s">
        <v>355</v>
      </c>
      <c r="K6" s="5" t="s">
        <v>651</v>
      </c>
    </row>
    <row r="7" spans="1:11" ht="16.5" customHeight="1">
      <c r="A7" s="6" t="s">
        <v>674</v>
      </c>
      <c r="B7" s="94">
        <f>IF(ISBLANK($A7),"",VLOOKUP($A7,$H$3:$J$53,2,FALSE))</f>
        <v>6.5</v>
      </c>
      <c r="C7" s="2" t="str">
        <f>IF(ISBLANK($A7),"",VLOOKUP($A7,$H$3:$J$53,3,FALSE))</f>
        <v>per bale</v>
      </c>
      <c r="D7" s="6"/>
      <c r="G7" s="5" t="s">
        <v>534</v>
      </c>
      <c r="H7" s="43" t="s">
        <v>536</v>
      </c>
      <c r="I7" s="67">
        <v>19.75</v>
      </c>
      <c r="J7" s="43" t="s">
        <v>355</v>
      </c>
      <c r="K7" s="5" t="s">
        <v>651</v>
      </c>
    </row>
    <row r="8" spans="1:11" ht="16.5" customHeight="1">
      <c r="A8" s="86" t="s">
        <v>639</v>
      </c>
      <c r="B8" s="95">
        <f>IF(ISBLANK(A8),"",VLOOKUP(A8,$H$3:$J$53,2,FALSE))</f>
        <v>6.5</v>
      </c>
      <c r="C8" s="96" t="str">
        <f>IF(ISBLANK($A8),"",VLOOKUP($A8,$H$3:$J$53,3,FALSE))</f>
        <v>per bale</v>
      </c>
      <c r="D8" s="86"/>
      <c r="G8" s="5" t="s">
        <v>534</v>
      </c>
      <c r="H8" s="43" t="s">
        <v>460</v>
      </c>
      <c r="I8" s="67">
        <v>19.05</v>
      </c>
      <c r="J8" s="43" t="s">
        <v>355</v>
      </c>
      <c r="K8" s="5" t="s">
        <v>651</v>
      </c>
    </row>
    <row r="9" spans="1:11" ht="16.5" customHeight="1">
      <c r="G9" s="5" t="s">
        <v>534</v>
      </c>
      <c r="H9" s="43" t="s">
        <v>537</v>
      </c>
      <c r="I9" s="67">
        <v>97.86</v>
      </c>
      <c r="J9" s="43" t="s">
        <v>538</v>
      </c>
      <c r="K9" s="5" t="s">
        <v>651</v>
      </c>
    </row>
    <row r="10" spans="1:11" ht="16.5" customHeight="1">
      <c r="A10" s="117"/>
      <c r="B10" s="117"/>
      <c r="C10" s="117"/>
      <c r="D10" s="117"/>
      <c r="G10" s="5" t="s">
        <v>534</v>
      </c>
      <c r="H10" s="43" t="s">
        <v>539</v>
      </c>
      <c r="I10" s="67">
        <v>95.71</v>
      </c>
      <c r="J10" s="43" t="s">
        <v>538</v>
      </c>
      <c r="K10" s="5" t="s">
        <v>651</v>
      </c>
    </row>
    <row r="11" spans="1:11" ht="16.5" customHeight="1">
      <c r="A11" s="8"/>
      <c r="B11" s="82"/>
      <c r="C11" s="99"/>
      <c r="D11" s="82"/>
      <c r="G11" s="5" t="s">
        <v>540</v>
      </c>
      <c r="H11" s="43" t="s">
        <v>541</v>
      </c>
      <c r="I11" s="67">
        <v>24.17</v>
      </c>
      <c r="J11" s="43" t="s">
        <v>355</v>
      </c>
      <c r="K11" s="5" t="s">
        <v>651</v>
      </c>
    </row>
    <row r="12" spans="1:11" ht="16.5" customHeight="1">
      <c r="B12" s="100"/>
      <c r="C12" s="2"/>
      <c r="G12" s="5" t="s">
        <v>540</v>
      </c>
      <c r="H12" s="43" t="s">
        <v>542</v>
      </c>
      <c r="I12" s="67">
        <v>28.5</v>
      </c>
      <c r="J12" s="43" t="s">
        <v>355</v>
      </c>
      <c r="K12" s="5" t="s">
        <v>651</v>
      </c>
    </row>
    <row r="13" spans="1:11" ht="16.5" customHeight="1">
      <c r="B13" s="100"/>
      <c r="C13" s="2"/>
      <c r="G13" s="5" t="s">
        <v>540</v>
      </c>
      <c r="H13" s="43" t="s">
        <v>543</v>
      </c>
      <c r="I13" s="67">
        <v>28.5</v>
      </c>
      <c r="J13" s="43" t="s">
        <v>355</v>
      </c>
      <c r="K13" s="5" t="s">
        <v>651</v>
      </c>
    </row>
    <row r="14" spans="1:11" ht="16.5" customHeight="1">
      <c r="B14" s="98"/>
      <c r="G14" s="5" t="s">
        <v>540</v>
      </c>
      <c r="H14" s="43" t="s">
        <v>544</v>
      </c>
      <c r="I14" s="67">
        <v>25.31</v>
      </c>
      <c r="J14" s="43" t="s">
        <v>355</v>
      </c>
      <c r="K14" s="5" t="s">
        <v>651</v>
      </c>
    </row>
    <row r="15" spans="1:11" ht="16.5" customHeight="1">
      <c r="B15" s="100"/>
      <c r="C15" s="2"/>
      <c r="G15" s="5" t="s">
        <v>540</v>
      </c>
      <c r="H15" s="43" t="s">
        <v>545</v>
      </c>
      <c r="I15" s="67">
        <v>26.04</v>
      </c>
      <c r="J15" s="43" t="s">
        <v>355</v>
      </c>
      <c r="K15" s="5" t="s">
        <v>651</v>
      </c>
    </row>
    <row r="16" spans="1:11" ht="16.5" customHeight="1">
      <c r="G16" s="5" t="s">
        <v>540</v>
      </c>
      <c r="H16" s="43" t="s">
        <v>546</v>
      </c>
      <c r="I16" s="67">
        <v>22.33</v>
      </c>
      <c r="J16" s="43" t="s">
        <v>355</v>
      </c>
      <c r="K16" s="5" t="s">
        <v>651</v>
      </c>
    </row>
    <row r="17" spans="7:11" ht="16.5" customHeight="1">
      <c r="G17" s="5" t="s">
        <v>540</v>
      </c>
      <c r="H17" s="43" t="s">
        <v>547</v>
      </c>
      <c r="I17" s="67">
        <v>24.77</v>
      </c>
      <c r="J17" s="43" t="s">
        <v>355</v>
      </c>
      <c r="K17" s="5" t="s">
        <v>651</v>
      </c>
    </row>
    <row r="18" spans="7:11" ht="16.5" customHeight="1">
      <c r="G18" s="5" t="s">
        <v>540</v>
      </c>
      <c r="H18" s="43" t="s">
        <v>548</v>
      </c>
      <c r="I18" s="67">
        <v>24.81</v>
      </c>
      <c r="J18" s="43" t="s">
        <v>355</v>
      </c>
      <c r="K18" s="5" t="s">
        <v>651</v>
      </c>
    </row>
    <row r="19" spans="7:11" ht="16.5" customHeight="1">
      <c r="G19" s="5" t="s">
        <v>540</v>
      </c>
      <c r="H19" s="43" t="s">
        <v>549</v>
      </c>
      <c r="I19" s="67">
        <v>29.07</v>
      </c>
      <c r="J19" s="43" t="s">
        <v>355</v>
      </c>
      <c r="K19" s="5" t="s">
        <v>651</v>
      </c>
    </row>
    <row r="20" spans="7:11" ht="16.5" customHeight="1">
      <c r="G20" s="5" t="s">
        <v>540</v>
      </c>
      <c r="H20" s="43" t="s">
        <v>550</v>
      </c>
      <c r="I20" s="67">
        <v>27.89</v>
      </c>
      <c r="J20" s="43" t="s">
        <v>355</v>
      </c>
      <c r="K20" s="5" t="s">
        <v>651</v>
      </c>
    </row>
    <row r="21" spans="7:11" ht="16.5" customHeight="1">
      <c r="G21" s="5" t="s">
        <v>540</v>
      </c>
      <c r="H21" s="43" t="s">
        <v>551</v>
      </c>
      <c r="I21" s="67">
        <v>25.72</v>
      </c>
      <c r="J21" s="43" t="s">
        <v>355</v>
      </c>
      <c r="K21" s="5" t="s">
        <v>651</v>
      </c>
    </row>
    <row r="22" spans="7:11" ht="16.5" customHeight="1">
      <c r="G22" s="5" t="s">
        <v>540</v>
      </c>
      <c r="H22" s="43" t="s">
        <v>552</v>
      </c>
      <c r="I22" s="67">
        <v>21</v>
      </c>
      <c r="J22" s="43" t="s">
        <v>355</v>
      </c>
      <c r="K22" s="5" t="s">
        <v>651</v>
      </c>
    </row>
    <row r="23" spans="7:11" ht="16.5" customHeight="1">
      <c r="G23" s="5" t="s">
        <v>553</v>
      </c>
      <c r="H23" s="43" t="s">
        <v>382</v>
      </c>
      <c r="I23" s="67">
        <v>7.02</v>
      </c>
      <c r="J23" s="43" t="s">
        <v>355</v>
      </c>
      <c r="K23" s="5" t="s">
        <v>651</v>
      </c>
    </row>
    <row r="24" spans="7:11" ht="16.5" customHeight="1">
      <c r="G24" s="5" t="s">
        <v>553</v>
      </c>
      <c r="H24" s="43" t="s">
        <v>554</v>
      </c>
      <c r="I24" s="67">
        <v>10.06</v>
      </c>
      <c r="J24" s="43" t="s">
        <v>355</v>
      </c>
      <c r="K24" s="5" t="s">
        <v>651</v>
      </c>
    </row>
    <row r="25" spans="7:11" ht="16.5" customHeight="1">
      <c r="G25" s="5" t="s">
        <v>553</v>
      </c>
      <c r="H25" s="43" t="s">
        <v>555</v>
      </c>
      <c r="I25" s="67">
        <v>9.93</v>
      </c>
      <c r="J25" s="43" t="s">
        <v>355</v>
      </c>
      <c r="K25" s="5" t="s">
        <v>651</v>
      </c>
    </row>
    <row r="26" spans="7:11" ht="16.5" customHeight="1">
      <c r="G26" s="5" t="s">
        <v>553</v>
      </c>
      <c r="H26" s="43" t="s">
        <v>556</v>
      </c>
      <c r="I26" s="67">
        <v>7.25</v>
      </c>
      <c r="J26" s="43" t="s">
        <v>355</v>
      </c>
      <c r="K26" s="5" t="s">
        <v>651</v>
      </c>
    </row>
    <row r="27" spans="7:11" ht="16.5" customHeight="1">
      <c r="G27" s="5" t="s">
        <v>553</v>
      </c>
      <c r="H27" s="43" t="s">
        <v>557</v>
      </c>
      <c r="I27" s="67">
        <v>7.81</v>
      </c>
      <c r="J27" s="43" t="s">
        <v>355</v>
      </c>
      <c r="K27" s="5" t="s">
        <v>651</v>
      </c>
    </row>
    <row r="28" spans="7:11" ht="16.5" customHeight="1">
      <c r="G28" s="5" t="s">
        <v>553</v>
      </c>
      <c r="H28" s="43" t="s">
        <v>558</v>
      </c>
      <c r="I28" s="67">
        <v>7.84</v>
      </c>
      <c r="J28" s="43" t="s">
        <v>355</v>
      </c>
      <c r="K28" s="5" t="s">
        <v>651</v>
      </c>
    </row>
    <row r="29" spans="7:11" ht="16.5" customHeight="1">
      <c r="G29" s="5" t="s">
        <v>553</v>
      </c>
      <c r="H29" s="43" t="s">
        <v>559</v>
      </c>
      <c r="I29" s="67">
        <v>7.9</v>
      </c>
      <c r="J29" s="43" t="s">
        <v>355</v>
      </c>
      <c r="K29" s="5" t="s">
        <v>651</v>
      </c>
    </row>
    <row r="30" spans="7:11" ht="16.5" customHeight="1">
      <c r="G30" s="5" t="s">
        <v>553</v>
      </c>
      <c r="H30" s="43" t="s">
        <v>560</v>
      </c>
      <c r="I30" s="67">
        <v>18.53</v>
      </c>
      <c r="J30" s="43" t="s">
        <v>355</v>
      </c>
      <c r="K30" s="5" t="s">
        <v>651</v>
      </c>
    </row>
    <row r="31" spans="7:11" ht="16.5" customHeight="1">
      <c r="G31" s="5" t="s">
        <v>553</v>
      </c>
      <c r="H31" s="43" t="s">
        <v>561</v>
      </c>
      <c r="I31" s="67">
        <v>27.5</v>
      </c>
      <c r="J31" s="43" t="s">
        <v>562</v>
      </c>
      <c r="K31" s="5" t="s">
        <v>651</v>
      </c>
    </row>
    <row r="32" spans="7:11" ht="16.5" customHeight="1">
      <c r="G32" s="5" t="s">
        <v>553</v>
      </c>
      <c r="H32" s="43" t="s">
        <v>563</v>
      </c>
      <c r="I32" s="67">
        <v>8.44</v>
      </c>
      <c r="J32" s="43" t="s">
        <v>355</v>
      </c>
      <c r="K32" s="5" t="s">
        <v>651</v>
      </c>
    </row>
    <row r="33" spans="7:11" ht="16.5" customHeight="1">
      <c r="G33" s="5" t="s">
        <v>553</v>
      </c>
      <c r="H33" s="43" t="s">
        <v>564</v>
      </c>
      <c r="I33" s="67">
        <v>7.71</v>
      </c>
      <c r="J33" s="43" t="s">
        <v>355</v>
      </c>
      <c r="K33" s="5" t="s">
        <v>651</v>
      </c>
    </row>
    <row r="34" spans="7:11" ht="16.5" customHeight="1">
      <c r="G34" s="5" t="s">
        <v>553</v>
      </c>
      <c r="H34" s="43" t="s">
        <v>565</v>
      </c>
      <c r="I34" s="67">
        <v>7.84</v>
      </c>
      <c r="J34" s="43" t="s">
        <v>355</v>
      </c>
      <c r="K34" s="5" t="s">
        <v>651</v>
      </c>
    </row>
    <row r="35" spans="7:11" ht="16.5" customHeight="1">
      <c r="G35" s="5" t="s">
        <v>553</v>
      </c>
      <c r="H35" s="43" t="s">
        <v>566</v>
      </c>
      <c r="I35" s="67">
        <v>6.75</v>
      </c>
      <c r="J35" s="43" t="s">
        <v>355</v>
      </c>
      <c r="K35" s="5" t="s">
        <v>651</v>
      </c>
    </row>
    <row r="36" spans="7:11" ht="16.5" customHeight="1">
      <c r="G36" s="5" t="s">
        <v>567</v>
      </c>
      <c r="H36" s="43" t="s">
        <v>568</v>
      </c>
      <c r="I36" s="67">
        <v>43.29</v>
      </c>
      <c r="J36" s="43" t="s">
        <v>355</v>
      </c>
      <c r="K36" s="5" t="s">
        <v>651</v>
      </c>
    </row>
    <row r="37" spans="7:11" ht="16.5" customHeight="1">
      <c r="G37" s="5" t="s">
        <v>567</v>
      </c>
      <c r="H37" s="43" t="s">
        <v>569</v>
      </c>
      <c r="I37" s="67">
        <v>39.42</v>
      </c>
      <c r="J37" s="43" t="s">
        <v>355</v>
      </c>
      <c r="K37" s="5" t="s">
        <v>651</v>
      </c>
    </row>
    <row r="38" spans="7:11" ht="16.5" customHeight="1">
      <c r="G38" s="5" t="s">
        <v>567</v>
      </c>
      <c r="H38" s="43" t="s">
        <v>570</v>
      </c>
      <c r="I38" s="67">
        <v>41.13</v>
      </c>
      <c r="J38" s="43" t="s">
        <v>355</v>
      </c>
      <c r="K38" s="5" t="s">
        <v>651</v>
      </c>
    </row>
    <row r="39" spans="7:11" ht="16.5" customHeight="1">
      <c r="G39" s="5" t="s">
        <v>567</v>
      </c>
      <c r="H39" s="43" t="s">
        <v>633</v>
      </c>
      <c r="I39" s="67">
        <v>32.5</v>
      </c>
      <c r="J39" s="43" t="s">
        <v>355</v>
      </c>
      <c r="K39" s="5" t="s">
        <v>651</v>
      </c>
    </row>
    <row r="40" spans="7:11" ht="16.5" customHeight="1">
      <c r="G40" s="5" t="s">
        <v>567</v>
      </c>
      <c r="H40" s="43" t="s">
        <v>571</v>
      </c>
      <c r="I40" s="67">
        <v>9.8000000000000007</v>
      </c>
      <c r="J40" s="43" t="s">
        <v>355</v>
      </c>
      <c r="K40" s="5" t="s">
        <v>651</v>
      </c>
    </row>
    <row r="41" spans="7:11" ht="16.5" customHeight="1">
      <c r="G41" s="5" t="s">
        <v>567</v>
      </c>
      <c r="H41" s="43" t="s">
        <v>638</v>
      </c>
      <c r="I41" s="67">
        <v>0.16</v>
      </c>
      <c r="J41" s="43" t="s">
        <v>572</v>
      </c>
      <c r="K41" s="5" t="s">
        <v>651</v>
      </c>
    </row>
    <row r="42" spans="7:11" ht="16.5" customHeight="1">
      <c r="G42" s="5" t="s">
        <v>567</v>
      </c>
      <c r="H42" s="43" t="s">
        <v>637</v>
      </c>
      <c r="I42" s="67">
        <v>0.28999999999999998</v>
      </c>
      <c r="J42" s="43" t="s">
        <v>572</v>
      </c>
      <c r="K42" s="5" t="s">
        <v>651</v>
      </c>
    </row>
    <row r="43" spans="7:11" ht="16.5" customHeight="1">
      <c r="G43" s="5" t="s">
        <v>567</v>
      </c>
      <c r="H43" s="43" t="s">
        <v>637</v>
      </c>
      <c r="I43" s="67">
        <v>4.07</v>
      </c>
      <c r="J43" s="43" t="s">
        <v>573</v>
      </c>
      <c r="K43" s="5" t="s">
        <v>651</v>
      </c>
    </row>
    <row r="44" spans="7:11" ht="16.5" customHeight="1">
      <c r="G44" s="5" t="s">
        <v>567</v>
      </c>
      <c r="H44" s="43" t="s">
        <v>574</v>
      </c>
      <c r="I44" s="67">
        <v>19</v>
      </c>
      <c r="J44" s="43" t="s">
        <v>355</v>
      </c>
      <c r="K44" s="5" t="s">
        <v>651</v>
      </c>
    </row>
    <row r="45" spans="7:11" ht="16.5" customHeight="1">
      <c r="G45" s="5" t="s">
        <v>567</v>
      </c>
      <c r="H45" s="43" t="s">
        <v>575</v>
      </c>
      <c r="I45" s="67">
        <v>9.25</v>
      </c>
      <c r="J45" s="43" t="s">
        <v>355</v>
      </c>
      <c r="K45" s="5" t="s">
        <v>651</v>
      </c>
    </row>
    <row r="46" spans="7:11" ht="16.5" customHeight="1">
      <c r="G46" s="5" t="s">
        <v>567</v>
      </c>
      <c r="H46" s="43" t="s">
        <v>576</v>
      </c>
      <c r="I46" s="67">
        <v>17.440000000000001</v>
      </c>
      <c r="J46" s="43" t="s">
        <v>577</v>
      </c>
      <c r="K46" s="5" t="s">
        <v>651</v>
      </c>
    </row>
    <row r="47" spans="7:11" ht="16.5" customHeight="1">
      <c r="G47" s="5" t="s">
        <v>567</v>
      </c>
      <c r="H47" s="43" t="s">
        <v>578</v>
      </c>
      <c r="I47" s="67">
        <v>29.86</v>
      </c>
      <c r="J47" s="43" t="s">
        <v>577</v>
      </c>
      <c r="K47" s="5" t="s">
        <v>651</v>
      </c>
    </row>
    <row r="48" spans="7:11" ht="16.5" customHeight="1">
      <c r="G48" s="5" t="s">
        <v>567</v>
      </c>
      <c r="H48" s="43" t="s">
        <v>579</v>
      </c>
      <c r="I48" s="67">
        <v>10</v>
      </c>
      <c r="J48" s="43" t="s">
        <v>577</v>
      </c>
      <c r="K48" s="5" t="s">
        <v>651</v>
      </c>
    </row>
    <row r="49" spans="7:16" ht="16.5" customHeight="1">
      <c r="G49" s="5" t="s">
        <v>567</v>
      </c>
      <c r="H49" s="43" t="s">
        <v>674</v>
      </c>
      <c r="I49" s="67">
        <v>6.5</v>
      </c>
      <c r="J49" s="43" t="s">
        <v>577</v>
      </c>
      <c r="K49" s="5" t="s">
        <v>651</v>
      </c>
    </row>
    <row r="50" spans="7:16" ht="16.5" customHeight="1">
      <c r="G50" s="5" t="s">
        <v>567</v>
      </c>
      <c r="H50" s="43" t="s">
        <v>639</v>
      </c>
      <c r="I50" s="67">
        <v>6.5</v>
      </c>
      <c r="J50" s="43" t="s">
        <v>577</v>
      </c>
      <c r="K50" s="5" t="s">
        <v>675</v>
      </c>
      <c r="P50" s="104">
        <f>(4*50)/((18*2000)/1200)</f>
        <v>6.666666666666667</v>
      </c>
    </row>
    <row r="51" spans="7:16" ht="16.5" customHeight="1">
      <c r="G51" s="5" t="s">
        <v>567</v>
      </c>
      <c r="H51" s="43" t="s">
        <v>640</v>
      </c>
      <c r="I51" s="67">
        <v>1.5</v>
      </c>
      <c r="J51" s="43" t="s">
        <v>577</v>
      </c>
      <c r="K51" s="5" t="s">
        <v>655</v>
      </c>
    </row>
    <row r="52" spans="7:16" ht="16.5" customHeight="1">
      <c r="G52" s="5" t="s">
        <v>567</v>
      </c>
      <c r="H52" s="43" t="s">
        <v>653</v>
      </c>
      <c r="I52" s="67">
        <v>10</v>
      </c>
      <c r="J52" s="43" t="s">
        <v>562</v>
      </c>
      <c r="K52" s="5" t="s">
        <v>652</v>
      </c>
    </row>
    <row r="53" spans="7:16" ht="16.5" customHeight="1">
      <c r="H53" s="6" t="s">
        <v>383</v>
      </c>
      <c r="I53" s="68"/>
      <c r="J53" s="6" t="s">
        <v>355</v>
      </c>
    </row>
    <row r="54" spans="7:16" ht="16.5" customHeight="1"/>
    <row r="59" spans="7:16" ht="15" customHeight="1"/>
    <row r="60" spans="7:16" ht="15" customHeight="1"/>
    <row r="61" spans="7:16" ht="15" customHeight="1"/>
    <row r="62" spans="7:16" ht="15" customHeight="1"/>
    <row r="63" spans="7:16" ht="15" customHeight="1"/>
    <row r="65"/>
    <row r="70"/>
    <row r="71"/>
    <row r="72"/>
    <row r="73"/>
    <row r="74"/>
    <row r="75"/>
    <row r="76"/>
    <row r="77"/>
    <row r="78"/>
    <row r="79"/>
    <row r="80"/>
    <row r="81"/>
    <row r="82"/>
    <row r="83"/>
    <row r="84"/>
    <row r="85"/>
    <row r="86"/>
    <row r="87"/>
    <row r="88"/>
    <row r="89"/>
    <row r="90"/>
    <row r="91"/>
    <row r="92"/>
    <row r="93"/>
    <row r="94"/>
    <row r="95"/>
    <row r="96"/>
    <row r="97"/>
    <row r="98"/>
    <row r="99"/>
  </sheetData>
  <protectedRanges>
    <protectedRange sqref="A12:A15 D12:D15 D6:D9 A6:A9" name="Grey edit cells"/>
  </protectedRanges>
  <mergeCells count="2">
    <mergeCell ref="A4:D4"/>
    <mergeCell ref="A10:D10"/>
  </mergeCells>
  <phoneticPr fontId="9" type="noConversion"/>
  <dataValidations count="1">
    <dataValidation type="list" allowBlank="1" showInputMessage="1" showErrorMessage="1" sqref="A12:A15 A6:A8" xr:uid="{337CEF6C-788D-4CB7-BCE3-15847EC0603B}">
      <formula1>$H$4:$H$53</formula1>
    </dataValidation>
  </dataValidations>
  <pageMargins left="0.7" right="0.7" top="0.75" bottom="0.75" header="0.3" footer="0.3"/>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Introduction</vt:lpstr>
      <vt:lpstr>Industrial Hemp for Fiber</vt:lpstr>
      <vt:lpstr>Equipment</vt:lpstr>
      <vt:lpstr>Custom Hire</vt:lpstr>
      <vt:lpstr>CustomActivities</vt:lpstr>
      <vt:lpstr>CustomImps</vt:lpstr>
      <vt:lpstr>ImplSel</vt:lpstr>
      <vt:lpstr>PowerSel</vt:lpstr>
      <vt:lpstr>ww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Kientzy, Andrew</dc:creator>
  <cp:keywords/>
  <dc:description/>
  <cp:lastModifiedBy>Milhollin, Ryan K.</cp:lastModifiedBy>
  <cp:revision/>
  <cp:lastPrinted>2023-10-06T20:55:57Z</cp:lastPrinted>
  <dcterms:created xsi:type="dcterms:W3CDTF">2014-11-07T21:30:57Z</dcterms:created>
  <dcterms:modified xsi:type="dcterms:W3CDTF">2023-10-18T21:04:11Z</dcterms:modified>
  <cp:category/>
  <cp:contentStatus/>
</cp:coreProperties>
</file>