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https://mailmissouri-my.sharepoint.com/personal/milhollinr_umsystem_edu/Documents/Beef/Missouri Fed Cattle School/"/>
    </mc:Choice>
  </mc:AlternateContent>
  <xr:revisionPtr revIDLastSave="12" documentId="8_{C1A9CF2A-338F-4801-9C2F-0038EB7FE796}" xr6:coauthVersionLast="47" xr6:coauthVersionMax="47" xr10:uidLastSave="{736A0FBD-0BA1-4CA4-AAA4-E873AB10EA4E}"/>
  <bookViews>
    <workbookView xWindow="2910" yWindow="90" windowWidth="21600" windowHeight="11385" xr2:uid="{00000000-000D-0000-FFFF-FFFF00000000}"/>
  </bookViews>
  <sheets>
    <sheet name="Input" sheetId="6" r:id="rId1"/>
    <sheet name="_SSC" sheetId="7" state="veryHidden" r:id="rId2"/>
    <sheet name="Budget" sheetId="2" r:id="rId3"/>
    <sheet name="Yardage Calculator" sheetId="5" r:id="rId4"/>
    <sheet name="Reference - Rations" sheetId="8" state="hidden" r:id="rId5"/>
    <sheet name="Reference - Manure Value" sheetId="10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5" l="1"/>
  <c r="C8" i="2"/>
  <c r="C55" i="6"/>
  <c r="C6" i="2" s="1"/>
  <c r="D13" i="5"/>
  <c r="C22" i="2"/>
  <c r="C21" i="2"/>
  <c r="C20" i="2"/>
  <c r="C17" i="2"/>
  <c r="E34" i="6"/>
  <c r="C10" i="6"/>
  <c r="C15" i="2"/>
  <c r="D52" i="6"/>
  <c r="C14" i="2" s="1"/>
  <c r="D28" i="5"/>
  <c r="F30" i="5" s="1"/>
  <c r="D37" i="5" s="1"/>
  <c r="E37" i="5" s="1"/>
  <c r="I27" i="5"/>
  <c r="H27" i="5"/>
  <c r="I26" i="5"/>
  <c r="H26" i="5"/>
  <c r="I25" i="5"/>
  <c r="H25" i="5"/>
  <c r="I24" i="5"/>
  <c r="H24" i="5"/>
  <c r="I23" i="5"/>
  <c r="H23" i="5"/>
  <c r="I22" i="5"/>
  <c r="H22" i="5"/>
  <c r="I21" i="5"/>
  <c r="H21" i="5"/>
  <c r="I20" i="5"/>
  <c r="H20" i="5"/>
  <c r="I19" i="5"/>
  <c r="H19" i="5"/>
  <c r="I18" i="5"/>
  <c r="H18" i="5"/>
  <c r="I17" i="5"/>
  <c r="H17" i="5"/>
  <c r="H5" i="5"/>
  <c r="D40" i="5" l="1"/>
  <c r="E40" i="5" s="1"/>
  <c r="F40" i="5" s="1"/>
  <c r="H28" i="5"/>
  <c r="D35" i="5" s="1"/>
  <c r="E35" i="5" s="1"/>
  <c r="F35" i="5" s="1"/>
  <c r="I28" i="5"/>
  <c r="D36" i="5" s="1"/>
  <c r="E36" i="5" s="1"/>
  <c r="F36" i="5" s="1"/>
  <c r="F32" i="5"/>
  <c r="F31" i="5"/>
  <c r="C12" i="6"/>
  <c r="D4" i="2"/>
  <c r="D14" i="2"/>
  <c r="D15" i="2"/>
  <c r="C14" i="6"/>
  <c r="F37" i="5"/>
  <c r="D41" i="5"/>
  <c r="E41" i="5" s="1"/>
  <c r="F41" i="5" s="1"/>
  <c r="G56" i="6"/>
  <c r="C7" i="2" s="1"/>
  <c r="C19" i="2" s="1"/>
  <c r="D6" i="2"/>
  <c r="D22" i="2"/>
  <c r="D20" i="2"/>
  <c r="D21" i="2"/>
  <c r="C11" i="6"/>
  <c r="C13" i="6"/>
  <c r="D8" i="2"/>
  <c r="D17" i="2"/>
  <c r="D39" i="5"/>
  <c r="D38" i="5" l="1"/>
  <c r="E38" i="5" s="1"/>
  <c r="F38" i="5" s="1"/>
  <c r="C9" i="2"/>
  <c r="D7" i="2"/>
  <c r="D9" i="2" s="1"/>
  <c r="G19" i="6"/>
  <c r="G20" i="6" s="1"/>
  <c r="G18" i="6"/>
  <c r="C15" i="6"/>
  <c r="E39" i="5"/>
  <c r="D19" i="2"/>
  <c r="D42" i="5" l="1"/>
  <c r="C24" i="2"/>
  <c r="D24" i="2" s="1"/>
  <c r="C12" i="2"/>
  <c r="D12" i="2" s="1"/>
  <c r="G33" i="6"/>
  <c r="G30" i="6"/>
  <c r="G28" i="6"/>
  <c r="G31" i="6"/>
  <c r="G29" i="6"/>
  <c r="G32" i="6"/>
  <c r="E42" i="5"/>
  <c r="F42" i="5" s="1"/>
  <c r="C60" i="6" s="1"/>
  <c r="F39" i="5"/>
  <c r="C36" i="6" l="1"/>
  <c r="C16" i="2"/>
  <c r="C13" i="2" l="1"/>
  <c r="D13" i="2" s="1"/>
  <c r="C37" i="6"/>
  <c r="C38" i="6"/>
  <c r="D16" i="2"/>
  <c r="C39" i="6" l="1"/>
  <c r="C57" i="6"/>
  <c r="C23" i="2" s="1"/>
  <c r="D23" i="2" s="1"/>
  <c r="C25" i="2"/>
  <c r="D25" i="2" s="1"/>
  <c r="D27" i="2" l="1"/>
  <c r="D29" i="2" s="1"/>
  <c r="C27" i="2"/>
  <c r="C2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Ryan Milhollin</author>
  </authors>
  <commentList>
    <comment ref="E26" authorId="0" shapeId="0" xr:uid="{00000000-0006-0000-0000-000001000000}">
      <text>
        <r>
          <rPr>
            <sz val="8"/>
            <color indexed="81"/>
            <rFont val="Tahoma"/>
            <family val="2"/>
          </rPr>
          <t>This ration mix assumes a nutritionist developed the ration and that these average daily rations represent those fed at the midpoint of this period</t>
        </r>
        <r>
          <rPr>
            <b/>
            <sz val="8"/>
            <color indexed="81"/>
            <rFont val="Tahoma"/>
            <family val="2"/>
          </rPr>
          <t xml:space="preserve">
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6" authorId="0" shapeId="0" xr:uid="{00000000-0006-0000-0000-000002000000}">
      <text>
        <r>
          <rPr>
            <sz val="8"/>
            <color indexed="81"/>
            <rFont val="Tahoma"/>
            <family val="2"/>
          </rPr>
          <t>This ration mix assumes a nutritionist developed the ration and that these average daily rations represent those fed at the midpoint of the animals' backgrounding growing period</t>
        </r>
        <r>
          <rPr>
            <b/>
            <sz val="8"/>
            <color indexed="81"/>
            <rFont val="Tahoma"/>
            <family val="2"/>
          </rPr>
          <t xml:space="preserve">
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60" authorId="0" shapeId="0" xr:uid="{00000000-0006-0000-0000-000003000000}">
      <text>
        <r>
          <rPr>
            <sz val="8"/>
            <color indexed="81"/>
            <rFont val="Tahoma"/>
            <family val="2"/>
          </rPr>
          <t xml:space="preserve">Yardage includes facilities, equipment,  utilities, fuel/oil, management and labor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Horner, Joe L.</author>
  </authors>
  <commentList>
    <comment ref="D1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Horner, Joe L.:</t>
        </r>
        <r>
          <rPr>
            <sz val="9"/>
            <color indexed="81"/>
            <rFont val="Tahoma"/>
            <family val="2"/>
          </rPr>
          <t xml:space="preserve">
Estimated fuel use at 0.044 galoon /PTOHP/Hr source: UMN Machinery Cost Guide.
</t>
        </r>
      </text>
    </comment>
  </commentList>
</comments>
</file>

<file path=xl/sharedStrings.xml><?xml version="1.0" encoding="utf-8"?>
<sst xmlns="http://schemas.openxmlformats.org/spreadsheetml/2006/main" count="263" uniqueCount="216">
  <si>
    <t xml:space="preserve">  head</t>
  </si>
  <si>
    <t xml:space="preserve">  days</t>
  </si>
  <si>
    <t>Other Operating Costs</t>
  </si>
  <si>
    <t>Cattle purchase price</t>
  </si>
  <si>
    <t>Days on feed</t>
  </si>
  <si>
    <t>Marketing costs</t>
  </si>
  <si>
    <t>Professional fees (legal, accounting, etc.)</t>
  </si>
  <si>
    <t>Miscellaneous</t>
  </si>
  <si>
    <t>Veterinary Medicine &amp; Supplies</t>
  </si>
  <si>
    <t>Total</t>
  </si>
  <si>
    <t xml:space="preserve">  percent</t>
  </si>
  <si>
    <t>Processing Costs</t>
  </si>
  <si>
    <t>Viral vaccine</t>
  </si>
  <si>
    <t>Clostridal vaccine</t>
  </si>
  <si>
    <t>Bacterial vaccine</t>
  </si>
  <si>
    <t>Ear tag</t>
  </si>
  <si>
    <t>Health Costs</t>
  </si>
  <si>
    <t xml:space="preserve">Number of feeders </t>
  </si>
  <si>
    <t>Buyers commission</t>
  </si>
  <si>
    <t>Total death loss</t>
  </si>
  <si>
    <t>Interest on operating costs</t>
  </si>
  <si>
    <t>INCOME:</t>
  </si>
  <si>
    <t>Cull sales</t>
  </si>
  <si>
    <t>INCOME OVER TOTAL COSTS</t>
  </si>
  <si>
    <t>Feed costs</t>
  </si>
  <si>
    <t>Yardage / overhead</t>
  </si>
  <si>
    <t>COSTS:</t>
  </si>
  <si>
    <t>Veterinary services</t>
  </si>
  <si>
    <t xml:space="preserve">Processing costs </t>
  </si>
  <si>
    <t>Health and treatment costs</t>
  </si>
  <si>
    <t>Transportation (departure)</t>
  </si>
  <si>
    <t>Yardage/overhead per day</t>
  </si>
  <si>
    <t>Per Head</t>
  </si>
  <si>
    <t>Feeder calf purchase (delivered)</t>
  </si>
  <si>
    <t>Total chronic sold</t>
  </si>
  <si>
    <t>Feeder cattle chronic rate (culled)</t>
  </si>
  <si>
    <t xml:space="preserve">Death loss </t>
  </si>
  <si>
    <t xml:space="preserve">             Total income</t>
  </si>
  <si>
    <t xml:space="preserve">               Total costs</t>
  </si>
  <si>
    <t>Per Group</t>
  </si>
  <si>
    <t>Percent of operating costs borrowed</t>
  </si>
  <si>
    <t>Percent of purchased feeder calf borrowed</t>
  </si>
  <si>
    <t>Interest on purchased feeder calf</t>
  </si>
  <si>
    <t>Yardage Calculation Tool</t>
  </si>
  <si>
    <t>Operation information</t>
  </si>
  <si>
    <t>Labor</t>
  </si>
  <si>
    <t>Utilities</t>
  </si>
  <si>
    <t xml:space="preserve">  $ per month</t>
  </si>
  <si>
    <t>Facilties and Equipment</t>
  </si>
  <si>
    <t>Value ($)</t>
  </si>
  <si>
    <t>Per Year</t>
  </si>
  <si>
    <t>Fencing</t>
  </si>
  <si>
    <t>Commodity storage sheds</t>
  </si>
  <si>
    <t>Cattle handling equipment</t>
  </si>
  <si>
    <t>Other</t>
  </si>
  <si>
    <t xml:space="preserve">   Interest rate on facilities and equipment</t>
  </si>
  <si>
    <t xml:space="preserve"> per year</t>
  </si>
  <si>
    <t xml:space="preserve">   Insurance rate on facilities and equipment</t>
  </si>
  <si>
    <t>Summary</t>
  </si>
  <si>
    <t>Per Day</t>
  </si>
  <si>
    <t>Facilities and equipment depreciation</t>
  </si>
  <si>
    <t>Facilities and equipment repairs</t>
  </si>
  <si>
    <t>Facilities and equipment interest</t>
  </si>
  <si>
    <t>Facilities and equipment insurance and taxes</t>
  </si>
  <si>
    <t>Fuel and oil</t>
  </si>
  <si>
    <t>Est chronic weight</t>
  </si>
  <si>
    <t>How many head does your operation hold?</t>
  </si>
  <si>
    <t>How many head does you feed per year?</t>
  </si>
  <si>
    <t>Average days on feed per group</t>
  </si>
  <si>
    <t>Avg. turns per year</t>
  </si>
  <si>
    <t>(See Yardage Calculator workbook to estimate if needed)</t>
  </si>
  <si>
    <t>Examples</t>
  </si>
  <si>
    <t>IBR, BVD, BRSV, PI3</t>
  </si>
  <si>
    <t>Parasite control</t>
  </si>
  <si>
    <t>Dewormers, lice, and fly control</t>
  </si>
  <si>
    <t>Blackleg</t>
  </si>
  <si>
    <t xml:space="preserve">Growth promoting implants </t>
  </si>
  <si>
    <t xml:space="preserve">   Property tax rate on facilities and equipment</t>
  </si>
  <si>
    <t>Death loss costs</t>
  </si>
  <si>
    <t xml:space="preserve">     -Commission</t>
  </si>
  <si>
    <t xml:space="preserve">     -Transportation</t>
  </si>
  <si>
    <t>Trucking cost (per group)</t>
  </si>
  <si>
    <t>Average cattle delivered cost</t>
  </si>
  <si>
    <t>Weighted average pay weight</t>
  </si>
  <si>
    <t>Weighted average cattle purchase price</t>
  </si>
  <si>
    <t>Weighted average buyers commission</t>
  </si>
  <si>
    <t>Pencil shrink at time of sale</t>
  </si>
  <si>
    <t xml:space="preserve">Feed Costs </t>
  </si>
  <si>
    <t>Total feed cost per lb of gain</t>
  </si>
  <si>
    <t>Total feed cost per day</t>
  </si>
  <si>
    <t>Price insurance (hedging, LRP, option premium)</t>
  </si>
  <si>
    <t>Mass medication upon arrival</t>
  </si>
  <si>
    <t>Processing done by veterinarian (Enter 0 if done by yourself)</t>
  </si>
  <si>
    <t>Salvage Value (%)</t>
  </si>
  <si>
    <t>Useful Life (years)</t>
  </si>
  <si>
    <t>Repair Rate</t>
  </si>
  <si>
    <t>Depreciation Per Year</t>
  </si>
  <si>
    <t>Repairs Per Year</t>
  </si>
  <si>
    <t>head</t>
  </si>
  <si>
    <t>days</t>
  </si>
  <si>
    <t>$ per head</t>
  </si>
  <si>
    <t>percent</t>
  </si>
  <si>
    <t>Price
per ton</t>
  </si>
  <si>
    <t>{"ButtonStyle":0,"Name":"","HideSscPoweredlogo":false,"CopyProtect":{"IsEnabled":false,"DomainName":""},"Theme":{"BgColor":"#FFFFFFFF","BgImage":"","InputBorderStyle":2},"Layout":0,"SmartphoneSettings":{"ViewportLock":true,"UseOldViewEngine":false,"EnableZoom":false,"EnableSwipe":false,"HideToolbar":false,"CheckboxFlavor":1},"SmartphoneTheme":0,"InputDetection":0,"Toolbar":{"Position":1,"IsSubmit":true,"IsPrint":true,"IsPrintAll":false,"IsReset":true,"IsUpdate":true},"AspnetConfig":{"BrowseUrl":"http://localhost/ssc","FileExtension":0},"ConfigureSubmit":{"IsShowCaptcha":false,"IsUseSscWebServer":true,"ReceiverCode":"","IsFreeService":false,"IsAdvanceService":false,"IsDemonstrationService":true,"AfterSuccessfulSubmit":"","AfterFailSubmit":"","AfterCancelWizard":"","IsUseOwnWebServer":false,"OwnWebServerURL":"","OwnWebServerTarget":""},"Flavor":-1,"Edition":0,"IgnoreBgInputCell":false}</t>
  </si>
  <si>
    <t>{"Captcha":{"Heading":"Enter the number displayed below.","Message":"This is to verify that you are a human visitor, to prevent automated form submissions.","OkButton":"OK","CancelButton":"Cancel","ErrorMessage":"Your answer is incorrect, please try again."},"RequiredField":{"ErrorMessage":"The fields with the red border are required.","OkButton":"OK"},"WizardButton":{"Next":"Next","Previous":"Previous","Cancel":"Cancel","Finish":"Finish"},"ToolbarButton":{"Submit":"Submit","Print":"Print","PrintAll":"Print All","Reset":"Reset","Update":"Update"},"BrowserAndLocation":{"Browsers":[{"Name":"iexplore.exe"},{"Name":"chrome.exe"},{"Name":"firefox.exe"}],"ConversionPath":"C:\\Users\\georgecr\\Documents\\SpreadsheetConverter"},"AdvancedSettingsModels":[{"Name":6,"Checked":false,"Text":null,"Double":null,"Value":null},{"Name":2,"Checked":true,"Text":null,"Double":null,"Value":null},{"Name":3,"Checked":false,"Text":null,"Double":null,"Value":null},{"Name":4,"Checked":null,"Text":"","Double":null,"Value":null}],"Dropbox":{"AccessToken":"","AccessSecret":""},"SpreadsheetServer":{"Username":"","Password":"","ServerUrl":""}}</t>
  </si>
  <si>
    <t>{"IsHide":false,"SheetId":6,"Name":"Input","HiddenRow":6,"VisibleRange":"","SheetTheme":{"TabColor":"","BodyColor":"","BodyImage":""}}</t>
  </si>
  <si>
    <t>{"IsHide":true,"SheetId":2,"Name":"Budget","HiddenRow":2,"VisibleRange":"","SheetTheme":{"TabColor":"","BodyColor":"","BodyImage":""}}</t>
  </si>
  <si>
    <t>{"IsHide":true,"SheetId":5,"Name":"Yardage Calculator","HiddenRow":5,"VisibleRange":"","SheetTheme":{"TabColor":"","BodyColor":"","BodyImage":""}}</t>
  </si>
  <si>
    <t>REMOVED</t>
  </si>
  <si>
    <t xml:space="preserve">Average daily gain </t>
  </si>
  <si>
    <t>lbs per head</t>
  </si>
  <si>
    <t>$ per cwt</t>
  </si>
  <si>
    <t>per group</t>
  </si>
  <si>
    <t>lbs</t>
  </si>
  <si>
    <t>lbs per day</t>
  </si>
  <si>
    <t>$ per head/ day</t>
  </si>
  <si>
    <t>$/ cwt</t>
  </si>
  <si>
    <t>% of total sales</t>
  </si>
  <si>
    <t>Total Yardage Cost</t>
  </si>
  <si>
    <t>Corn</t>
  </si>
  <si>
    <t>Concrete in front of bunks</t>
  </si>
  <si>
    <t>Steers</t>
  </si>
  <si>
    <t>Heifers</t>
  </si>
  <si>
    <t>Supplement with minerals, vitamins, additives</t>
  </si>
  <si>
    <t>Finishing Cattle Input Sheet</t>
  </si>
  <si>
    <t xml:space="preserve">Ration </t>
  </si>
  <si>
    <t>Average feed intake</t>
  </si>
  <si>
    <t>lbs D.M. per day</t>
  </si>
  <si>
    <t>lbs. per head</t>
  </si>
  <si>
    <t>$/hd/day</t>
  </si>
  <si>
    <t>Ration Cost</t>
  </si>
  <si>
    <t>Totals</t>
  </si>
  <si>
    <t>Total feed cost per head</t>
  </si>
  <si>
    <t>Total feed cost per lb dry matter fed</t>
  </si>
  <si>
    <t xml:space="preserve">Cost of labor </t>
  </si>
  <si>
    <t xml:space="preserve">  $ per hour</t>
  </si>
  <si>
    <t xml:space="preserve">Labor </t>
  </si>
  <si>
    <t xml:space="preserve">No worries.  Check this website out for answers.  https://www.asi.k-state.edu/about/newsletters/focus-on-feedlots/monthly-reports.html  They have really good data on questions #2 and #3.  </t>
  </si>
  <si>
    <t>As for rations…  Price the supplement around $600 per ton.  That’s middle of the road for minerals, vitamins and additives.  Here are a couple of examples.</t>
  </si>
  <si>
    <t>55% corn</t>
  </si>
  <si>
    <t>20% silage</t>
  </si>
  <si>
    <t xml:space="preserve">20% distillers grains </t>
  </si>
  <si>
    <t xml:space="preserve">5% supplement </t>
  </si>
  <si>
    <t>65% corn</t>
  </si>
  <si>
    <t>10% hay or corn stalks</t>
  </si>
  <si>
    <t>20% distillers grains</t>
  </si>
  <si>
    <t>5% supplement</t>
  </si>
  <si>
    <t>No byproduct, self-feeder type ration</t>
  </si>
  <si>
    <t>20% roughage (self-selected)</t>
  </si>
  <si>
    <t xml:space="preserve">70% corn </t>
  </si>
  <si>
    <t>10% commercial protein pellet</t>
  </si>
  <si>
    <t xml:space="preserve">I’m guessing the distance to slaughter will vary quite a bit.  It could be anywhere from 150-300 miles, depending on the place.  It is 230 miles from MU Thompson to Pleasant Hope.  </t>
  </si>
  <si>
    <t>Let me know if I can help with anything else.</t>
  </si>
  <si>
    <t>Regards,</t>
  </si>
  <si>
    <t xml:space="preserve">Eric </t>
  </si>
  <si>
    <t>From: Horner, Joe L. &lt;HornerJ@missouri.edu&gt;</t>
  </si>
  <si>
    <r>
      <t>Sent:</t>
    </r>
    <r>
      <rPr>
        <sz val="11"/>
        <color theme="1"/>
        <rFont val="Calibri"/>
        <family val="2"/>
        <scheme val="minor"/>
      </rPr>
      <t xml:space="preserve"> Tuesday, July 20, 2021 1:43 PM</t>
    </r>
  </si>
  <si>
    <r>
      <t>To:</t>
    </r>
    <r>
      <rPr>
        <sz val="11"/>
        <color theme="1"/>
        <rFont val="Calibri"/>
        <family val="2"/>
        <scheme val="minor"/>
      </rPr>
      <t xml:space="preserve"> Bailey, Eric &lt;baileyeric@missouri.edu&gt;; Humphrey, James R. &lt;humphreyjr@missouri.edu&gt;</t>
    </r>
  </si>
  <si>
    <t>Cc: Tucker, Wesley E. &lt;tuckerw@missouri.edu&gt;</t>
  </si>
  <si>
    <r>
      <t>Subject:</t>
    </r>
    <r>
      <rPr>
        <sz val="11"/>
        <color theme="1"/>
        <rFont val="Calibri"/>
        <family val="2"/>
        <scheme val="minor"/>
      </rPr>
      <t xml:space="preserve"> Can one of you point me to some sample rations for finishing?</t>
    </r>
  </si>
  <si>
    <t>Eric,</t>
  </si>
  <si>
    <t>Hate to bother you before you leave on vacation, so I’m copying Jim too with a few questions I had as I build budgets and case studies.</t>
  </si>
  <si>
    <t>1. Do you have typical rations you suggest or can point me toward?</t>
  </si>
  <si>
    <t>2. In weight and out weight</t>
  </si>
  <si>
    <t>3. ADG on Heifers and Steers?</t>
  </si>
  <si>
    <t>4. Trucking distance to slaughter?</t>
  </si>
  <si>
    <t>Thanks,</t>
  </si>
  <si>
    <t>Joe</t>
  </si>
  <si>
    <t>Joe Horner</t>
  </si>
  <si>
    <t>RevalorXS</t>
  </si>
  <si>
    <t xml:space="preserve">Live weight market price </t>
  </si>
  <si>
    <t xml:space="preserve">Average net premiums (discount) received </t>
  </si>
  <si>
    <t>Cattle sale live weight (unshrunk)</t>
  </si>
  <si>
    <t>$ per cwt live wt.</t>
  </si>
  <si>
    <t>Shrink</t>
  </si>
  <si>
    <t>Total in-bound trucking cost</t>
  </si>
  <si>
    <t>Marketing costs (sales commission)</t>
  </si>
  <si>
    <t>Interest on feeder calf purchased</t>
  </si>
  <si>
    <t>Estimate fuel use at 0.044 gal/PTO HP/Hr</t>
  </si>
  <si>
    <t>Tractor horse power</t>
  </si>
  <si>
    <t>Fuel price per gallon</t>
  </si>
  <si>
    <t>Tractor usage per day</t>
  </si>
  <si>
    <t>Fuel and oil costs</t>
  </si>
  <si>
    <t>Mannheimia, Histophilus, etc.</t>
  </si>
  <si>
    <t>2 Z Tags</t>
  </si>
  <si>
    <t>Incoming Profile</t>
  </si>
  <si>
    <t>Outgoing Profile</t>
  </si>
  <si>
    <t>$/head</t>
  </si>
  <si>
    <t>Value of manure above cost of handling</t>
  </si>
  <si>
    <t>Feed/gain (dry basis)</t>
  </si>
  <si>
    <t>Estimated treatment cost</t>
  </si>
  <si>
    <t xml:space="preserve">Value of manure, above cost of handling </t>
  </si>
  <si>
    <t>Corn silage</t>
  </si>
  <si>
    <t>Hay or corn stalks</t>
  </si>
  <si>
    <t>Used 70 HP tractor with loader</t>
  </si>
  <si>
    <t>Finishing Cattle Budget</t>
  </si>
  <si>
    <t>Total calves finished</t>
  </si>
  <si>
    <t>Finished cattle sales</t>
  </si>
  <si>
    <t>Established water lines, lights for outdoor feedlot</t>
  </si>
  <si>
    <t>Site preparation/grading</t>
  </si>
  <si>
    <t xml:space="preserve">Average in-weight </t>
  </si>
  <si>
    <t>Total gain</t>
  </si>
  <si>
    <t>Dried distiller's grains</t>
  </si>
  <si>
    <t>Commercial 10% protein pellets</t>
  </si>
  <si>
    <t>Dry matter %</t>
  </si>
  <si>
    <t>in feedstuff</t>
  </si>
  <si>
    <t>% in diet         (dry matter)</t>
  </si>
  <si>
    <t>Est chronic price</t>
  </si>
  <si>
    <t xml:space="preserve">  minutes per day</t>
  </si>
  <si>
    <t xml:space="preserve">  PTO HP of tractor used on feed wagon</t>
  </si>
  <si>
    <t xml:space="preserve">  $/gallon</t>
  </si>
  <si>
    <t xml:space="preserve">  $/day</t>
  </si>
  <si>
    <t>J Bunks on concrete</t>
  </si>
  <si>
    <t>2 used Feed Train T45 Wagons</t>
  </si>
  <si>
    <t>Updated:  January 2022</t>
  </si>
  <si>
    <t>Feed mixer wagon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</si>
</sst>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-&quot;£&quot;* #,##0_-;\-&quot;£&quot;* #,##0_-;_-&quot;£&quot;* &quot;-&quot;_-;_-@_-"/>
    <numFmt numFmtId="166" formatCode="_-&quot;£&quot;* #,##0.00_-;\-&quot;£&quot;* #,##0.00_-;_-&quot;£&quot;* &quot;-&quot;??_-;_-@_-"/>
    <numFmt numFmtId="167" formatCode="&quot;$&quot;#,##0.00"/>
    <numFmt numFmtId="168" formatCode="&quot;$&quot;#,##0"/>
    <numFmt numFmtId="169" formatCode="0.0%"/>
    <numFmt numFmtId="170" formatCode="#,##0.0000_);[Red]\(#,##0.0000\)"/>
    <numFmt numFmtId="171" formatCode="0.0"/>
    <numFmt numFmtId="172" formatCode="_(* #,##0_);_(* \(#,##0\);_(* &quot;-&quot;??_);_(@_)"/>
  </numFmts>
  <fonts count="35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u/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1"/>
      <name val="Arial"/>
      <family val="2"/>
    </font>
    <font>
      <b/>
      <sz val="16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8">
    <xf numFmtId="0" fontId="0" fillId="0" borderId="0"/>
    <xf numFmtId="43" fontId="11" fillId="0" borderId="0" applyFont="0" applyFill="0" applyBorder="0" applyAlignment="0" applyProtection="0"/>
    <xf numFmtId="6" fontId="3" fillId="0" borderId="0"/>
    <xf numFmtId="6" fontId="2" fillId="0" borderId="0">
      <protection locked="0"/>
    </xf>
    <xf numFmtId="8" fontId="3" fillId="0" borderId="0"/>
    <xf numFmtId="8" fontId="2" fillId="0" borderId="0">
      <protection locked="0"/>
    </xf>
    <xf numFmtId="38" fontId="3" fillId="0" borderId="0"/>
    <xf numFmtId="38" fontId="2" fillId="0" borderId="0">
      <protection locked="0"/>
    </xf>
    <xf numFmtId="164" fontId="3" fillId="0" borderId="0"/>
    <xf numFmtId="164" fontId="2" fillId="0" borderId="0">
      <protection locked="0"/>
    </xf>
    <xf numFmtId="40" fontId="3" fillId="0" borderId="0"/>
    <xf numFmtId="40" fontId="2" fillId="0" borderId="0">
      <protection locked="0"/>
    </xf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" fillId="0" borderId="0">
      <alignment vertical="top"/>
    </xf>
    <xf numFmtId="0" fontId="3" fillId="0" borderId="0"/>
    <xf numFmtId="38" fontId="4" fillId="2" borderId="1"/>
    <xf numFmtId="38" fontId="6" fillId="0" borderId="1">
      <protection locked="0"/>
    </xf>
    <xf numFmtId="164" fontId="4" fillId="3" borderId="1"/>
    <xf numFmtId="164" fontId="6" fillId="0" borderId="1">
      <protection locked="0"/>
    </xf>
    <xf numFmtId="40" fontId="4" fillId="3" borderId="1"/>
    <xf numFmtId="40" fontId="6" fillId="0" borderId="1">
      <protection locked="0"/>
    </xf>
    <xf numFmtId="9" fontId="11" fillId="0" borderId="0" applyFont="0" applyFill="0" applyBorder="0" applyAlignment="0" applyProtection="0"/>
    <xf numFmtId="10" fontId="4" fillId="2" borderId="1"/>
    <xf numFmtId="10" fontId="6" fillId="4" borderId="1">
      <protection locked="0"/>
    </xf>
    <xf numFmtId="0" fontId="5" fillId="5" borderId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</cellStyleXfs>
  <cellXfs count="259">
    <xf numFmtId="0" fontId="0" fillId="0" borderId="0" xfId="0"/>
    <xf numFmtId="0" fontId="0" fillId="6" borderId="0" xfId="0" applyFont="1" applyFill="1"/>
    <xf numFmtId="0" fontId="0" fillId="6" borderId="0" xfId="0" applyFont="1" applyFill="1" applyAlignment="1">
      <alignment vertical="center"/>
    </xf>
    <xf numFmtId="0" fontId="0" fillId="6" borderId="0" xfId="0" applyFont="1" applyFill="1" applyProtection="1"/>
    <xf numFmtId="0" fontId="0" fillId="6" borderId="0" xfId="0" applyFont="1" applyFill="1" applyAlignment="1" applyProtection="1">
      <alignment vertical="center"/>
    </xf>
    <xf numFmtId="5" fontId="14" fillId="7" borderId="2" xfId="14" applyNumberFormat="1" applyFont="1" applyFill="1" applyBorder="1" applyAlignment="1" applyProtection="1">
      <alignment horizontal="center"/>
    </xf>
    <xf numFmtId="5" fontId="15" fillId="6" borderId="3" xfId="14" applyNumberFormat="1" applyFont="1" applyFill="1" applyBorder="1" applyAlignment="1" applyProtection="1"/>
    <xf numFmtId="5" fontId="15" fillId="6" borderId="5" xfId="14" applyNumberFormat="1" applyFont="1" applyFill="1" applyBorder="1" applyAlignment="1" applyProtection="1"/>
    <xf numFmtId="38" fontId="16" fillId="8" borderId="0" xfId="7" applyFont="1" applyFill="1" applyBorder="1" applyProtection="1">
      <protection locked="0"/>
    </xf>
    <xf numFmtId="8" fontId="16" fillId="8" borderId="0" xfId="5" applyFont="1" applyFill="1" applyBorder="1" applyProtection="1">
      <protection locked="0"/>
    </xf>
    <xf numFmtId="8" fontId="16" fillId="8" borderId="0" xfId="7" applyNumberFormat="1" applyFont="1" applyFill="1" applyBorder="1" applyProtection="1">
      <protection locked="0"/>
    </xf>
    <xf numFmtId="38" fontId="16" fillId="6" borderId="0" xfId="5" applyNumberFormat="1" applyFont="1" applyFill="1" applyBorder="1" applyProtection="1"/>
    <xf numFmtId="167" fontId="15" fillId="6" borderId="0" xfId="14" applyNumberFormat="1" applyFont="1" applyFill="1" applyBorder="1" applyAlignment="1" applyProtection="1"/>
    <xf numFmtId="169" fontId="16" fillId="8" borderId="0" xfId="11" applyNumberFormat="1" applyFont="1" applyFill="1" applyBorder="1" applyProtection="1">
      <protection locked="0"/>
    </xf>
    <xf numFmtId="38" fontId="15" fillId="8" borderId="0" xfId="6" applyFont="1" applyFill="1" applyBorder="1" applyProtection="1">
      <protection locked="0"/>
    </xf>
    <xf numFmtId="40" fontId="16" fillId="6" borderId="0" xfId="9" applyNumberFormat="1" applyFont="1" applyFill="1" applyBorder="1" applyProtection="1"/>
    <xf numFmtId="5" fontId="15" fillId="6" borderId="6" xfId="14" applyNumberFormat="1" applyFont="1" applyFill="1" applyBorder="1" applyAlignment="1" applyProtection="1"/>
    <xf numFmtId="5" fontId="17" fillId="7" borderId="3" xfId="14" applyNumberFormat="1" applyFont="1" applyFill="1" applyBorder="1" applyAlignment="1" applyProtection="1"/>
    <xf numFmtId="5" fontId="14" fillId="7" borderId="7" xfId="14" applyNumberFormat="1" applyFont="1" applyFill="1" applyBorder="1" applyAlignment="1" applyProtection="1"/>
    <xf numFmtId="5" fontId="15" fillId="8" borderId="3" xfId="14" applyNumberFormat="1" applyFont="1" applyFill="1" applyBorder="1" applyAlignment="1" applyProtection="1">
      <protection locked="0"/>
    </xf>
    <xf numFmtId="5" fontId="15" fillId="6" borderId="4" xfId="14" applyNumberFormat="1" applyFont="1" applyFill="1" applyBorder="1" applyAlignment="1" applyProtection="1"/>
    <xf numFmtId="5" fontId="15" fillId="8" borderId="5" xfId="14" applyNumberFormat="1" applyFont="1" applyFill="1" applyBorder="1" applyAlignment="1" applyProtection="1">
      <protection locked="0"/>
    </xf>
    <xf numFmtId="8" fontId="15" fillId="8" borderId="0" xfId="5" applyFont="1" applyFill="1" applyBorder="1" applyProtection="1">
      <protection locked="0"/>
    </xf>
    <xf numFmtId="0" fontId="0" fillId="6" borderId="0" xfId="0" applyFont="1" applyFill="1" applyBorder="1" applyProtection="1"/>
    <xf numFmtId="170" fontId="15" fillId="6" borderId="5" xfId="6" applyNumberFormat="1" applyFont="1" applyFill="1" applyBorder="1" applyAlignment="1" applyProtection="1">
      <alignment horizontal="left"/>
    </xf>
    <xf numFmtId="8" fontId="15" fillId="6" borderId="0" xfId="11" applyNumberFormat="1" applyFont="1" applyFill="1" applyBorder="1" applyProtection="1"/>
    <xf numFmtId="8" fontId="15" fillId="6" borderId="0" xfId="5" applyFont="1" applyFill="1" applyBorder="1" applyProtection="1"/>
    <xf numFmtId="5" fontId="18" fillId="6" borderId="5" xfId="14" applyNumberFormat="1" applyFont="1" applyFill="1" applyBorder="1" applyAlignment="1" applyProtection="1"/>
    <xf numFmtId="8" fontId="15" fillId="8" borderId="0" xfId="11" applyNumberFormat="1" applyFont="1" applyFill="1" applyBorder="1" applyProtection="1">
      <protection locked="0"/>
    </xf>
    <xf numFmtId="7" fontId="20" fillId="6" borderId="0" xfId="14" applyNumberFormat="1" applyFont="1" applyFill="1" applyBorder="1" applyAlignment="1" applyProtection="1">
      <alignment horizontal="right"/>
    </xf>
    <xf numFmtId="5" fontId="15" fillId="6" borderId="0" xfId="14" applyNumberFormat="1" applyFont="1" applyFill="1" applyBorder="1" applyAlignment="1" applyProtection="1"/>
    <xf numFmtId="169" fontId="15" fillId="8" borderId="0" xfId="6" applyNumberFormat="1" applyFont="1" applyFill="1" applyBorder="1" applyAlignment="1" applyProtection="1">
      <alignment horizontal="right"/>
      <protection locked="0"/>
    </xf>
    <xf numFmtId="5" fontId="19" fillId="6" borderId="0" xfId="14" applyNumberFormat="1" applyFont="1" applyFill="1" applyBorder="1" applyAlignment="1" applyProtection="1"/>
    <xf numFmtId="167" fontId="16" fillId="6" borderId="0" xfId="11" applyNumberFormat="1" applyFont="1" applyFill="1" applyBorder="1" applyProtection="1"/>
    <xf numFmtId="169" fontId="15" fillId="8" borderId="0" xfId="5" applyNumberFormat="1" applyFont="1" applyFill="1" applyBorder="1" applyProtection="1">
      <protection locked="0"/>
    </xf>
    <xf numFmtId="167" fontId="15" fillId="8" borderId="0" xfId="5" applyNumberFormat="1" applyFont="1" applyFill="1" applyBorder="1" applyProtection="1">
      <protection locked="0"/>
    </xf>
    <xf numFmtId="167" fontId="15" fillId="8" borderId="0" xfId="14" applyNumberFormat="1" applyFont="1" applyFill="1" applyBorder="1" applyAlignment="1" applyProtection="1">
      <protection locked="0"/>
    </xf>
    <xf numFmtId="0" fontId="16" fillId="6" borderId="0" xfId="0" applyFont="1" applyFill="1"/>
    <xf numFmtId="168" fontId="16" fillId="6" borderId="0" xfId="0" applyNumberFormat="1" applyFont="1" applyFill="1"/>
    <xf numFmtId="0" fontId="21" fillId="6" borderId="0" xfId="0" applyFont="1" applyFill="1" applyProtection="1"/>
    <xf numFmtId="0" fontId="16" fillId="6" borderId="0" xfId="0" applyFont="1" applyFill="1" applyProtection="1"/>
    <xf numFmtId="0" fontId="16" fillId="6" borderId="0" xfId="0" applyFont="1" applyFill="1" applyBorder="1" applyProtection="1"/>
    <xf numFmtId="1" fontId="15" fillId="8" borderId="0" xfId="3" applyNumberFormat="1" applyFont="1" applyFill="1" applyBorder="1" applyProtection="1">
      <protection locked="0"/>
    </xf>
    <xf numFmtId="171" fontId="16" fillId="6" borderId="0" xfId="0" applyNumberFormat="1" applyFont="1" applyFill="1" applyBorder="1" applyAlignment="1" applyProtection="1">
      <alignment horizontal="center"/>
    </xf>
    <xf numFmtId="6" fontId="15" fillId="8" borderId="0" xfId="3" applyNumberFormat="1" applyFont="1" applyFill="1" applyBorder="1" applyProtection="1">
      <protection locked="0"/>
    </xf>
    <xf numFmtId="6" fontId="15" fillId="8" borderId="0" xfId="3" applyFont="1" applyFill="1" applyBorder="1" applyProtection="1">
      <protection locked="0"/>
    </xf>
    <xf numFmtId="9" fontId="15" fillId="8" borderId="0" xfId="7" applyNumberFormat="1" applyFont="1" applyFill="1" applyBorder="1" applyProtection="1">
      <protection locked="0"/>
    </xf>
    <xf numFmtId="38" fontId="15" fillId="8" borderId="0" xfId="7" applyFont="1" applyFill="1" applyBorder="1" applyProtection="1">
      <protection locked="0"/>
    </xf>
    <xf numFmtId="169" fontId="15" fillId="8" borderId="0" xfId="14" applyNumberFormat="1" applyFont="1" applyFill="1" applyBorder="1" applyAlignment="1" applyProtection="1">
      <protection locked="0"/>
    </xf>
    <xf numFmtId="6" fontId="15" fillId="6" borderId="0" xfId="2" applyFont="1" applyFill="1" applyBorder="1" applyProtection="1"/>
    <xf numFmtId="38" fontId="19" fillId="6" borderId="0" xfId="7" applyFont="1" applyFill="1" applyBorder="1" applyProtection="1"/>
    <xf numFmtId="7" fontId="15" fillId="6" borderId="0" xfId="7" applyNumberFormat="1" applyFont="1" applyFill="1" applyBorder="1" applyProtection="1"/>
    <xf numFmtId="7" fontId="15" fillId="6" borderId="0" xfId="12" applyNumberFormat="1" applyFont="1" applyFill="1" applyBorder="1" applyAlignment="1" applyProtection="1"/>
    <xf numFmtId="168" fontId="15" fillId="6" borderId="0" xfId="7" applyNumberFormat="1" applyFont="1" applyFill="1" applyBorder="1" applyProtection="1"/>
    <xf numFmtId="5" fontId="22" fillId="7" borderId="8" xfId="14" applyNumberFormat="1" applyFont="1" applyFill="1" applyBorder="1" applyAlignment="1" applyProtection="1">
      <alignment horizontal="left"/>
    </xf>
    <xf numFmtId="0" fontId="21" fillId="6" borderId="0" xfId="0" applyFont="1" applyFill="1"/>
    <xf numFmtId="5" fontId="14" fillId="7" borderId="2" xfId="14" applyNumberFormat="1" applyFont="1" applyFill="1" applyBorder="1" applyAlignment="1" applyProtection="1">
      <alignment horizontal="right"/>
    </xf>
    <xf numFmtId="0" fontId="0" fillId="6" borderId="0" xfId="0" applyFont="1" applyFill="1" applyBorder="1" applyAlignment="1" applyProtection="1"/>
    <xf numFmtId="0" fontId="0" fillId="6" borderId="9" xfId="0" applyFont="1" applyFill="1" applyBorder="1" applyAlignment="1" applyProtection="1"/>
    <xf numFmtId="0" fontId="16" fillId="6" borderId="0" xfId="0" applyFont="1" applyFill="1" applyBorder="1" applyAlignment="1" applyProtection="1"/>
    <xf numFmtId="5" fontId="23" fillId="6" borderId="0" xfId="14" applyNumberFormat="1" applyFont="1" applyFill="1" applyBorder="1" applyAlignment="1" applyProtection="1"/>
    <xf numFmtId="0" fontId="0" fillId="6" borderId="4" xfId="0" applyFont="1" applyFill="1" applyBorder="1" applyAlignment="1" applyProtection="1"/>
    <xf numFmtId="8" fontId="16" fillId="6" borderId="9" xfId="5" applyFont="1" applyFill="1" applyBorder="1" applyAlignment="1" applyProtection="1"/>
    <xf numFmtId="8" fontId="16" fillId="6" borderId="10" xfId="5" applyFont="1" applyFill="1" applyBorder="1" applyAlignment="1" applyProtection="1"/>
    <xf numFmtId="0" fontId="24" fillId="7" borderId="11" xfId="0" applyFont="1" applyFill="1" applyBorder="1" applyAlignment="1">
      <alignment horizontal="center" vertical="top"/>
    </xf>
    <xf numFmtId="0" fontId="25" fillId="6" borderId="12" xfId="0" applyFont="1" applyFill="1" applyBorder="1"/>
    <xf numFmtId="0" fontId="16" fillId="6" borderId="13" xfId="0" applyFont="1" applyFill="1" applyBorder="1"/>
    <xf numFmtId="0" fontId="16" fillId="6" borderId="14" xfId="0" applyFont="1" applyFill="1" applyBorder="1"/>
    <xf numFmtId="0" fontId="16" fillId="6" borderId="12" xfId="0" applyFont="1" applyFill="1" applyBorder="1"/>
    <xf numFmtId="8" fontId="16" fillId="6" borderId="13" xfId="0" applyNumberFormat="1" applyFont="1" applyFill="1" applyBorder="1"/>
    <xf numFmtId="7" fontId="16" fillId="6" borderId="13" xfId="0" applyNumberFormat="1" applyFont="1" applyFill="1" applyBorder="1"/>
    <xf numFmtId="0" fontId="0" fillId="6" borderId="12" xfId="0" applyFont="1" applyFill="1" applyBorder="1"/>
    <xf numFmtId="6" fontId="16" fillId="6" borderId="13" xfId="0" applyNumberFormat="1" applyFont="1" applyFill="1" applyBorder="1"/>
    <xf numFmtId="6" fontId="16" fillId="6" borderId="14" xfId="0" applyNumberFormat="1" applyFont="1" applyFill="1" applyBorder="1"/>
    <xf numFmtId="5" fontId="15" fillId="6" borderId="13" xfId="14" applyNumberFormat="1" applyFont="1" applyFill="1" applyBorder="1" applyAlignment="1" applyProtection="1"/>
    <xf numFmtId="0" fontId="0" fillId="6" borderId="13" xfId="0" applyFont="1" applyFill="1" applyBorder="1"/>
    <xf numFmtId="8" fontId="16" fillId="6" borderId="14" xfId="0" applyNumberFormat="1" applyFont="1" applyFill="1" applyBorder="1"/>
    <xf numFmtId="6" fontId="16" fillId="6" borderId="12" xfId="0" applyNumberFormat="1" applyFont="1" applyFill="1" applyBorder="1"/>
    <xf numFmtId="0" fontId="25" fillId="6" borderId="13" xfId="0" applyFont="1" applyFill="1" applyBorder="1"/>
    <xf numFmtId="0" fontId="0" fillId="6" borderId="14" xfId="0" applyFont="1" applyFill="1" applyBorder="1"/>
    <xf numFmtId="7" fontId="15" fillId="6" borderId="4" xfId="7" applyNumberFormat="1" applyFont="1" applyFill="1" applyBorder="1" applyProtection="1"/>
    <xf numFmtId="7" fontId="15" fillId="6" borderId="4" xfId="12" applyNumberFormat="1" applyFont="1" applyFill="1" applyBorder="1" applyAlignment="1" applyProtection="1"/>
    <xf numFmtId="5" fontId="20" fillId="6" borderId="7" xfId="14" applyNumberFormat="1" applyFont="1" applyFill="1" applyBorder="1" applyAlignment="1" applyProtection="1">
      <alignment horizontal="right"/>
    </xf>
    <xf numFmtId="7" fontId="20" fillId="6" borderId="9" xfId="7" applyNumberFormat="1" applyFont="1" applyFill="1" applyBorder="1" applyProtection="1"/>
    <xf numFmtId="7" fontId="20" fillId="6" borderId="9" xfId="12" applyNumberFormat="1" applyFont="1" applyFill="1" applyBorder="1" applyAlignment="1" applyProtection="1"/>
    <xf numFmtId="0" fontId="26" fillId="7" borderId="2" xfId="0" applyFont="1" applyFill="1" applyBorder="1" applyProtection="1"/>
    <xf numFmtId="10" fontId="14" fillId="7" borderId="2" xfId="7" applyNumberFormat="1" applyFont="1" applyFill="1" applyBorder="1" applyAlignment="1" applyProtection="1">
      <alignment horizontal="right"/>
    </xf>
    <xf numFmtId="6" fontId="15" fillId="8" borderId="4" xfId="3" applyFont="1" applyFill="1" applyBorder="1" applyProtection="1">
      <protection locked="0"/>
    </xf>
    <xf numFmtId="9" fontId="15" fillId="8" borderId="4" xfId="7" applyNumberFormat="1" applyFont="1" applyFill="1" applyBorder="1" applyProtection="1">
      <protection locked="0"/>
    </xf>
    <xf numFmtId="38" fontId="15" fillId="8" borderId="4" xfId="7" applyFont="1" applyFill="1" applyBorder="1" applyProtection="1">
      <protection locked="0"/>
    </xf>
    <xf numFmtId="169" fontId="15" fillId="8" borderId="4" xfId="14" applyNumberFormat="1" applyFont="1" applyFill="1" applyBorder="1" applyAlignment="1" applyProtection="1">
      <protection locked="0"/>
    </xf>
    <xf numFmtId="6" fontId="16" fillId="6" borderId="11" xfId="0" applyNumberFormat="1" applyFont="1" applyFill="1" applyBorder="1" applyProtection="1"/>
    <xf numFmtId="6" fontId="16" fillId="6" borderId="6" xfId="0" applyNumberFormat="1" applyFont="1" applyFill="1" applyBorder="1" applyProtection="1"/>
    <xf numFmtId="5" fontId="20" fillId="6" borderId="5" xfId="14" applyNumberFormat="1" applyFont="1" applyFill="1" applyBorder="1" applyAlignment="1" applyProtection="1">
      <alignment horizontal="right"/>
    </xf>
    <xf numFmtId="5" fontId="20" fillId="6" borderId="5" xfId="14" applyNumberFormat="1" applyFont="1" applyFill="1" applyBorder="1" applyAlignment="1" applyProtection="1"/>
    <xf numFmtId="5" fontId="27" fillId="7" borderId="4" xfId="14" applyNumberFormat="1" applyFont="1" applyFill="1" applyBorder="1" applyAlignment="1" applyProtection="1"/>
    <xf numFmtId="5" fontId="27" fillId="7" borderId="9" xfId="14" applyNumberFormat="1" applyFont="1" applyFill="1" applyBorder="1" applyAlignment="1" applyProtection="1"/>
    <xf numFmtId="0" fontId="15" fillId="6" borderId="3" xfId="0" applyFont="1" applyFill="1" applyBorder="1" applyProtection="1"/>
    <xf numFmtId="0" fontId="16" fillId="6" borderId="4" xfId="0" applyFont="1" applyFill="1" applyBorder="1" applyProtection="1"/>
    <xf numFmtId="0" fontId="0" fillId="6" borderId="4" xfId="0" applyFont="1" applyFill="1" applyBorder="1" applyProtection="1"/>
    <xf numFmtId="0" fontId="15" fillId="6" borderId="5" xfId="0" applyFont="1" applyFill="1" applyBorder="1" applyProtection="1"/>
    <xf numFmtId="0" fontId="16" fillId="6" borderId="6" xfId="0" applyFont="1" applyFill="1" applyBorder="1" applyProtection="1"/>
    <xf numFmtId="0" fontId="0" fillId="6" borderId="6" xfId="0" applyFont="1" applyFill="1" applyBorder="1" applyAlignment="1" applyProtection="1">
      <alignment horizontal="center"/>
    </xf>
    <xf numFmtId="7" fontId="19" fillId="6" borderId="0" xfId="14" applyNumberFormat="1" applyFont="1" applyFill="1" applyBorder="1" applyAlignment="1" applyProtection="1">
      <alignment horizontal="left" indent="1"/>
    </xf>
    <xf numFmtId="7" fontId="19" fillId="6" borderId="6" xfId="14" applyNumberFormat="1" applyFont="1" applyFill="1" applyBorder="1" applyAlignment="1" applyProtection="1">
      <alignment horizontal="left" indent="1"/>
    </xf>
    <xf numFmtId="0" fontId="0" fillId="6" borderId="0" xfId="0" applyFont="1" applyFill="1" applyBorder="1" applyAlignment="1" applyProtection="1">
      <alignment horizontal="left"/>
    </xf>
    <xf numFmtId="0" fontId="16" fillId="6" borderId="0" xfId="0" applyFont="1" applyFill="1" applyBorder="1" applyAlignment="1" applyProtection="1">
      <alignment horizontal="center"/>
    </xf>
    <xf numFmtId="0" fontId="16" fillId="6" borderId="6" xfId="0" applyFont="1" applyFill="1" applyBorder="1" applyAlignment="1" applyProtection="1">
      <alignment horizontal="center"/>
    </xf>
    <xf numFmtId="9" fontId="15" fillId="8" borderId="0" xfId="22" applyFont="1" applyFill="1" applyBorder="1" applyAlignment="1" applyProtection="1">
      <protection locked="0"/>
    </xf>
    <xf numFmtId="38" fontId="16" fillId="6" borderId="0" xfId="7" applyFont="1" applyFill="1" applyBorder="1" applyProtection="1">
      <protection locked="0"/>
    </xf>
    <xf numFmtId="8" fontId="16" fillId="6" borderId="0" xfId="5" applyFont="1" applyFill="1" applyBorder="1" applyProtection="1">
      <protection locked="0"/>
    </xf>
    <xf numFmtId="8" fontId="16" fillId="6" borderId="0" xfId="7" applyNumberFormat="1" applyFont="1" applyFill="1" applyBorder="1" applyProtection="1">
      <protection locked="0"/>
    </xf>
    <xf numFmtId="40" fontId="15" fillId="8" borderId="0" xfId="6" applyNumberFormat="1" applyFont="1" applyFill="1" applyBorder="1" applyProtection="1">
      <protection locked="0"/>
    </xf>
    <xf numFmtId="5" fontId="15" fillId="6" borderId="0" xfId="14" applyNumberFormat="1" applyFont="1" applyFill="1" applyBorder="1" applyAlignment="1" applyProtection="1">
      <protection locked="0"/>
    </xf>
    <xf numFmtId="8" fontId="15" fillId="6" borderId="0" xfId="5" applyFont="1" applyFill="1" applyBorder="1" applyProtection="1">
      <protection locked="0"/>
    </xf>
    <xf numFmtId="2" fontId="15" fillId="6" borderId="6" xfId="11" applyNumberFormat="1" applyFont="1" applyFill="1" applyBorder="1" applyAlignment="1" applyProtection="1">
      <alignment horizontal="center"/>
      <protection locked="0"/>
    </xf>
    <xf numFmtId="9" fontId="15" fillId="6" borderId="0" xfId="22" applyFont="1" applyFill="1" applyBorder="1" applyAlignment="1" applyProtection="1">
      <alignment horizontal="center"/>
    </xf>
    <xf numFmtId="9" fontId="15" fillId="8" borderId="0" xfId="22" applyFont="1" applyFill="1" applyBorder="1" applyAlignment="1" applyProtection="1">
      <alignment horizontal="center"/>
      <protection locked="0"/>
    </xf>
    <xf numFmtId="7" fontId="15" fillId="6" borderId="9" xfId="14" applyNumberFormat="1" applyFont="1" applyFill="1" applyBorder="1" applyAlignment="1" applyProtection="1">
      <alignment horizontal="right"/>
    </xf>
    <xf numFmtId="0" fontId="0" fillId="6" borderId="5" xfId="0" applyFont="1" applyFill="1" applyBorder="1"/>
    <xf numFmtId="5" fontId="15" fillId="6" borderId="5" xfId="14" applyNumberFormat="1" applyFont="1" applyFill="1" applyBorder="1" applyAlignment="1" applyProtection="1">
      <alignment horizontal="left"/>
    </xf>
    <xf numFmtId="7" fontId="15" fillId="6" borderId="0" xfId="14" applyNumberFormat="1" applyFont="1" applyFill="1" applyBorder="1" applyAlignment="1" applyProtection="1">
      <alignment horizontal="right"/>
    </xf>
    <xf numFmtId="0" fontId="0" fillId="6" borderId="6" xfId="0" applyFont="1" applyFill="1" applyBorder="1"/>
    <xf numFmtId="0" fontId="0" fillId="0" borderId="0" xfId="0" applyAlignment="1">
      <alignment vertical="center"/>
    </xf>
    <xf numFmtId="0" fontId="28" fillId="0" borderId="0" xfId="0" applyFont="1" applyAlignment="1">
      <alignment vertical="center"/>
    </xf>
    <xf numFmtId="0" fontId="12" fillId="0" borderId="0" xfId="13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7" fontId="19" fillId="6" borderId="0" xfId="14" applyNumberFormat="1" applyFont="1" applyFill="1" applyBorder="1" applyAlignment="1" applyProtection="1">
      <alignment horizontal="left" indent="1"/>
    </xf>
    <xf numFmtId="7" fontId="19" fillId="6" borderId="6" xfId="14" applyNumberFormat="1" applyFont="1" applyFill="1" applyBorder="1" applyAlignment="1" applyProtection="1">
      <alignment horizontal="left" indent="1"/>
    </xf>
    <xf numFmtId="5" fontId="15" fillId="6" borderId="0" xfId="14" applyNumberFormat="1" applyFont="1" applyFill="1" applyBorder="1" applyAlignment="1" applyProtection="1">
      <alignment horizontal="right"/>
    </xf>
    <xf numFmtId="38" fontId="15" fillId="6" borderId="0" xfId="11" applyNumberFormat="1" applyFont="1" applyFill="1" applyBorder="1" applyAlignment="1" applyProtection="1">
      <alignment horizontal="left"/>
    </xf>
    <xf numFmtId="38" fontId="15" fillId="6" borderId="6" xfId="11" applyNumberFormat="1" applyFont="1" applyFill="1" applyBorder="1" applyAlignment="1" applyProtection="1">
      <alignment horizontal="left"/>
    </xf>
    <xf numFmtId="0" fontId="16" fillId="6" borderId="0" xfId="0" applyFont="1" applyFill="1" applyBorder="1" applyAlignment="1" applyProtection="1">
      <alignment horizontal="center"/>
    </xf>
    <xf numFmtId="0" fontId="16" fillId="6" borderId="6" xfId="0" applyFont="1" applyFill="1" applyBorder="1" applyAlignment="1" applyProtection="1">
      <alignment horizontal="center"/>
    </xf>
    <xf numFmtId="9" fontId="15" fillId="6" borderId="0" xfId="12" applyNumberFormat="1" applyFont="1" applyFill="1" applyBorder="1" applyAlignment="1" applyProtection="1">
      <alignment horizontal="right"/>
    </xf>
    <xf numFmtId="172" fontId="15" fillId="8" borderId="0" xfId="1" applyNumberFormat="1" applyFont="1" applyFill="1" applyBorder="1" applyProtection="1">
      <protection locked="0"/>
    </xf>
    <xf numFmtId="7" fontId="19" fillId="6" borderId="0" xfId="14" applyNumberFormat="1" applyFont="1" applyFill="1" applyBorder="1" applyAlignment="1" applyProtection="1">
      <alignment horizontal="left" indent="1"/>
    </xf>
    <xf numFmtId="7" fontId="19" fillId="6" borderId="6" xfId="14" applyNumberFormat="1" applyFont="1" applyFill="1" applyBorder="1" applyAlignment="1" applyProtection="1">
      <alignment horizontal="left" indent="1"/>
    </xf>
    <xf numFmtId="5" fontId="15" fillId="6" borderId="0" xfId="14" applyNumberFormat="1" applyFont="1" applyFill="1" applyBorder="1" applyAlignment="1" applyProtection="1">
      <alignment horizontal="right"/>
    </xf>
    <xf numFmtId="169" fontId="15" fillId="0" borderId="0" xfId="6" applyNumberFormat="1" applyFont="1" applyFill="1" applyBorder="1" applyAlignment="1" applyProtection="1">
      <alignment horizontal="right"/>
      <protection locked="0"/>
    </xf>
    <xf numFmtId="5" fontId="20" fillId="6" borderId="9" xfId="14" applyNumberFormat="1" applyFont="1" applyFill="1" applyBorder="1" applyAlignment="1" applyProtection="1">
      <alignment horizontal="right"/>
    </xf>
    <xf numFmtId="1" fontId="15" fillId="0" borderId="0" xfId="3" applyNumberFormat="1" applyFont="1" applyFill="1" applyBorder="1" applyProtection="1"/>
    <xf numFmtId="5" fontId="15" fillId="6" borderId="0" xfId="14" applyNumberFormat="1" applyFont="1" applyFill="1" applyBorder="1" applyAlignment="1" applyProtection="1">
      <alignment horizontal="center"/>
    </xf>
    <xf numFmtId="5" fontId="15" fillId="6" borderId="6" xfId="14" applyNumberFormat="1" applyFont="1" applyFill="1" applyBorder="1" applyAlignment="1" applyProtection="1">
      <alignment horizontal="center"/>
    </xf>
    <xf numFmtId="5" fontId="15" fillId="6" borderId="9" xfId="14" applyNumberFormat="1" applyFont="1" applyFill="1" applyBorder="1" applyAlignment="1" applyProtection="1">
      <alignment horizontal="center"/>
    </xf>
    <xf numFmtId="5" fontId="15" fillId="6" borderId="10" xfId="14" applyNumberFormat="1" applyFont="1" applyFill="1" applyBorder="1" applyAlignment="1" applyProtection="1">
      <alignment horizontal="center"/>
    </xf>
    <xf numFmtId="5" fontId="14" fillId="7" borderId="2" xfId="14" applyNumberFormat="1" applyFont="1" applyFill="1" applyBorder="1" applyAlignment="1" applyProtection="1">
      <alignment horizontal="center" wrapText="1"/>
    </xf>
    <xf numFmtId="8" fontId="15" fillId="8" borderId="0" xfId="5" applyFont="1" applyFill="1" applyBorder="1">
      <protection locked="0"/>
    </xf>
    <xf numFmtId="5" fontId="15" fillId="6" borderId="7" xfId="14" applyNumberFormat="1" applyFont="1" applyFill="1" applyBorder="1" applyAlignment="1" applyProtection="1">
      <alignment horizontal="left"/>
    </xf>
    <xf numFmtId="7" fontId="15" fillId="8" borderId="0" xfId="12" applyNumberFormat="1" applyFont="1" applyFill="1" applyBorder="1" applyProtection="1">
      <protection locked="0"/>
    </xf>
    <xf numFmtId="7" fontId="15" fillId="0" borderId="0" xfId="12" applyNumberFormat="1" applyFont="1" applyFill="1" applyBorder="1" applyProtection="1"/>
    <xf numFmtId="5" fontId="15" fillId="6" borderId="0" xfId="14" applyNumberFormat="1" applyFont="1" applyFill="1" applyBorder="1" applyAlignment="1" applyProtection="1">
      <alignment horizontal="left"/>
    </xf>
    <xf numFmtId="5" fontId="22" fillId="7" borderId="8" xfId="14" applyNumberFormat="1" applyFont="1" applyFill="1" applyBorder="1" applyAlignment="1" applyProtection="1">
      <alignment horizontal="left"/>
    </xf>
    <xf numFmtId="5" fontId="15" fillId="6" borderId="0" xfId="14" applyNumberFormat="1" applyFont="1" applyFill="1" applyBorder="1" applyAlignment="1" applyProtection="1">
      <alignment horizontal="right"/>
    </xf>
    <xf numFmtId="5" fontId="14" fillId="7" borderId="4" xfId="14" applyNumberFormat="1" applyFont="1" applyFill="1" applyBorder="1" applyAlignment="1" applyProtection="1">
      <alignment horizontal="center" wrapText="1"/>
    </xf>
    <xf numFmtId="5" fontId="14" fillId="7" borderId="9" xfId="14" applyNumberFormat="1" applyFont="1" applyFill="1" applyBorder="1" applyAlignment="1" applyProtection="1">
      <alignment horizontal="center" wrapText="1"/>
    </xf>
    <xf numFmtId="5" fontId="14" fillId="7" borderId="4" xfId="14" applyNumberFormat="1" applyFont="1" applyFill="1" applyBorder="1" applyAlignment="1" applyProtection="1">
      <alignment horizontal="center" vertical="center" wrapText="1"/>
    </xf>
    <xf numFmtId="5" fontId="14" fillId="7" borderId="9" xfId="14" applyNumberFormat="1" applyFont="1" applyFill="1" applyBorder="1" applyAlignment="1" applyProtection="1">
      <alignment horizontal="center" vertical="center" wrapText="1"/>
    </xf>
    <xf numFmtId="5" fontId="14" fillId="7" borderId="11" xfId="14" applyNumberFormat="1" applyFont="1" applyFill="1" applyBorder="1" applyAlignment="1" applyProtection="1">
      <alignment horizontal="center" wrapText="1"/>
    </xf>
    <xf numFmtId="5" fontId="14" fillId="7" borderId="10" xfId="14" applyNumberFormat="1" applyFont="1" applyFill="1" applyBorder="1" applyAlignment="1" applyProtection="1">
      <alignment horizontal="center" wrapText="1"/>
    </xf>
    <xf numFmtId="7" fontId="33" fillId="6" borderId="0" xfId="14" applyNumberFormat="1" applyFont="1" applyFill="1" applyBorder="1" applyAlignment="1" applyProtection="1">
      <alignment horizontal="left" indent="1"/>
    </xf>
    <xf numFmtId="7" fontId="23" fillId="6" borderId="0" xfId="14" applyNumberFormat="1" applyFont="1" applyFill="1" applyBorder="1" applyAlignment="1" applyProtection="1">
      <alignment horizontal="left" indent="1"/>
    </xf>
    <xf numFmtId="5" fontId="23" fillId="6" borderId="0" xfId="14" applyNumberFormat="1" applyFont="1" applyFill="1" applyBorder="1" applyAlignment="1" applyProtection="1">
      <alignment horizontal="left" indent="1"/>
    </xf>
    <xf numFmtId="7" fontId="19" fillId="6" borderId="6" xfId="14" applyNumberFormat="1" applyFont="1" applyFill="1" applyBorder="1" applyAlignment="1" applyProtection="1"/>
    <xf numFmtId="0" fontId="34" fillId="6" borderId="0" xfId="0" applyFont="1" applyFill="1" applyBorder="1" applyAlignment="1" applyProtection="1">
      <alignment horizontal="left"/>
    </xf>
    <xf numFmtId="7" fontId="23" fillId="6" borderId="0" xfId="14" applyNumberFormat="1" applyFont="1" applyFill="1" applyBorder="1" applyAlignment="1" applyProtection="1"/>
    <xf numFmtId="0" fontId="0" fillId="6" borderId="0" xfId="0" applyFont="1" applyFill="1" applyBorder="1" applyAlignment="1" applyProtection="1">
      <alignment horizontal="right"/>
    </xf>
    <xf numFmtId="38" fontId="16" fillId="6" borderId="0" xfId="0" applyNumberFormat="1" applyFont="1" applyFill="1" applyBorder="1" applyAlignment="1" applyProtection="1"/>
    <xf numFmtId="167" fontId="15" fillId="6" borderId="0" xfId="11" applyNumberFormat="1" applyFont="1" applyFill="1" applyBorder="1" applyAlignment="1" applyProtection="1">
      <alignment horizontal="right"/>
    </xf>
    <xf numFmtId="7" fontId="23" fillId="6" borderId="6" xfId="14" applyNumberFormat="1" applyFont="1" applyFill="1" applyBorder="1" applyAlignment="1" applyProtection="1">
      <alignment horizontal="left" indent="1"/>
    </xf>
    <xf numFmtId="8" fontId="15" fillId="8" borderId="0" xfId="11" applyNumberFormat="1" applyFont="1" applyFill="1" applyBorder="1" applyAlignment="1" applyProtection="1">
      <alignment horizontal="right"/>
      <protection locked="0"/>
    </xf>
    <xf numFmtId="0" fontId="34" fillId="6" borderId="0" xfId="0" applyFont="1" applyFill="1" applyBorder="1" applyAlignment="1" applyProtection="1">
      <alignment horizontal="left" indent="1"/>
    </xf>
    <xf numFmtId="38" fontId="14" fillId="7" borderId="10" xfId="0" applyNumberFormat="1" applyFont="1" applyFill="1" applyBorder="1" applyAlignment="1">
      <alignment horizontal="center"/>
    </xf>
    <xf numFmtId="167" fontId="15" fillId="0" borderId="0" xfId="5" applyNumberFormat="1" applyFont="1" applyFill="1" applyBorder="1" applyProtection="1">
      <protection locked="0"/>
    </xf>
    <xf numFmtId="10" fontId="15" fillId="8" borderId="0" xfId="7" applyNumberFormat="1" applyFont="1" applyFill="1" applyBorder="1" applyProtection="1">
      <protection locked="0"/>
    </xf>
    <xf numFmtId="5" fontId="22" fillId="7" borderId="8" xfId="14" applyNumberFormat="1" applyFont="1" applyFill="1" applyBorder="1" applyAlignment="1" applyProtection="1">
      <alignment horizontal="left"/>
    </xf>
    <xf numFmtId="5" fontId="22" fillId="7" borderId="2" xfId="14" applyNumberFormat="1" applyFont="1" applyFill="1" applyBorder="1" applyAlignment="1" applyProtection="1">
      <alignment horizontal="left"/>
    </xf>
    <xf numFmtId="5" fontId="22" fillId="7" borderId="15" xfId="14" applyNumberFormat="1" applyFont="1" applyFill="1" applyBorder="1" applyAlignment="1" applyProtection="1">
      <alignment horizontal="left"/>
    </xf>
    <xf numFmtId="0" fontId="0" fillId="6" borderId="4" xfId="0" applyFont="1" applyFill="1" applyBorder="1" applyAlignment="1" applyProtection="1">
      <alignment horizontal="left" vertical="center" indent="1"/>
    </xf>
    <xf numFmtId="0" fontId="0" fillId="6" borderId="11" xfId="0" applyFont="1" applyFill="1" applyBorder="1" applyAlignment="1" applyProtection="1">
      <alignment horizontal="left" vertical="center" indent="1"/>
    </xf>
    <xf numFmtId="5" fontId="15" fillId="6" borderId="7" xfId="14" applyNumberFormat="1" applyFont="1" applyFill="1" applyBorder="1" applyAlignment="1" applyProtection="1">
      <alignment horizontal="center"/>
    </xf>
    <xf numFmtId="5" fontId="15" fillId="6" borderId="9" xfId="14" applyNumberFormat="1" applyFont="1" applyFill="1" applyBorder="1" applyAlignment="1" applyProtection="1">
      <alignment horizontal="center"/>
    </xf>
    <xf numFmtId="5" fontId="15" fillId="6" borderId="10" xfId="14" applyNumberFormat="1" applyFont="1" applyFill="1" applyBorder="1" applyAlignment="1" applyProtection="1">
      <alignment horizontal="center"/>
    </xf>
    <xf numFmtId="5" fontId="23" fillId="6" borderId="0" xfId="14" applyNumberFormat="1" applyFont="1" applyFill="1" applyBorder="1" applyAlignment="1" applyProtection="1">
      <alignment horizontal="center"/>
    </xf>
    <xf numFmtId="5" fontId="23" fillId="6" borderId="6" xfId="14" applyNumberFormat="1" applyFont="1" applyFill="1" applyBorder="1" applyAlignment="1" applyProtection="1">
      <alignment horizontal="center"/>
    </xf>
    <xf numFmtId="0" fontId="0" fillId="6" borderId="0" xfId="0" applyFont="1" applyFill="1" applyBorder="1" applyAlignment="1" applyProtection="1">
      <alignment horizontal="left"/>
    </xf>
    <xf numFmtId="0" fontId="0" fillId="6" borderId="6" xfId="0" applyFont="1" applyFill="1" applyBorder="1" applyAlignment="1" applyProtection="1">
      <alignment horizontal="left"/>
    </xf>
    <xf numFmtId="0" fontId="0" fillId="6" borderId="0" xfId="0" applyFont="1" applyFill="1" applyBorder="1" applyAlignment="1" applyProtection="1">
      <alignment horizontal="center"/>
    </xf>
    <xf numFmtId="0" fontId="0" fillId="6" borderId="6" xfId="0" applyFont="1" applyFill="1" applyBorder="1" applyAlignment="1" applyProtection="1">
      <alignment horizontal="center"/>
    </xf>
    <xf numFmtId="5" fontId="14" fillId="7" borderId="16" xfId="14" applyNumberFormat="1" applyFont="1" applyFill="1" applyBorder="1" applyAlignment="1" applyProtection="1">
      <alignment horizontal="left"/>
    </xf>
    <xf numFmtId="5" fontId="14" fillId="7" borderId="9" xfId="14" applyNumberFormat="1" applyFont="1" applyFill="1" applyBorder="1" applyAlignment="1" applyProtection="1">
      <alignment horizontal="left"/>
    </xf>
    <xf numFmtId="5" fontId="14" fillId="7" borderId="10" xfId="14" applyNumberFormat="1" applyFont="1" applyFill="1" applyBorder="1" applyAlignment="1" applyProtection="1">
      <alignment horizontal="left"/>
    </xf>
    <xf numFmtId="5" fontId="15" fillId="6" borderId="4" xfId="14" applyNumberFormat="1" applyFont="1" applyFill="1" applyBorder="1" applyAlignment="1" applyProtection="1">
      <alignment horizontal="center"/>
    </xf>
    <xf numFmtId="5" fontId="15" fillId="6" borderId="11" xfId="14" applyNumberFormat="1" applyFont="1" applyFill="1" applyBorder="1" applyAlignment="1" applyProtection="1">
      <alignment horizontal="center"/>
    </xf>
    <xf numFmtId="5" fontId="15" fillId="6" borderId="0" xfId="14" applyNumberFormat="1" applyFont="1" applyFill="1" applyBorder="1" applyAlignment="1" applyProtection="1">
      <alignment horizontal="left"/>
    </xf>
    <xf numFmtId="0" fontId="0" fillId="6" borderId="9" xfId="0" applyFont="1" applyFill="1" applyBorder="1" applyAlignment="1" applyProtection="1">
      <alignment horizontal="center"/>
    </xf>
    <xf numFmtId="0" fontId="0" fillId="6" borderId="10" xfId="0" applyFont="1" applyFill="1" applyBorder="1" applyAlignment="1" applyProtection="1">
      <alignment horizontal="center"/>
    </xf>
    <xf numFmtId="5" fontId="14" fillId="7" borderId="4" xfId="14" applyNumberFormat="1" applyFont="1" applyFill="1" applyBorder="1" applyAlignment="1" applyProtection="1">
      <alignment horizontal="center" vertical="center" wrapText="1"/>
    </xf>
    <xf numFmtId="5" fontId="14" fillId="7" borderId="9" xfId="14" applyNumberFormat="1" applyFont="1" applyFill="1" applyBorder="1" applyAlignment="1" applyProtection="1">
      <alignment horizontal="center" vertical="center" wrapText="1"/>
    </xf>
    <xf numFmtId="5" fontId="15" fillId="6" borderId="5" xfId="14" applyNumberFormat="1" applyFont="1" applyFill="1" applyBorder="1" applyAlignment="1" applyProtection="1">
      <alignment horizontal="center"/>
    </xf>
    <xf numFmtId="5" fontId="15" fillId="6" borderId="0" xfId="14" applyNumberFormat="1" applyFont="1" applyFill="1" applyBorder="1" applyAlignment="1" applyProtection="1">
      <alignment horizontal="center"/>
    </xf>
    <xf numFmtId="5" fontId="15" fillId="6" borderId="6" xfId="14" applyNumberFormat="1" applyFont="1" applyFill="1" applyBorder="1" applyAlignment="1" applyProtection="1">
      <alignment horizontal="center"/>
    </xf>
    <xf numFmtId="5" fontId="22" fillId="7" borderId="7" xfId="14" applyNumberFormat="1" applyFont="1" applyFill="1" applyBorder="1" applyAlignment="1" applyProtection="1">
      <alignment horizontal="left"/>
    </xf>
    <xf numFmtId="5" fontId="22" fillId="7" borderId="9" xfId="14" applyNumberFormat="1" applyFont="1" applyFill="1" applyBorder="1" applyAlignment="1" applyProtection="1">
      <alignment horizontal="left"/>
    </xf>
    <xf numFmtId="5" fontId="22" fillId="7" borderId="17" xfId="14" applyNumberFormat="1" applyFont="1" applyFill="1" applyBorder="1" applyAlignment="1" applyProtection="1">
      <alignment horizontal="left"/>
    </xf>
    <xf numFmtId="7" fontId="33" fillId="6" borderId="0" xfId="14" applyNumberFormat="1" applyFont="1" applyFill="1" applyBorder="1" applyAlignment="1" applyProtection="1">
      <alignment horizontal="left" indent="1"/>
    </xf>
    <xf numFmtId="8" fontId="16" fillId="6" borderId="0" xfId="5" applyFont="1" applyFill="1" applyBorder="1" applyAlignment="1" applyProtection="1">
      <alignment horizontal="center"/>
    </xf>
    <xf numFmtId="8" fontId="16" fillId="6" borderId="6" xfId="5" applyFont="1" applyFill="1" applyBorder="1" applyAlignment="1" applyProtection="1">
      <alignment horizontal="center"/>
    </xf>
    <xf numFmtId="5" fontId="15" fillId="6" borderId="0" xfId="14" applyNumberFormat="1" applyFont="1" applyFill="1" applyBorder="1" applyAlignment="1" applyProtection="1">
      <alignment horizontal="right"/>
    </xf>
    <xf numFmtId="0" fontId="0" fillId="6" borderId="0" xfId="0" applyFont="1" applyFill="1" applyAlignment="1" applyProtection="1">
      <alignment horizontal="center"/>
    </xf>
    <xf numFmtId="0" fontId="30" fillId="6" borderId="0" xfId="0" applyFont="1" applyFill="1" applyBorder="1" applyAlignment="1" applyProtection="1">
      <alignment horizontal="right" vertical="top"/>
    </xf>
    <xf numFmtId="5" fontId="23" fillId="6" borderId="0" xfId="14" applyNumberFormat="1" applyFont="1" applyFill="1" applyBorder="1" applyAlignment="1" applyProtection="1">
      <alignment horizontal="left" indent="1"/>
    </xf>
    <xf numFmtId="5" fontId="23" fillId="6" borderId="6" xfId="14" applyNumberFormat="1" applyFont="1" applyFill="1" applyBorder="1" applyAlignment="1" applyProtection="1">
      <alignment horizontal="left" indent="1"/>
    </xf>
    <xf numFmtId="5" fontId="19" fillId="6" borderId="0" xfId="14" applyNumberFormat="1" applyFont="1" applyFill="1" applyBorder="1" applyAlignment="1" applyProtection="1">
      <alignment horizontal="left"/>
    </xf>
    <xf numFmtId="5" fontId="19" fillId="6" borderId="6" xfId="14" applyNumberFormat="1" applyFont="1" applyFill="1" applyBorder="1" applyAlignment="1" applyProtection="1">
      <alignment horizontal="left"/>
    </xf>
    <xf numFmtId="5" fontId="14" fillId="7" borderId="4" xfId="14" applyNumberFormat="1" applyFont="1" applyFill="1" applyBorder="1" applyAlignment="1" applyProtection="1">
      <alignment horizontal="center" wrapText="1"/>
    </xf>
    <xf numFmtId="5" fontId="14" fillId="7" borderId="9" xfId="14" applyNumberFormat="1" applyFont="1" applyFill="1" applyBorder="1" applyAlignment="1" applyProtection="1">
      <alignment horizontal="center" wrapText="1"/>
    </xf>
    <xf numFmtId="8" fontId="15" fillId="6" borderId="5" xfId="5" applyFont="1" applyFill="1" applyBorder="1" applyAlignment="1" applyProtection="1">
      <alignment horizontal="right"/>
    </xf>
    <xf numFmtId="8" fontId="15" fillId="6" borderId="0" xfId="5" applyFont="1" applyFill="1" applyBorder="1" applyAlignment="1" applyProtection="1">
      <alignment horizontal="right"/>
    </xf>
    <xf numFmtId="5" fontId="29" fillId="0" borderId="0" xfId="14" applyNumberFormat="1" applyFont="1" applyFill="1" applyBorder="1" applyAlignment="1" applyProtection="1">
      <alignment horizontal="left"/>
    </xf>
    <xf numFmtId="5" fontId="14" fillId="7" borderId="2" xfId="14" applyNumberFormat="1" applyFont="1" applyFill="1" applyBorder="1" applyAlignment="1" applyProtection="1">
      <alignment horizontal="center" vertical="center"/>
    </xf>
    <xf numFmtId="5" fontId="14" fillId="7" borderId="15" xfId="14" applyNumberFormat="1" applyFont="1" applyFill="1" applyBorder="1" applyAlignment="1" applyProtection="1">
      <alignment horizontal="center" vertical="center"/>
    </xf>
    <xf numFmtId="7" fontId="19" fillId="6" borderId="0" xfId="14" applyNumberFormat="1" applyFont="1" applyFill="1" applyBorder="1" applyAlignment="1" applyProtection="1">
      <alignment horizontal="left" indent="1"/>
    </xf>
    <xf numFmtId="7" fontId="19" fillId="6" borderId="6" xfId="14" applyNumberFormat="1" applyFont="1" applyFill="1" applyBorder="1" applyAlignment="1" applyProtection="1">
      <alignment horizontal="left" indent="1"/>
    </xf>
    <xf numFmtId="0" fontId="31" fillId="7" borderId="3" xfId="0" applyFont="1" applyFill="1" applyBorder="1" applyAlignment="1">
      <alignment horizontal="left" vertical="top"/>
    </xf>
    <xf numFmtId="0" fontId="31" fillId="7" borderId="7" xfId="0" applyFont="1" applyFill="1" applyBorder="1" applyAlignment="1">
      <alignment horizontal="left" vertical="top"/>
    </xf>
    <xf numFmtId="0" fontId="24" fillId="7" borderId="4" xfId="0" applyFont="1" applyFill="1" applyBorder="1" applyAlignment="1">
      <alignment horizontal="center" vertical="top"/>
    </xf>
    <xf numFmtId="0" fontId="24" fillId="7" borderId="9" xfId="0" applyFont="1" applyFill="1" applyBorder="1" applyAlignment="1">
      <alignment horizontal="center" vertical="top"/>
    </xf>
    <xf numFmtId="0" fontId="0" fillId="6" borderId="0" xfId="0" applyFont="1" applyFill="1" applyBorder="1" applyAlignment="1">
      <alignment horizontal="center"/>
    </xf>
    <xf numFmtId="0" fontId="22" fillId="7" borderId="8" xfId="0" applyFont="1" applyFill="1" applyBorder="1" applyAlignment="1" applyProtection="1"/>
    <xf numFmtId="0" fontId="22" fillId="7" borderId="2" xfId="0" applyFont="1" applyFill="1" applyBorder="1" applyAlignment="1" applyProtection="1"/>
    <xf numFmtId="0" fontId="22" fillId="7" borderId="15" xfId="0" applyFont="1" applyFill="1" applyBorder="1" applyAlignment="1" applyProtection="1"/>
    <xf numFmtId="5" fontId="22" fillId="7" borderId="3" xfId="14" applyNumberFormat="1" applyFont="1" applyFill="1" applyBorder="1" applyAlignment="1" applyProtection="1">
      <alignment horizontal="left"/>
    </xf>
    <xf numFmtId="5" fontId="14" fillId="7" borderId="4" xfId="14" applyNumberFormat="1" applyFont="1" applyFill="1" applyBorder="1" applyAlignment="1" applyProtection="1">
      <alignment horizontal="center"/>
    </xf>
    <xf numFmtId="5" fontId="14" fillId="7" borderId="9" xfId="14" applyNumberFormat="1" applyFont="1" applyFill="1" applyBorder="1" applyAlignment="1" applyProtection="1">
      <alignment horizontal="center"/>
    </xf>
    <xf numFmtId="7" fontId="14" fillId="7" borderId="4" xfId="14" applyNumberFormat="1" applyFont="1" applyFill="1" applyBorder="1" applyAlignment="1" applyProtection="1">
      <alignment horizontal="center" wrapText="1"/>
    </xf>
    <xf numFmtId="7" fontId="14" fillId="7" borderId="9" xfId="14" applyNumberFormat="1" applyFont="1" applyFill="1" applyBorder="1" applyAlignment="1" applyProtection="1">
      <alignment horizontal="center" wrapText="1"/>
    </xf>
    <xf numFmtId="3" fontId="14" fillId="7" borderId="4" xfId="14" applyNumberFormat="1" applyFont="1" applyFill="1" applyBorder="1" applyAlignment="1" applyProtection="1">
      <alignment horizontal="center" wrapText="1"/>
    </xf>
    <xf numFmtId="3" fontId="14" fillId="7" borderId="9" xfId="14" applyNumberFormat="1" applyFont="1" applyFill="1" applyBorder="1" applyAlignment="1" applyProtection="1">
      <alignment horizontal="center" wrapText="1"/>
    </xf>
    <xf numFmtId="5" fontId="14" fillId="7" borderId="11" xfId="14" applyNumberFormat="1" applyFont="1" applyFill="1" applyBorder="1" applyAlignment="1" applyProtection="1">
      <alignment horizontal="center" wrapText="1"/>
    </xf>
    <xf numFmtId="5" fontId="14" fillId="7" borderId="10" xfId="14" applyNumberFormat="1" applyFont="1" applyFill="1" applyBorder="1" applyAlignment="1" applyProtection="1">
      <alignment horizontal="center" wrapText="1"/>
    </xf>
    <xf numFmtId="0" fontId="0" fillId="6" borderId="7" xfId="0" applyFont="1" applyFill="1" applyBorder="1" applyAlignment="1" applyProtection="1">
      <alignment horizontal="center"/>
    </xf>
    <xf numFmtId="0" fontId="16" fillId="6" borderId="4" xfId="0" applyFont="1" applyFill="1" applyBorder="1" applyAlignment="1" applyProtection="1">
      <alignment horizontal="center"/>
    </xf>
    <xf numFmtId="0" fontId="16" fillId="6" borderId="11" xfId="0" applyFont="1" applyFill="1" applyBorder="1" applyAlignment="1" applyProtection="1">
      <alignment horizontal="center"/>
    </xf>
    <xf numFmtId="0" fontId="16" fillId="6" borderId="0" xfId="0" applyFont="1" applyFill="1" applyBorder="1" applyAlignment="1" applyProtection="1">
      <alignment horizontal="right"/>
    </xf>
    <xf numFmtId="0" fontId="16" fillId="6" borderId="0" xfId="0" applyFont="1" applyFill="1" applyBorder="1" applyAlignment="1" applyProtection="1">
      <alignment horizontal="center"/>
    </xf>
    <xf numFmtId="0" fontId="16" fillId="6" borderId="6" xfId="0" applyFont="1" applyFill="1" applyBorder="1" applyAlignment="1" applyProtection="1">
      <alignment horizontal="center"/>
    </xf>
    <xf numFmtId="38" fontId="33" fillId="6" borderId="0" xfId="7" applyFont="1" applyFill="1" applyBorder="1" applyAlignment="1" applyProtection="1">
      <alignment horizontal="center"/>
    </xf>
    <xf numFmtId="38" fontId="33" fillId="6" borderId="6" xfId="7" applyFont="1" applyFill="1" applyBorder="1" applyAlignment="1" applyProtection="1">
      <alignment horizontal="center"/>
    </xf>
    <xf numFmtId="38" fontId="33" fillId="6" borderId="4" xfId="7" applyFont="1" applyFill="1" applyBorder="1" applyAlignment="1" applyProtection="1">
      <alignment horizontal="center"/>
    </xf>
    <xf numFmtId="38" fontId="33" fillId="6" borderId="11" xfId="7" applyFont="1" applyFill="1" applyBorder="1" applyAlignment="1" applyProtection="1">
      <alignment horizontal="center"/>
    </xf>
    <xf numFmtId="6" fontId="15" fillId="6" borderId="0" xfId="2" applyFont="1" applyFill="1" applyBorder="1" applyAlignment="1" applyProtection="1">
      <alignment horizontal="center"/>
    </xf>
    <xf numFmtId="38" fontId="32" fillId="7" borderId="2" xfId="7" applyFont="1" applyFill="1" applyBorder="1" applyAlignment="1" applyProtection="1">
      <alignment horizontal="center"/>
    </xf>
    <xf numFmtId="38" fontId="32" fillId="7" borderId="15" xfId="7" applyFont="1" applyFill="1" applyBorder="1" applyAlignment="1" applyProtection="1">
      <alignment horizontal="center"/>
    </xf>
    <xf numFmtId="38" fontId="15" fillId="6" borderId="0" xfId="7" applyFont="1" applyFill="1" applyBorder="1" applyAlignment="1" applyProtection="1">
      <alignment horizontal="center"/>
    </xf>
    <xf numFmtId="38" fontId="15" fillId="6" borderId="6" xfId="7" applyFont="1" applyFill="1" applyBorder="1" applyAlignment="1" applyProtection="1">
      <alignment horizontal="center"/>
    </xf>
    <xf numFmtId="38" fontId="33" fillId="6" borderId="9" xfId="7" applyFont="1" applyFill="1" applyBorder="1" applyAlignment="1" applyProtection="1">
      <alignment horizontal="center"/>
    </xf>
    <xf numFmtId="38" fontId="33" fillId="6" borderId="10" xfId="7" applyFont="1" applyFill="1" applyBorder="1" applyAlignment="1" applyProtection="1">
      <alignment horizontal="center"/>
    </xf>
  </cellXfs>
  <cellStyles count="28">
    <cellStyle name="Comma" xfId="1" builtinId="3"/>
    <cellStyle name="Curr ($1,234) L Black" xfId="2" xr:uid="{00000000-0005-0000-0000-000001000000}"/>
    <cellStyle name="Curr ($1,234) U Blue" xfId="3" xr:uid="{00000000-0005-0000-0000-000002000000}"/>
    <cellStyle name="Curr ($1,234.00) L Black" xfId="4" xr:uid="{00000000-0005-0000-0000-000003000000}"/>
    <cellStyle name="Curr ($1,234.00) U Blue" xfId="5" xr:uid="{00000000-0005-0000-0000-000004000000}"/>
    <cellStyle name="Curr (1,234) L Black" xfId="6" xr:uid="{00000000-0005-0000-0000-000005000000}"/>
    <cellStyle name="Curr (1,234) U Blue" xfId="7" xr:uid="{00000000-0005-0000-0000-000006000000}"/>
    <cellStyle name="Curr (1,234.0) L Black" xfId="8" xr:uid="{00000000-0005-0000-0000-000007000000}"/>
    <cellStyle name="Curr (1,234.0) U Blue" xfId="9" xr:uid="{00000000-0005-0000-0000-000008000000}"/>
    <cellStyle name="Curr (1,234.00) L Black" xfId="10" xr:uid="{00000000-0005-0000-0000-000009000000}"/>
    <cellStyle name="Curr (1,234.00) U Blue" xfId="11" xr:uid="{00000000-0005-0000-0000-00000A000000}"/>
    <cellStyle name="Currency" xfId="12" builtinId="4"/>
    <cellStyle name="Hyperlink" xfId="13" builtinId="8"/>
    <cellStyle name="Normal" xfId="0" builtinId="0"/>
    <cellStyle name="Normal 2" xfId="14" xr:uid="{00000000-0005-0000-0000-00000E000000}"/>
    <cellStyle name="Normal 3" xfId="15" xr:uid="{00000000-0005-0000-0000-00000F000000}"/>
    <cellStyle name="Num (1,234) L Black" xfId="16" xr:uid="{00000000-0005-0000-0000-000010000000}"/>
    <cellStyle name="Num (1,234) U Blue" xfId="17" xr:uid="{00000000-0005-0000-0000-000011000000}"/>
    <cellStyle name="Num (1,234.0) L Black" xfId="18" xr:uid="{00000000-0005-0000-0000-000012000000}"/>
    <cellStyle name="Num (1,234.0) U Blue" xfId="19" xr:uid="{00000000-0005-0000-0000-000013000000}"/>
    <cellStyle name="Num (1,234.10) L Black" xfId="20" xr:uid="{00000000-0005-0000-0000-000014000000}"/>
    <cellStyle name="Num (1,234.10) U Blue" xfId="21" xr:uid="{00000000-0005-0000-0000-000015000000}"/>
    <cellStyle name="Percent" xfId="22" builtinId="5"/>
    <cellStyle name="Percent 00.00% L Black" xfId="23" xr:uid="{00000000-0005-0000-0000-000017000000}"/>
    <cellStyle name="Percent 00.00% U Blue" xfId="24" xr:uid="{00000000-0005-0000-0000-000018000000}"/>
    <cellStyle name="Standard_Anpassen der Amortisation" xfId="25" xr:uid="{00000000-0005-0000-0000-000019000000}"/>
    <cellStyle name="Währung [0]_Compiling Utility Macros" xfId="26" xr:uid="{00000000-0005-0000-0000-00001A000000}"/>
    <cellStyle name="Währung_Compiling Utility Macros" xfId="27" xr:uid="{00000000-0005-0000-0000-00001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71</xdr:row>
      <xdr:rowOff>123825</xdr:rowOff>
    </xdr:from>
    <xdr:to>
      <xdr:col>1</xdr:col>
      <xdr:colOff>2847977</xdr:colOff>
      <xdr:row>75</xdr:row>
      <xdr:rowOff>85723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028D7DB-0284-4F40-88F3-ED8F17E4F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14411325"/>
          <a:ext cx="2857500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31</xdr:row>
      <xdr:rowOff>57150</xdr:rowOff>
    </xdr:from>
    <xdr:to>
      <xdr:col>1</xdr:col>
      <xdr:colOff>2867025</xdr:colOff>
      <xdr:row>35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25D94D-7956-4C71-A785-1791F4EB7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876925"/>
          <a:ext cx="2857500" cy="723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53511</xdr:colOff>
      <xdr:row>43</xdr:row>
      <xdr:rowOff>74916</xdr:rowOff>
    </xdr:from>
    <xdr:to>
      <xdr:col>1</xdr:col>
      <xdr:colOff>2913732</xdr:colOff>
      <xdr:row>47</xdr:row>
      <xdr:rowOff>29619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B318A21-9E17-41AC-B5C7-9A6BAAC08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219" y="8775843"/>
          <a:ext cx="28575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Mizzou 2">
      <a:dk1>
        <a:srgbClr val="000000"/>
      </a:dk1>
      <a:lt1>
        <a:sysClr val="window" lastClr="FFFFFF"/>
      </a:lt1>
      <a:dk2>
        <a:srgbClr val="000000"/>
      </a:dk2>
      <a:lt2>
        <a:srgbClr val="FBEEC9"/>
      </a:lt2>
      <a:accent1>
        <a:srgbClr val="CC9933"/>
      </a:accent1>
      <a:accent2>
        <a:srgbClr val="666666"/>
      </a:accent2>
      <a:accent3>
        <a:srgbClr val="CAC8B5"/>
      </a:accent3>
      <a:accent4>
        <a:srgbClr val="FFFFCC"/>
      </a:accent4>
      <a:accent5>
        <a:srgbClr val="F5DA78"/>
      </a:accent5>
      <a:accent6>
        <a:srgbClr val="F7E09E"/>
      </a:accent6>
      <a:hlink>
        <a:srgbClr val="000000"/>
      </a:hlink>
      <a:folHlink>
        <a:srgbClr val="0000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tuckerw@missouri.edu" TargetMode="External"/><Relationship Id="rId2" Type="http://schemas.openxmlformats.org/officeDocument/2006/relationships/hyperlink" Target="mailto:HornerJ@missouri.edu" TargetMode="External"/><Relationship Id="rId1" Type="http://schemas.openxmlformats.org/officeDocument/2006/relationships/hyperlink" Target="https://nam02.safelinks.protection.outlook.com/?url=https%3A%2F%2Fwww.asi.k-state.edu%2Fabout%2Fnewsletters%2Ffocus-on-feedlots%2Fmonthly-reports.html&amp;data=04%7C01%7C%7Ca88cd0812a3f43867a8908d94bb06db5%7Ce3fefdbef7e9401ba51a355e01b05a89%7C0%7C0%7C637624043384213105%7CUnknown%7CTWFpbGZsb3d8eyJWIjoiMC4wLjAwMDAiLCJQIjoiV2luMzIiLCJBTiI6Ik1haWwiLCJXVCI6Mn0%3D%7C1000&amp;sdata=MKgt1YQqOH4PxCZ0x9IBDGOGpz5zV8hSEjiY0nom%2BBs%3D&amp;reserved=0" TargetMode="Externa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4"/>
  <sheetViews>
    <sheetView tabSelected="1" workbookViewId="0">
      <selection activeCell="F20" sqref="F20"/>
    </sheetView>
  </sheetViews>
  <sheetFormatPr defaultColWidth="9.140625" defaultRowHeight="15" x14ac:dyDescent="0.25"/>
  <cols>
    <col min="1" max="1" width="7.7109375" style="1" customWidth="1"/>
    <col min="2" max="2" width="45.85546875" style="1" customWidth="1"/>
    <col min="3" max="3" width="13.7109375" style="1" customWidth="1"/>
    <col min="4" max="4" width="16.140625" style="1" customWidth="1"/>
    <col min="5" max="5" width="14.7109375" style="1" customWidth="1"/>
    <col min="6" max="6" width="12.42578125" style="1" customWidth="1"/>
    <col min="7" max="7" width="11.7109375" style="1" customWidth="1"/>
    <col min="8" max="8" width="14.85546875" style="1" customWidth="1"/>
    <col min="9" max="9" width="19.42578125" style="1" customWidth="1"/>
    <col min="10" max="16384" width="9.140625" style="1"/>
  </cols>
  <sheetData>
    <row r="1" spans="1:9" x14ac:dyDescent="0.25">
      <c r="A1" s="3"/>
      <c r="B1" s="3"/>
      <c r="C1" s="3"/>
      <c r="D1" s="3"/>
      <c r="E1" s="3"/>
      <c r="F1" s="3"/>
      <c r="G1" s="3"/>
      <c r="H1" s="3"/>
      <c r="I1" s="3"/>
    </row>
    <row r="2" spans="1:9" ht="21" x14ac:dyDescent="0.35">
      <c r="A2" s="3"/>
      <c r="B2" s="220" t="s">
        <v>124</v>
      </c>
      <c r="C2" s="220"/>
      <c r="D2" s="220"/>
      <c r="E2" s="220"/>
      <c r="F2" s="220"/>
      <c r="G2" s="220"/>
      <c r="H2" s="220"/>
      <c r="I2" s="220"/>
    </row>
    <row r="3" spans="1:9" s="2" customFormat="1" ht="19.5" customHeight="1" x14ac:dyDescent="0.3">
      <c r="A3" s="4"/>
      <c r="B3" s="153" t="s">
        <v>185</v>
      </c>
      <c r="C3" s="5" t="s">
        <v>121</v>
      </c>
      <c r="D3" s="5" t="s">
        <v>122</v>
      </c>
      <c r="E3" s="5"/>
      <c r="F3" s="5"/>
      <c r="G3" s="5"/>
      <c r="H3" s="221"/>
      <c r="I3" s="222"/>
    </row>
    <row r="4" spans="1:9" ht="15.75" customHeight="1" x14ac:dyDescent="0.25">
      <c r="A4" s="3"/>
      <c r="B4" s="7" t="s">
        <v>17</v>
      </c>
      <c r="C4" s="8">
        <v>70</v>
      </c>
      <c r="D4" s="8">
        <v>30</v>
      </c>
      <c r="E4" s="206" t="s">
        <v>98</v>
      </c>
      <c r="F4" s="206"/>
      <c r="G4" s="109"/>
      <c r="H4" s="223"/>
      <c r="I4" s="224"/>
    </row>
    <row r="5" spans="1:9" ht="15.75" customHeight="1" x14ac:dyDescent="0.25">
      <c r="A5" s="3"/>
      <c r="B5" s="7" t="s">
        <v>200</v>
      </c>
      <c r="C5" s="8">
        <v>716</v>
      </c>
      <c r="D5" s="8">
        <v>694</v>
      </c>
      <c r="E5" s="206" t="s">
        <v>110</v>
      </c>
      <c r="F5" s="206"/>
      <c r="G5" s="109"/>
      <c r="H5" s="223"/>
      <c r="I5" s="224"/>
    </row>
    <row r="6" spans="1:9" ht="15.75" customHeight="1" x14ac:dyDescent="0.25">
      <c r="A6" s="3"/>
      <c r="B6" s="7" t="s">
        <v>3</v>
      </c>
      <c r="C6" s="9">
        <v>163.38999999999999</v>
      </c>
      <c r="D6" s="9">
        <v>152.65</v>
      </c>
      <c r="E6" s="206" t="s">
        <v>111</v>
      </c>
      <c r="F6" s="206"/>
      <c r="G6" s="110"/>
      <c r="H6" s="223"/>
      <c r="I6" s="224"/>
    </row>
    <row r="7" spans="1:9" ht="15.75" customHeight="1" x14ac:dyDescent="0.25">
      <c r="A7" s="3"/>
      <c r="B7" s="7" t="s">
        <v>81</v>
      </c>
      <c r="C7" s="10">
        <v>0</v>
      </c>
      <c r="D7" s="10">
        <v>0</v>
      </c>
      <c r="E7" s="206" t="s">
        <v>112</v>
      </c>
      <c r="F7" s="206"/>
      <c r="G7" s="111"/>
      <c r="H7" s="223"/>
      <c r="I7" s="224"/>
    </row>
    <row r="8" spans="1:9" ht="15.75" customHeight="1" x14ac:dyDescent="0.25">
      <c r="A8" s="3"/>
      <c r="B8" s="7" t="s">
        <v>18</v>
      </c>
      <c r="C8" s="9">
        <v>0</v>
      </c>
      <c r="D8" s="9">
        <v>0</v>
      </c>
      <c r="E8" s="206" t="s">
        <v>111</v>
      </c>
      <c r="F8" s="206"/>
      <c r="G8" s="110"/>
      <c r="H8" s="223"/>
      <c r="I8" s="224"/>
    </row>
    <row r="9" spans="1:9" ht="7.5" customHeight="1" x14ac:dyDescent="0.25">
      <c r="A9" s="3"/>
      <c r="B9" s="200"/>
      <c r="C9" s="201"/>
      <c r="D9" s="201"/>
      <c r="E9" s="201"/>
      <c r="F9" s="201"/>
      <c r="G9" s="201"/>
      <c r="H9" s="201"/>
      <c r="I9" s="202"/>
    </row>
    <row r="10" spans="1:9" ht="15.75" x14ac:dyDescent="0.25">
      <c r="A10" s="3"/>
      <c r="B10" s="7" t="s">
        <v>196</v>
      </c>
      <c r="C10" s="11">
        <f>SUM(C4:D4)</f>
        <v>100</v>
      </c>
      <c r="D10" s="161" t="s">
        <v>98</v>
      </c>
      <c r="E10" s="207"/>
      <c r="F10" s="207"/>
      <c r="G10" s="207"/>
      <c r="H10" s="207"/>
      <c r="I10" s="208"/>
    </row>
    <row r="11" spans="1:9" ht="15.75" x14ac:dyDescent="0.25">
      <c r="A11" s="3"/>
      <c r="B11" s="7" t="s">
        <v>83</v>
      </c>
      <c r="C11" s="11">
        <f>(C4*C5+D4*D5)/C10</f>
        <v>709.4</v>
      </c>
      <c r="D11" s="161" t="s">
        <v>110</v>
      </c>
      <c r="E11" s="207"/>
      <c r="F11" s="207"/>
      <c r="G11" s="207"/>
      <c r="H11" s="207"/>
      <c r="I11" s="208"/>
    </row>
    <row r="12" spans="1:9" ht="15.75" x14ac:dyDescent="0.25">
      <c r="A12" s="3"/>
      <c r="B12" s="7" t="s">
        <v>84</v>
      </c>
      <c r="C12" s="12">
        <f>(C6*C4+D6*D4)/C10</f>
        <v>160.16800000000001</v>
      </c>
      <c r="D12" s="161" t="s">
        <v>111</v>
      </c>
      <c r="E12" s="207"/>
      <c r="F12" s="207"/>
      <c r="G12" s="207"/>
      <c r="H12" s="207"/>
      <c r="I12" s="208"/>
    </row>
    <row r="13" spans="1:9" ht="15.75" x14ac:dyDescent="0.25">
      <c r="A13" s="3"/>
      <c r="B13" s="7" t="s">
        <v>85</v>
      </c>
      <c r="C13" s="12">
        <f>(C8*C4+D8*D4)/C10</f>
        <v>0</v>
      </c>
      <c r="D13" s="161" t="s">
        <v>111</v>
      </c>
      <c r="E13" s="207"/>
      <c r="F13" s="207"/>
      <c r="G13" s="207"/>
      <c r="H13" s="207"/>
      <c r="I13" s="208"/>
    </row>
    <row r="14" spans="1:9" ht="15.75" x14ac:dyDescent="0.25">
      <c r="A14" s="3"/>
      <c r="B14" s="7" t="s">
        <v>175</v>
      </c>
      <c r="C14" s="12">
        <f>(C7+D7)/C10</f>
        <v>0</v>
      </c>
      <c r="D14" s="161" t="s">
        <v>100</v>
      </c>
      <c r="E14" s="207"/>
      <c r="F14" s="207"/>
      <c r="G14" s="207"/>
      <c r="H14" s="207"/>
      <c r="I14" s="208"/>
    </row>
    <row r="15" spans="1:9" ht="15.75" x14ac:dyDescent="0.25">
      <c r="A15" s="3"/>
      <c r="B15" s="7" t="s">
        <v>82</v>
      </c>
      <c r="C15" s="12">
        <f>((C12/100+C13/100)*C11)+C14</f>
        <v>1136.231792</v>
      </c>
      <c r="D15" s="161" t="s">
        <v>100</v>
      </c>
      <c r="E15" s="207"/>
      <c r="F15" s="207"/>
      <c r="G15" s="207"/>
      <c r="H15" s="207"/>
      <c r="I15" s="208"/>
    </row>
    <row r="16" spans="1:9" ht="7.5" customHeight="1" x14ac:dyDescent="0.25">
      <c r="A16" s="3"/>
      <c r="B16" s="181"/>
      <c r="C16" s="182"/>
      <c r="D16" s="182"/>
      <c r="E16" s="62"/>
      <c r="F16" s="62"/>
      <c r="G16" s="62"/>
      <c r="H16" s="62"/>
      <c r="I16" s="63"/>
    </row>
    <row r="17" spans="1:9" ht="18.75" x14ac:dyDescent="0.3">
      <c r="A17" s="3"/>
      <c r="B17" s="176" t="s">
        <v>186</v>
      </c>
      <c r="C17" s="177"/>
      <c r="D17" s="177"/>
      <c r="E17" s="177"/>
      <c r="F17" s="177"/>
      <c r="G17" s="177"/>
      <c r="H17" s="177"/>
      <c r="I17" s="178"/>
    </row>
    <row r="18" spans="1:9" ht="15.75" x14ac:dyDescent="0.25">
      <c r="A18" s="3"/>
      <c r="B18" s="7" t="s">
        <v>172</v>
      </c>
      <c r="C18" s="8">
        <v>1347</v>
      </c>
      <c r="D18" s="162" t="s">
        <v>113</v>
      </c>
      <c r="E18" s="167"/>
      <c r="F18" s="167" t="s">
        <v>201</v>
      </c>
      <c r="G18" s="168">
        <f>C18-C11</f>
        <v>637.6</v>
      </c>
      <c r="H18" s="165" t="s">
        <v>128</v>
      </c>
      <c r="I18" s="102"/>
    </row>
    <row r="19" spans="1:9" ht="15.75" x14ac:dyDescent="0.25">
      <c r="A19" s="3"/>
      <c r="B19" s="7" t="s">
        <v>86</v>
      </c>
      <c r="C19" s="13">
        <v>0.02</v>
      </c>
      <c r="D19" s="163" t="s">
        <v>101</v>
      </c>
      <c r="E19" s="209" t="s">
        <v>109</v>
      </c>
      <c r="F19" s="209"/>
      <c r="G19" s="15">
        <f>(C18-C11)/C23</f>
        <v>3.1880000000000002</v>
      </c>
      <c r="H19" s="166" t="s">
        <v>114</v>
      </c>
      <c r="I19" s="164"/>
    </row>
    <row r="20" spans="1:9" ht="15.75" x14ac:dyDescent="0.25">
      <c r="A20" s="3"/>
      <c r="B20" s="7" t="s">
        <v>170</v>
      </c>
      <c r="C20" s="9">
        <v>138</v>
      </c>
      <c r="D20" s="162" t="s">
        <v>173</v>
      </c>
      <c r="E20" s="154"/>
      <c r="F20" s="154" t="s">
        <v>126</v>
      </c>
      <c r="G20" s="15">
        <f>G19*C24</f>
        <v>19.351160000000004</v>
      </c>
      <c r="H20" s="166" t="s">
        <v>127</v>
      </c>
      <c r="I20" s="104"/>
    </row>
    <row r="21" spans="1:9" ht="15.75" x14ac:dyDescent="0.25">
      <c r="A21" s="3"/>
      <c r="B21" s="7" t="s">
        <v>171</v>
      </c>
      <c r="C21" s="9">
        <v>10</v>
      </c>
      <c r="D21" s="162" t="s">
        <v>173</v>
      </c>
      <c r="E21" s="130"/>
      <c r="F21" s="130"/>
      <c r="G21" s="15"/>
      <c r="H21" s="128"/>
      <c r="I21" s="129"/>
    </row>
    <row r="22" spans="1:9" ht="15.75" x14ac:dyDescent="0.25">
      <c r="A22" s="3"/>
      <c r="B22" s="7" t="s">
        <v>191</v>
      </c>
      <c r="C22" s="9">
        <v>0</v>
      </c>
      <c r="D22" s="162" t="s">
        <v>187</v>
      </c>
      <c r="E22" s="139"/>
      <c r="F22" s="139"/>
      <c r="G22" s="15"/>
      <c r="H22" s="137"/>
      <c r="I22" s="138"/>
    </row>
    <row r="23" spans="1:9" ht="15.75" x14ac:dyDescent="0.25">
      <c r="A23" s="3"/>
      <c r="B23" s="7" t="s">
        <v>4</v>
      </c>
      <c r="C23" s="14">
        <v>200</v>
      </c>
      <c r="D23" s="162" t="s">
        <v>99</v>
      </c>
      <c r="I23" s="122"/>
    </row>
    <row r="24" spans="1:9" ht="15.75" x14ac:dyDescent="0.25">
      <c r="A24" s="3"/>
      <c r="B24" s="7" t="s">
        <v>189</v>
      </c>
      <c r="C24" s="112">
        <v>6.07</v>
      </c>
      <c r="D24" s="103"/>
      <c r="I24" s="122"/>
    </row>
    <row r="25" spans="1:9" x14ac:dyDescent="0.25">
      <c r="A25" s="3"/>
      <c r="B25" s="119"/>
      <c r="I25" s="122"/>
    </row>
    <row r="26" spans="1:9" ht="18.75" customHeight="1" x14ac:dyDescent="0.3">
      <c r="A26" s="3"/>
      <c r="B26" s="17" t="s">
        <v>87</v>
      </c>
      <c r="C26" s="198" t="s">
        <v>102</v>
      </c>
      <c r="D26" s="157" t="s">
        <v>204</v>
      </c>
      <c r="E26" s="216" t="s">
        <v>206</v>
      </c>
      <c r="F26" s="147" t="s">
        <v>174</v>
      </c>
      <c r="G26" s="155" t="s">
        <v>130</v>
      </c>
      <c r="H26" s="155"/>
      <c r="I26" s="159"/>
    </row>
    <row r="27" spans="1:9" ht="15.75" x14ac:dyDescent="0.25">
      <c r="A27" s="3"/>
      <c r="B27" s="18" t="s">
        <v>125</v>
      </c>
      <c r="C27" s="199"/>
      <c r="D27" s="158" t="s">
        <v>205</v>
      </c>
      <c r="E27" s="217"/>
      <c r="F27" s="156"/>
      <c r="G27" s="156" t="s">
        <v>129</v>
      </c>
      <c r="H27" s="156"/>
      <c r="I27" s="160"/>
    </row>
    <row r="28" spans="1:9" ht="15.75" x14ac:dyDescent="0.25">
      <c r="A28" s="3"/>
      <c r="B28" s="21" t="s">
        <v>119</v>
      </c>
      <c r="C28" s="148">
        <v>222</v>
      </c>
      <c r="D28" s="108">
        <v>0.87</v>
      </c>
      <c r="E28" s="117">
        <v>0.55000000000000004</v>
      </c>
      <c r="F28" s="117">
        <v>0.02</v>
      </c>
      <c r="G28" s="52">
        <f t="shared" ref="G28:G33" si="0">((C28/D28)/2000*$G$20*$E28)*(1+F28)</f>
        <v>1.385075959034483</v>
      </c>
      <c r="H28" s="113"/>
      <c r="I28" s="115"/>
    </row>
    <row r="29" spans="1:9" ht="15.75" x14ac:dyDescent="0.25">
      <c r="A29" s="3"/>
      <c r="B29" s="21" t="s">
        <v>192</v>
      </c>
      <c r="C29" s="148">
        <v>65</v>
      </c>
      <c r="D29" s="108">
        <v>0.35</v>
      </c>
      <c r="E29" s="117">
        <v>0.2</v>
      </c>
      <c r="F29" s="117">
        <v>0.2</v>
      </c>
      <c r="G29" s="52">
        <f t="shared" si="0"/>
        <v>0.43125442285714299</v>
      </c>
      <c r="H29" s="114"/>
      <c r="I29" s="115"/>
    </row>
    <row r="30" spans="1:9" ht="15.75" x14ac:dyDescent="0.25">
      <c r="A30" s="3"/>
      <c r="B30" s="21" t="s">
        <v>202</v>
      </c>
      <c r="C30" s="148">
        <v>258</v>
      </c>
      <c r="D30" s="108">
        <v>0.9</v>
      </c>
      <c r="E30" s="117">
        <v>0.2</v>
      </c>
      <c r="F30" s="117">
        <v>0.05</v>
      </c>
      <c r="G30" s="52">
        <f t="shared" si="0"/>
        <v>0.5824699160000002</v>
      </c>
      <c r="H30" s="114"/>
      <c r="I30" s="115"/>
    </row>
    <row r="31" spans="1:9" ht="15.75" x14ac:dyDescent="0.25">
      <c r="A31" s="3"/>
      <c r="B31" s="21" t="s">
        <v>193</v>
      </c>
      <c r="C31" s="148">
        <v>85</v>
      </c>
      <c r="D31" s="108">
        <v>0.89</v>
      </c>
      <c r="E31" s="117">
        <v>0</v>
      </c>
      <c r="F31" s="117">
        <v>0.1</v>
      </c>
      <c r="G31" s="52">
        <f t="shared" si="0"/>
        <v>0</v>
      </c>
      <c r="H31" s="114"/>
      <c r="I31" s="115"/>
    </row>
    <row r="32" spans="1:9" ht="15.75" x14ac:dyDescent="0.25">
      <c r="A32" s="3"/>
      <c r="B32" s="21" t="s">
        <v>203</v>
      </c>
      <c r="C32" s="148">
        <v>300</v>
      </c>
      <c r="D32" s="108">
        <v>0.9</v>
      </c>
      <c r="E32" s="117">
        <v>0</v>
      </c>
      <c r="F32" s="117">
        <v>0.02</v>
      </c>
      <c r="G32" s="52">
        <f t="shared" si="0"/>
        <v>0</v>
      </c>
      <c r="H32" s="114"/>
      <c r="I32" s="115"/>
    </row>
    <row r="33" spans="1:9" ht="15.75" x14ac:dyDescent="0.25">
      <c r="A33" s="3"/>
      <c r="B33" s="21" t="s">
        <v>123</v>
      </c>
      <c r="C33" s="22">
        <v>600</v>
      </c>
      <c r="D33" s="108">
        <v>1</v>
      </c>
      <c r="E33" s="117">
        <v>0.05</v>
      </c>
      <c r="F33" s="117">
        <v>0.02</v>
      </c>
      <c r="G33" s="52">
        <f t="shared" si="0"/>
        <v>0.29607274800000005</v>
      </c>
      <c r="H33" s="114"/>
      <c r="I33" s="115"/>
    </row>
    <row r="34" spans="1:9" ht="15.75" x14ac:dyDescent="0.25">
      <c r="A34" s="3"/>
      <c r="B34" s="218"/>
      <c r="C34" s="219"/>
      <c r="D34" s="169" t="s">
        <v>131</v>
      </c>
      <c r="E34" s="116">
        <f>SUM(E28:E33)</f>
        <v>1</v>
      </c>
      <c r="F34" s="135"/>
      <c r="G34" s="131"/>
      <c r="H34" s="131"/>
      <c r="I34" s="132"/>
    </row>
    <row r="35" spans="1:9" ht="7.5" customHeight="1" x14ac:dyDescent="0.25">
      <c r="A35" s="3"/>
      <c r="B35" s="200"/>
      <c r="C35" s="201"/>
      <c r="D35" s="201"/>
      <c r="E35" s="201"/>
      <c r="F35" s="201"/>
      <c r="G35" s="201"/>
      <c r="H35" s="201"/>
      <c r="I35" s="202"/>
    </row>
    <row r="36" spans="1:9" ht="15.75" x14ac:dyDescent="0.25">
      <c r="A36" s="3"/>
      <c r="B36" s="24" t="s">
        <v>132</v>
      </c>
      <c r="C36" s="25">
        <f>SUM(G28:G33)*C23</f>
        <v>538.97460917832541</v>
      </c>
      <c r="D36" s="57"/>
      <c r="E36" s="188"/>
      <c r="F36" s="188"/>
      <c r="G36" s="188"/>
      <c r="H36" s="188"/>
      <c r="I36" s="189"/>
    </row>
    <row r="37" spans="1:9" ht="15.75" x14ac:dyDescent="0.25">
      <c r="A37" s="3"/>
      <c r="B37" s="24" t="s">
        <v>89</v>
      </c>
      <c r="C37" s="26">
        <f>C36/C23</f>
        <v>2.6948730458916272</v>
      </c>
      <c r="D37" s="57"/>
      <c r="E37" s="188"/>
      <c r="F37" s="188"/>
      <c r="G37" s="188"/>
      <c r="H37" s="188"/>
      <c r="I37" s="189"/>
    </row>
    <row r="38" spans="1:9" ht="15.75" x14ac:dyDescent="0.25">
      <c r="A38" s="3"/>
      <c r="B38" s="24" t="s">
        <v>88</v>
      </c>
      <c r="C38" s="26">
        <f>C36/(C18-C11)</f>
        <v>0.84531776847290685</v>
      </c>
      <c r="D38" s="57"/>
      <c r="E38" s="188"/>
      <c r="F38" s="188"/>
      <c r="G38" s="188"/>
      <c r="H38" s="188"/>
      <c r="I38" s="189"/>
    </row>
    <row r="39" spans="1:9" ht="15" customHeight="1" x14ac:dyDescent="0.25">
      <c r="A39" s="3"/>
      <c r="B39" s="120" t="s">
        <v>133</v>
      </c>
      <c r="C39" s="121">
        <f>C37/G20</f>
        <v>0.13926157635467987</v>
      </c>
      <c r="D39" s="143"/>
      <c r="E39" s="143"/>
      <c r="F39" s="143"/>
      <c r="G39" s="143"/>
      <c r="H39" s="143"/>
      <c r="I39" s="144"/>
    </row>
    <row r="40" spans="1:9" ht="15" customHeight="1" x14ac:dyDescent="0.25">
      <c r="A40" s="3"/>
      <c r="B40" s="149"/>
      <c r="C40" s="118"/>
      <c r="D40" s="145"/>
      <c r="E40" s="145"/>
      <c r="F40" s="145"/>
      <c r="G40" s="145"/>
      <c r="H40" s="145"/>
      <c r="I40" s="146"/>
    </row>
    <row r="41" spans="1:9" ht="15" customHeight="1" x14ac:dyDescent="0.3">
      <c r="A41" s="3"/>
      <c r="B41" s="203" t="s">
        <v>11</v>
      </c>
      <c r="C41" s="204"/>
      <c r="D41" s="204"/>
      <c r="E41" s="205"/>
      <c r="F41" s="190" t="s">
        <v>71</v>
      </c>
      <c r="G41" s="191"/>
      <c r="H41" s="191"/>
      <c r="I41" s="192"/>
    </row>
    <row r="42" spans="1:9" ht="15.75" x14ac:dyDescent="0.25">
      <c r="A42" s="3"/>
      <c r="B42" s="27" t="s">
        <v>8</v>
      </c>
      <c r="C42" s="20"/>
      <c r="D42" s="20"/>
      <c r="E42" s="20"/>
      <c r="F42" s="193"/>
      <c r="G42" s="193"/>
      <c r="H42" s="193"/>
      <c r="I42" s="194"/>
    </row>
    <row r="43" spans="1:9" ht="15.75" x14ac:dyDescent="0.25">
      <c r="A43" s="3"/>
      <c r="B43" s="21" t="s">
        <v>12</v>
      </c>
      <c r="C43" s="59"/>
      <c r="D43" s="28">
        <v>1.44</v>
      </c>
      <c r="E43" s="163" t="s">
        <v>100</v>
      </c>
      <c r="F43" s="214" t="s">
        <v>72</v>
      </c>
      <c r="G43" s="214"/>
      <c r="H43" s="214"/>
      <c r="I43" s="215"/>
    </row>
    <row r="44" spans="1:9" ht="15.75" x14ac:dyDescent="0.25">
      <c r="A44" s="3"/>
      <c r="B44" s="21" t="s">
        <v>13</v>
      </c>
      <c r="C44" s="59"/>
      <c r="D44" s="28">
        <v>0.7</v>
      </c>
      <c r="E44" s="163" t="s">
        <v>100</v>
      </c>
      <c r="F44" s="186" t="s">
        <v>75</v>
      </c>
      <c r="G44" s="186"/>
      <c r="H44" s="186"/>
      <c r="I44" s="187"/>
    </row>
    <row r="45" spans="1:9" ht="15.75" x14ac:dyDescent="0.25">
      <c r="A45" s="3"/>
      <c r="B45" s="21" t="s">
        <v>14</v>
      </c>
      <c r="C45" s="59"/>
      <c r="D45" s="28">
        <v>3.76</v>
      </c>
      <c r="E45" s="163" t="s">
        <v>100</v>
      </c>
      <c r="F45" s="186" t="s">
        <v>183</v>
      </c>
      <c r="G45" s="186"/>
      <c r="H45" s="186"/>
      <c r="I45" s="187"/>
    </row>
    <row r="46" spans="1:9" ht="15.75" x14ac:dyDescent="0.25">
      <c r="A46" s="3"/>
      <c r="B46" s="21" t="s">
        <v>73</v>
      </c>
      <c r="C46" s="59"/>
      <c r="D46" s="28">
        <v>4.18</v>
      </c>
      <c r="E46" s="163" t="s">
        <v>100</v>
      </c>
      <c r="F46" s="186" t="s">
        <v>74</v>
      </c>
      <c r="G46" s="186"/>
      <c r="H46" s="186"/>
      <c r="I46" s="187"/>
    </row>
    <row r="47" spans="1:9" ht="15.75" x14ac:dyDescent="0.25">
      <c r="A47" s="3"/>
      <c r="B47" s="21" t="s">
        <v>76</v>
      </c>
      <c r="C47" s="59"/>
      <c r="D47" s="28">
        <v>8.44</v>
      </c>
      <c r="E47" s="163" t="s">
        <v>100</v>
      </c>
      <c r="F47" s="186" t="s">
        <v>169</v>
      </c>
      <c r="G47" s="186"/>
      <c r="H47" s="186"/>
      <c r="I47" s="187"/>
    </row>
    <row r="48" spans="1:9" ht="15.75" x14ac:dyDescent="0.25">
      <c r="A48" s="3"/>
      <c r="B48" s="21" t="s">
        <v>15</v>
      </c>
      <c r="C48" s="59"/>
      <c r="D48" s="28">
        <v>0.8</v>
      </c>
      <c r="E48" s="163" t="s">
        <v>100</v>
      </c>
      <c r="F48" s="186" t="s">
        <v>184</v>
      </c>
      <c r="G48" s="186"/>
      <c r="H48" s="186"/>
      <c r="I48" s="187"/>
    </row>
    <row r="49" spans="1:9" ht="15.75" x14ac:dyDescent="0.25">
      <c r="A49" s="3"/>
      <c r="B49" s="21" t="s">
        <v>91</v>
      </c>
      <c r="C49" s="59"/>
      <c r="D49" s="28">
        <v>0</v>
      </c>
      <c r="E49" s="163" t="s">
        <v>100</v>
      </c>
      <c r="F49" s="188"/>
      <c r="G49" s="188"/>
      <c r="H49" s="188"/>
      <c r="I49" s="189"/>
    </row>
    <row r="50" spans="1:9" ht="15.75" x14ac:dyDescent="0.25">
      <c r="A50" s="3"/>
      <c r="B50" s="21" t="s">
        <v>27</v>
      </c>
      <c r="C50" s="59"/>
      <c r="D50" s="28">
        <v>0</v>
      </c>
      <c r="E50" s="163" t="s">
        <v>100</v>
      </c>
      <c r="F50" s="186" t="s">
        <v>92</v>
      </c>
      <c r="G50" s="186"/>
      <c r="H50" s="186"/>
      <c r="I50" s="187"/>
    </row>
    <row r="51" spans="1:9" ht="15.75" x14ac:dyDescent="0.25">
      <c r="A51" s="3"/>
      <c r="B51" s="21" t="s">
        <v>54</v>
      </c>
      <c r="C51" s="59"/>
      <c r="D51" s="28">
        <v>0</v>
      </c>
      <c r="E51" s="163" t="s">
        <v>100</v>
      </c>
      <c r="F51" s="188"/>
      <c r="G51" s="188"/>
      <c r="H51" s="188"/>
      <c r="I51" s="189"/>
    </row>
    <row r="52" spans="1:9" ht="15.75" x14ac:dyDescent="0.25">
      <c r="A52" s="3"/>
      <c r="B52" s="7"/>
      <c r="C52" s="29" t="s">
        <v>9</v>
      </c>
      <c r="D52" s="12">
        <f>SUM(D43:D51)</f>
        <v>19.319999999999997</v>
      </c>
      <c r="E52" s="163" t="s">
        <v>100</v>
      </c>
      <c r="F52" s="196"/>
      <c r="G52" s="196"/>
      <c r="H52" s="196"/>
      <c r="I52" s="197"/>
    </row>
    <row r="53" spans="1:9" ht="18.75" x14ac:dyDescent="0.3">
      <c r="A53" s="3"/>
      <c r="B53" s="176" t="s">
        <v>16</v>
      </c>
      <c r="C53" s="177"/>
      <c r="D53" s="177"/>
      <c r="E53" s="177"/>
      <c r="F53" s="177"/>
      <c r="G53" s="177"/>
      <c r="H53" s="177"/>
      <c r="I53" s="178"/>
    </row>
    <row r="54" spans="1:9" ht="15.75" x14ac:dyDescent="0.25">
      <c r="A54" s="3"/>
      <c r="B54" s="24" t="s">
        <v>19</v>
      </c>
      <c r="C54" s="31">
        <v>1.4999999999999999E-2</v>
      </c>
      <c r="D54" s="163" t="s">
        <v>101</v>
      </c>
      <c r="E54" s="152" t="s">
        <v>65</v>
      </c>
      <c r="F54" s="152"/>
      <c r="G54" s="14">
        <v>900</v>
      </c>
      <c r="H54" s="162" t="s">
        <v>113</v>
      </c>
      <c r="I54" s="170"/>
    </row>
    <row r="55" spans="1:9" ht="15.75" x14ac:dyDescent="0.25">
      <c r="A55" s="3"/>
      <c r="B55" s="120" t="s">
        <v>35</v>
      </c>
      <c r="C55" s="140">
        <f>0.5*C54</f>
        <v>7.4999999999999997E-3</v>
      </c>
      <c r="D55" s="163" t="s">
        <v>101</v>
      </c>
      <c r="E55" s="152" t="s">
        <v>207</v>
      </c>
      <c r="F55" s="152"/>
      <c r="G55" s="171">
        <v>135</v>
      </c>
      <c r="H55" s="162" t="s">
        <v>111</v>
      </c>
      <c r="I55" s="170"/>
    </row>
    <row r="56" spans="1:9" ht="15.75" x14ac:dyDescent="0.25">
      <c r="A56" s="3"/>
      <c r="B56" s="7" t="s">
        <v>190</v>
      </c>
      <c r="C56" s="28">
        <v>7.39</v>
      </c>
      <c r="D56" s="163" t="s">
        <v>100</v>
      </c>
      <c r="E56" s="195" t="s">
        <v>34</v>
      </c>
      <c r="F56" s="195"/>
      <c r="G56" s="121">
        <f>(C55*G54*(G55/100))</f>
        <v>9.1125000000000007</v>
      </c>
      <c r="H56" s="212" t="s">
        <v>100</v>
      </c>
      <c r="I56" s="213"/>
    </row>
    <row r="57" spans="1:9" ht="15.75" x14ac:dyDescent="0.25">
      <c r="A57" s="3"/>
      <c r="B57" s="7" t="s">
        <v>36</v>
      </c>
      <c r="C57" s="33">
        <f>C54*(C15+(28*C37)+(28*C60)+A52)</f>
        <v>18.455549249274487</v>
      </c>
      <c r="D57" s="163" t="s">
        <v>100</v>
      </c>
      <c r="E57" s="184"/>
      <c r="F57" s="184"/>
      <c r="G57" s="60"/>
      <c r="H57" s="184"/>
      <c r="I57" s="185"/>
    </row>
    <row r="58" spans="1:9" ht="7.5" customHeight="1" x14ac:dyDescent="0.25">
      <c r="A58" s="3"/>
      <c r="B58" s="181"/>
      <c r="C58" s="182"/>
      <c r="D58" s="182"/>
      <c r="E58" s="182"/>
      <c r="F58" s="182"/>
      <c r="G58" s="182"/>
      <c r="H58" s="182"/>
      <c r="I58" s="183"/>
    </row>
    <row r="59" spans="1:9" ht="18.75" x14ac:dyDescent="0.3">
      <c r="A59" s="3"/>
      <c r="B59" s="176" t="s">
        <v>2</v>
      </c>
      <c r="C59" s="177"/>
      <c r="D59" s="177"/>
      <c r="E59" s="177"/>
      <c r="F59" s="177"/>
      <c r="G59" s="177"/>
      <c r="H59" s="177"/>
      <c r="I59" s="178"/>
    </row>
    <row r="60" spans="1:9" ht="15.75" x14ac:dyDescent="0.25">
      <c r="A60" s="3"/>
      <c r="B60" s="7" t="s">
        <v>31</v>
      </c>
      <c r="C60" s="174">
        <f>'Yardage Calculator'!F42</f>
        <v>0.66720402380952382</v>
      </c>
      <c r="D60" s="163" t="s">
        <v>115</v>
      </c>
      <c r="E60" s="179" t="s">
        <v>70</v>
      </c>
      <c r="F60" s="179"/>
      <c r="G60" s="179"/>
      <c r="H60" s="179"/>
      <c r="I60" s="180"/>
    </row>
    <row r="61" spans="1:9" ht="15.75" x14ac:dyDescent="0.25">
      <c r="A61" s="3"/>
      <c r="B61" s="7" t="s">
        <v>6</v>
      </c>
      <c r="C61" s="35">
        <v>1</v>
      </c>
      <c r="D61" s="172" t="s">
        <v>100</v>
      </c>
      <c r="E61" s="188"/>
      <c r="F61" s="188"/>
      <c r="G61" s="188"/>
      <c r="H61" s="188"/>
      <c r="I61" s="189"/>
    </row>
    <row r="62" spans="1:9" ht="15.75" x14ac:dyDescent="0.25">
      <c r="A62" s="3"/>
      <c r="B62" s="7" t="s">
        <v>20</v>
      </c>
      <c r="C62" s="34">
        <v>0.04</v>
      </c>
      <c r="D62" s="163" t="s">
        <v>101</v>
      </c>
      <c r="E62" s="188"/>
      <c r="F62" s="188"/>
      <c r="G62" s="188"/>
      <c r="H62" s="188"/>
      <c r="I62" s="189"/>
    </row>
    <row r="63" spans="1:9" ht="15.75" x14ac:dyDescent="0.25">
      <c r="A63" s="3"/>
      <c r="B63" s="7" t="s">
        <v>40</v>
      </c>
      <c r="C63" s="34">
        <v>1</v>
      </c>
      <c r="D63" s="163" t="s">
        <v>101</v>
      </c>
      <c r="E63" s="188"/>
      <c r="F63" s="188"/>
      <c r="G63" s="188"/>
      <c r="H63" s="188"/>
      <c r="I63" s="189"/>
    </row>
    <row r="64" spans="1:9" ht="15.75" x14ac:dyDescent="0.25">
      <c r="A64" s="3"/>
      <c r="B64" s="7" t="s">
        <v>42</v>
      </c>
      <c r="C64" s="34">
        <v>0.04</v>
      </c>
      <c r="D64" s="163" t="s">
        <v>101</v>
      </c>
      <c r="E64" s="188"/>
      <c r="F64" s="188"/>
      <c r="G64" s="188"/>
      <c r="H64" s="188"/>
      <c r="I64" s="189"/>
    </row>
    <row r="65" spans="1:9" ht="15.75" x14ac:dyDescent="0.25">
      <c r="A65" s="3"/>
      <c r="B65" s="7" t="s">
        <v>41</v>
      </c>
      <c r="C65" s="34">
        <v>0</v>
      </c>
      <c r="D65" s="163" t="s">
        <v>101</v>
      </c>
      <c r="E65" s="188"/>
      <c r="F65" s="188"/>
      <c r="G65" s="188"/>
      <c r="H65" s="188"/>
      <c r="I65" s="189"/>
    </row>
    <row r="66" spans="1:9" ht="15.75" x14ac:dyDescent="0.25">
      <c r="A66" s="3"/>
      <c r="B66" s="7" t="s">
        <v>90</v>
      </c>
      <c r="C66" s="35">
        <v>2</v>
      </c>
      <c r="D66" s="163" t="s">
        <v>116</v>
      </c>
      <c r="E66" s="188"/>
      <c r="F66" s="188"/>
      <c r="G66" s="188"/>
      <c r="H66" s="188"/>
      <c r="I66" s="189"/>
    </row>
    <row r="67" spans="1:9" ht="15.75" x14ac:dyDescent="0.25">
      <c r="A67" s="3"/>
      <c r="B67" s="7" t="s">
        <v>30</v>
      </c>
      <c r="C67" s="36">
        <v>40.5</v>
      </c>
      <c r="D67" s="163" t="s">
        <v>100</v>
      </c>
      <c r="E67" s="188"/>
      <c r="F67" s="188"/>
      <c r="G67" s="188"/>
      <c r="H67" s="188"/>
      <c r="I67" s="189"/>
    </row>
    <row r="68" spans="1:9" ht="15.75" x14ac:dyDescent="0.25">
      <c r="A68" s="3"/>
      <c r="B68" s="7" t="s">
        <v>176</v>
      </c>
      <c r="C68" s="34">
        <v>0</v>
      </c>
      <c r="D68" s="172" t="s">
        <v>117</v>
      </c>
      <c r="E68" s="188"/>
      <c r="F68" s="188"/>
      <c r="G68" s="188"/>
      <c r="H68" s="188"/>
      <c r="I68" s="189"/>
    </row>
    <row r="69" spans="1:9" ht="15.75" x14ac:dyDescent="0.25">
      <c r="A69" s="3"/>
      <c r="B69" s="7" t="s">
        <v>7</v>
      </c>
      <c r="C69" s="35">
        <v>1</v>
      </c>
      <c r="D69" s="172" t="s">
        <v>100</v>
      </c>
      <c r="E69" s="188"/>
      <c r="F69" s="188"/>
      <c r="G69" s="188"/>
      <c r="H69" s="188"/>
      <c r="I69" s="189"/>
    </row>
    <row r="70" spans="1:9" ht="7.5" customHeight="1" x14ac:dyDescent="0.25">
      <c r="A70" s="3"/>
      <c r="B70" s="181"/>
      <c r="C70" s="182"/>
      <c r="D70" s="182"/>
      <c r="E70" s="182"/>
      <c r="F70" s="182"/>
      <c r="G70" s="182"/>
      <c r="H70" s="182"/>
      <c r="I70" s="183"/>
    </row>
    <row r="71" spans="1:9" x14ac:dyDescent="0.25">
      <c r="A71" s="3"/>
      <c r="B71" s="188"/>
      <c r="C71" s="188"/>
      <c r="D71" s="188"/>
      <c r="E71" s="188"/>
      <c r="F71" s="188"/>
      <c r="G71" s="188"/>
      <c r="H71" s="211" t="s">
        <v>214</v>
      </c>
      <c r="I71" s="211"/>
    </row>
    <row r="72" spans="1:9" x14ac:dyDescent="0.25">
      <c r="A72" s="3"/>
      <c r="B72" s="210"/>
      <c r="C72" s="210"/>
      <c r="D72" s="210"/>
      <c r="E72" s="210"/>
      <c r="F72" s="210"/>
      <c r="G72" s="210"/>
      <c r="H72" s="211"/>
      <c r="I72" s="211"/>
    </row>
    <row r="73" spans="1:9" x14ac:dyDescent="0.25">
      <c r="A73" s="3"/>
      <c r="B73" s="210"/>
      <c r="C73" s="210"/>
      <c r="D73" s="210"/>
      <c r="E73" s="210"/>
      <c r="F73" s="210"/>
      <c r="G73" s="210"/>
      <c r="H73" s="211"/>
      <c r="I73" s="211"/>
    </row>
    <row r="74" spans="1:9" x14ac:dyDescent="0.25">
      <c r="A74" s="3"/>
      <c r="B74" s="210"/>
      <c r="C74" s="210"/>
      <c r="D74" s="210"/>
      <c r="E74" s="210"/>
      <c r="F74" s="210"/>
      <c r="G74" s="210"/>
      <c r="H74" s="211"/>
      <c r="I74" s="211"/>
    </row>
  </sheetData>
  <sheetProtection sheet="1"/>
  <mergeCells count="62">
    <mergeCell ref="B2:I2"/>
    <mergeCell ref="H3:I3"/>
    <mergeCell ref="B9:I9"/>
    <mergeCell ref="B16:D16"/>
    <mergeCell ref="H4:I4"/>
    <mergeCell ref="H5:I5"/>
    <mergeCell ref="H6:I6"/>
    <mergeCell ref="E4:F4"/>
    <mergeCell ref="E5:F5"/>
    <mergeCell ref="E6:F6"/>
    <mergeCell ref="H7:I7"/>
    <mergeCell ref="E10:I10"/>
    <mergeCell ref="E7:F7"/>
    <mergeCell ref="E12:I12"/>
    <mergeCell ref="E13:I13"/>
    <mergeCell ref="H8:I8"/>
    <mergeCell ref="B17:I17"/>
    <mergeCell ref="E14:I14"/>
    <mergeCell ref="E15:I15"/>
    <mergeCell ref="E26:E27"/>
    <mergeCell ref="B34:C34"/>
    <mergeCell ref="E8:F8"/>
    <mergeCell ref="E11:I11"/>
    <mergeCell ref="E19:F19"/>
    <mergeCell ref="B71:G74"/>
    <mergeCell ref="H71:I74"/>
    <mergeCell ref="E61:I61"/>
    <mergeCell ref="E62:I62"/>
    <mergeCell ref="E63:I63"/>
    <mergeCell ref="E67:I67"/>
    <mergeCell ref="B70:I70"/>
    <mergeCell ref="E69:I69"/>
    <mergeCell ref="E68:I68"/>
    <mergeCell ref="E66:I66"/>
    <mergeCell ref="E65:I65"/>
    <mergeCell ref="E64:I64"/>
    <mergeCell ref="H56:I56"/>
    <mergeCell ref="C26:C27"/>
    <mergeCell ref="B35:I35"/>
    <mergeCell ref="B41:E41"/>
    <mergeCell ref="E37:I37"/>
    <mergeCell ref="E38:I38"/>
    <mergeCell ref="E36:I36"/>
    <mergeCell ref="E56:F56"/>
    <mergeCell ref="F50:I50"/>
    <mergeCell ref="B53:I53"/>
    <mergeCell ref="F52:I52"/>
    <mergeCell ref="F48:I48"/>
    <mergeCell ref="F47:I47"/>
    <mergeCell ref="F51:I51"/>
    <mergeCell ref="F49:I49"/>
    <mergeCell ref="F41:I41"/>
    <mergeCell ref="F45:I45"/>
    <mergeCell ref="F46:I46"/>
    <mergeCell ref="F42:I42"/>
    <mergeCell ref="F44:I44"/>
    <mergeCell ref="F43:I43"/>
    <mergeCell ref="B59:I59"/>
    <mergeCell ref="E60:I60"/>
    <mergeCell ref="B58:I58"/>
    <mergeCell ref="H57:I57"/>
    <mergeCell ref="E57:F57"/>
  </mergeCells>
  <pageMargins left="0.7" right="0.7" top="0.75" bottom="0.75" header="0.3" footer="0.3"/>
  <pageSetup orientation="portrait" r:id="rId1"/>
  <customProperties>
    <customPr name="SSCSheetTrackingNo" r:id="rId2"/>
  </customProperties>
  <ignoredErrors>
    <ignoredError sqref="G28:G33" unlockedFormula="1"/>
  </ignoredError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E6"/>
  <sheetViews>
    <sheetView workbookViewId="0"/>
  </sheetViews>
  <sheetFormatPr defaultRowHeight="15" x14ac:dyDescent="0.25"/>
  <sheetData>
    <row r="1" spans="3:5" x14ac:dyDescent="0.25">
      <c r="C1" t="s">
        <v>108</v>
      </c>
      <c r="D1" t="s">
        <v>103</v>
      </c>
      <c r="E1" t="s">
        <v>104</v>
      </c>
    </row>
    <row r="2" spans="3:5" x14ac:dyDescent="0.25">
      <c r="C2" t="s">
        <v>106</v>
      </c>
    </row>
    <row r="3" spans="3:5" x14ac:dyDescent="0.25">
      <c r="C3" t="s">
        <v>108</v>
      </c>
    </row>
    <row r="4" spans="3:5" x14ac:dyDescent="0.25">
      <c r="C4" t="s">
        <v>108</v>
      </c>
    </row>
    <row r="5" spans="3:5" x14ac:dyDescent="0.25">
      <c r="C5" t="s">
        <v>107</v>
      </c>
    </row>
    <row r="6" spans="3:5" x14ac:dyDescent="0.25">
      <c r="C6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34"/>
  <sheetViews>
    <sheetView zoomScaleNormal="100" workbookViewId="0">
      <selection activeCell="E30" sqref="E30"/>
    </sheetView>
  </sheetViews>
  <sheetFormatPr defaultColWidth="9.140625" defaultRowHeight="15" x14ac:dyDescent="0.25"/>
  <cols>
    <col min="1" max="1" width="7.7109375" style="1" customWidth="1"/>
    <col min="2" max="2" width="63.42578125" style="1" customWidth="1"/>
    <col min="3" max="3" width="15.28515625" style="1" customWidth="1"/>
    <col min="4" max="4" width="19.7109375" style="1" customWidth="1"/>
    <col min="5" max="5" width="4" style="1" customWidth="1"/>
    <col min="6" max="6" width="12" style="1" customWidth="1"/>
    <col min="7" max="16384" width="9.140625" style="1"/>
  </cols>
  <sheetData>
    <row r="1" spans="2:6" ht="15" customHeight="1" x14ac:dyDescent="0.25"/>
    <row r="2" spans="2:6" ht="21" x14ac:dyDescent="0.35">
      <c r="B2" s="55" t="s">
        <v>195</v>
      </c>
    </row>
    <row r="3" spans="2:6" ht="15" customHeight="1" x14ac:dyDescent="0.25">
      <c r="B3" s="225"/>
      <c r="C3" s="227" t="s">
        <v>32</v>
      </c>
      <c r="D3" s="64" t="s">
        <v>39</v>
      </c>
    </row>
    <row r="4" spans="2:6" ht="15.75" x14ac:dyDescent="0.25">
      <c r="B4" s="226"/>
      <c r="C4" s="228"/>
      <c r="D4" s="173" t="str">
        <f>""&amp;Input!C10&amp;" Head"</f>
        <v>100 Head</v>
      </c>
    </row>
    <row r="5" spans="2:6" ht="15.75" x14ac:dyDescent="0.25">
      <c r="B5" s="65" t="s">
        <v>21</v>
      </c>
      <c r="C5" s="68"/>
      <c r="D5" s="71"/>
    </row>
    <row r="6" spans="2:6" ht="15.75" x14ac:dyDescent="0.25">
      <c r="B6" s="66" t="s">
        <v>197</v>
      </c>
      <c r="C6" s="69">
        <f>(1-Input!C19-Input!C55)*(Input!C18*((Input!C20+Input!C21)/100))</f>
        <v>1938.7371000000001</v>
      </c>
      <c r="D6" s="72">
        <f>C6*Input!C$10</f>
        <v>193873.71</v>
      </c>
      <c r="F6" s="37"/>
    </row>
    <row r="7" spans="2:6" ht="15.75" x14ac:dyDescent="0.25">
      <c r="B7" s="66" t="s">
        <v>22</v>
      </c>
      <c r="C7" s="70">
        <f>Input!G56</f>
        <v>9.1125000000000007</v>
      </c>
      <c r="D7" s="72">
        <f>C7*Input!C$10</f>
        <v>911.25000000000011</v>
      </c>
      <c r="F7" s="37"/>
    </row>
    <row r="8" spans="2:6" ht="15.75" x14ac:dyDescent="0.25">
      <c r="B8" s="66" t="s">
        <v>188</v>
      </c>
      <c r="C8" s="70">
        <f>Input!C22</f>
        <v>0</v>
      </c>
      <c r="D8" s="72">
        <f>C8*Input!C$10</f>
        <v>0</v>
      </c>
      <c r="F8" s="37"/>
    </row>
    <row r="9" spans="2:6" ht="15.75" x14ac:dyDescent="0.25">
      <c r="B9" s="66" t="s">
        <v>37</v>
      </c>
      <c r="C9" s="69">
        <f>SUM(C6:C8)</f>
        <v>1947.8496</v>
      </c>
      <c r="D9" s="72">
        <f>SUM(D6:D8)</f>
        <v>194784.96</v>
      </c>
      <c r="F9" s="37"/>
    </row>
    <row r="10" spans="2:6" ht="7.5" customHeight="1" x14ac:dyDescent="0.25">
      <c r="B10" s="67"/>
      <c r="C10" s="67"/>
      <c r="D10" s="73"/>
      <c r="F10" s="37"/>
    </row>
    <row r="11" spans="2:6" ht="15.75" x14ac:dyDescent="0.25">
      <c r="B11" s="65" t="s">
        <v>26</v>
      </c>
      <c r="C11" s="68"/>
      <c r="D11" s="77"/>
      <c r="F11" s="37"/>
    </row>
    <row r="12" spans="2:6" ht="15.75" x14ac:dyDescent="0.25">
      <c r="B12" s="66" t="s">
        <v>33</v>
      </c>
      <c r="C12" s="69">
        <f>Input!C15</f>
        <v>1136.231792</v>
      </c>
      <c r="D12" s="72">
        <f>C12*Input!$C$10</f>
        <v>113623.1792</v>
      </c>
      <c r="F12" s="37"/>
    </row>
    <row r="13" spans="2:6" ht="15.75" x14ac:dyDescent="0.25">
      <c r="B13" s="66" t="s">
        <v>24</v>
      </c>
      <c r="C13" s="69">
        <f>Input!C36</f>
        <v>538.97460917832541</v>
      </c>
      <c r="D13" s="72">
        <f>C13*Input!$C$10</f>
        <v>53897.460917832541</v>
      </c>
      <c r="F13" s="37"/>
    </row>
    <row r="14" spans="2:6" ht="15.75" x14ac:dyDescent="0.25">
      <c r="B14" s="66" t="s">
        <v>28</v>
      </c>
      <c r="C14" s="69">
        <f>Input!D52</f>
        <v>19.319999999999997</v>
      </c>
      <c r="D14" s="72">
        <f>C14*Input!$C$10</f>
        <v>1931.9999999999998</v>
      </c>
      <c r="F14" s="37"/>
    </row>
    <row r="15" spans="2:6" ht="15.75" x14ac:dyDescent="0.25">
      <c r="B15" s="66" t="s">
        <v>29</v>
      </c>
      <c r="C15" s="69">
        <f>Input!C56</f>
        <v>7.39</v>
      </c>
      <c r="D15" s="72">
        <f>C15*Input!$C$10</f>
        <v>739</v>
      </c>
      <c r="F15" s="37"/>
    </row>
    <row r="16" spans="2:6" ht="15.75" x14ac:dyDescent="0.25">
      <c r="B16" s="66" t="s">
        <v>25</v>
      </c>
      <c r="C16" s="69">
        <f>Input!C60*Input!C23</f>
        <v>133.44080476190476</v>
      </c>
      <c r="D16" s="72">
        <f>C16*Input!$C$10</f>
        <v>13344.080476190476</v>
      </c>
      <c r="F16" s="37"/>
    </row>
    <row r="17" spans="2:6" ht="15.75" x14ac:dyDescent="0.25">
      <c r="B17" s="74" t="s">
        <v>6</v>
      </c>
      <c r="C17" s="69">
        <f>Input!C61</f>
        <v>1</v>
      </c>
      <c r="D17" s="72">
        <f>C17*Input!$C$10</f>
        <v>100</v>
      </c>
      <c r="F17" s="37"/>
    </row>
    <row r="18" spans="2:6" ht="15.75" x14ac:dyDescent="0.25">
      <c r="B18" s="66" t="s">
        <v>5</v>
      </c>
      <c r="C18" s="75"/>
      <c r="D18" s="72"/>
      <c r="F18" s="37"/>
    </row>
    <row r="19" spans="2:6" ht="15.75" x14ac:dyDescent="0.25">
      <c r="B19" s="66" t="s">
        <v>79</v>
      </c>
      <c r="C19" s="69">
        <f>(C6+C7)*Input!C68</f>
        <v>0</v>
      </c>
      <c r="D19" s="72">
        <f>C19*Input!$C$10</f>
        <v>0</v>
      </c>
      <c r="F19" s="37"/>
    </row>
    <row r="20" spans="2:6" ht="15.75" x14ac:dyDescent="0.25">
      <c r="B20" s="66" t="s">
        <v>80</v>
      </c>
      <c r="C20" s="69">
        <f>Input!C67</f>
        <v>40.5</v>
      </c>
      <c r="D20" s="72">
        <f>C20*Input!$C$10</f>
        <v>4050</v>
      </c>
      <c r="F20" s="37"/>
    </row>
    <row r="21" spans="2:6" ht="15.75" x14ac:dyDescent="0.25">
      <c r="B21" s="66" t="s">
        <v>90</v>
      </c>
      <c r="C21" s="69">
        <f>Input!C66*(Input!C18/100)</f>
        <v>26.94</v>
      </c>
      <c r="D21" s="72">
        <f>C21*Input!$C$10</f>
        <v>2694</v>
      </c>
      <c r="F21" s="37"/>
    </row>
    <row r="22" spans="2:6" ht="15.75" x14ac:dyDescent="0.25">
      <c r="B22" s="66" t="s">
        <v>7</v>
      </c>
      <c r="C22" s="69">
        <f>Input!C69</f>
        <v>1</v>
      </c>
      <c r="D22" s="72">
        <f>C22*Input!$C$10</f>
        <v>100</v>
      </c>
      <c r="F22" s="37"/>
    </row>
    <row r="23" spans="2:6" ht="15.75" x14ac:dyDescent="0.25">
      <c r="B23" s="66" t="s">
        <v>78</v>
      </c>
      <c r="C23" s="69">
        <f>Input!C57</f>
        <v>18.455549249274487</v>
      </c>
      <c r="D23" s="72">
        <f>C23*Input!$C$10</f>
        <v>1845.5549249274486</v>
      </c>
      <c r="F23" s="37"/>
    </row>
    <row r="24" spans="2:6" ht="15.75" x14ac:dyDescent="0.25">
      <c r="B24" s="66" t="s">
        <v>177</v>
      </c>
      <c r="C24" s="69">
        <f>Input!C15*(Input!C23/365)*Input!C65*Input!C64</f>
        <v>0</v>
      </c>
      <c r="D24" s="72">
        <f>C24*Input!$C$10</f>
        <v>0</v>
      </c>
      <c r="F24" s="37"/>
    </row>
    <row r="25" spans="2:6" ht="15.75" x14ac:dyDescent="0.25">
      <c r="B25" s="66" t="s">
        <v>20</v>
      </c>
      <c r="C25" s="69">
        <f>(SUM(C13:C22)-C19)*Input!C63*Input!C62*(Input!C23/365)</f>
        <v>16.845269346635181</v>
      </c>
      <c r="D25" s="72">
        <f>C25*Input!$C$10</f>
        <v>1684.5269346635182</v>
      </c>
      <c r="F25" s="37"/>
    </row>
    <row r="26" spans="2:6" ht="7.5" customHeight="1" x14ac:dyDescent="0.25">
      <c r="B26" s="66"/>
      <c r="C26" s="69"/>
      <c r="D26" s="72"/>
      <c r="F26" s="37"/>
    </row>
    <row r="27" spans="2:6" ht="15.75" x14ac:dyDescent="0.25">
      <c r="B27" s="67" t="s">
        <v>38</v>
      </c>
      <c r="C27" s="76">
        <f>SUM(C12:C25)</f>
        <v>1940.09802453614</v>
      </c>
      <c r="D27" s="73">
        <f>SUM(D12:D25)</f>
        <v>194009.80245361401</v>
      </c>
      <c r="F27" s="37"/>
    </row>
    <row r="28" spans="2:6" ht="7.5" customHeight="1" x14ac:dyDescent="0.25">
      <c r="B28" s="68"/>
      <c r="C28" s="68"/>
      <c r="D28" s="77"/>
      <c r="E28" s="38"/>
      <c r="F28" s="37"/>
    </row>
    <row r="29" spans="2:6" ht="15.75" x14ac:dyDescent="0.25">
      <c r="B29" s="78" t="s">
        <v>23</v>
      </c>
      <c r="C29" s="69">
        <f>C9-C27</f>
        <v>7.7515754638600356</v>
      </c>
      <c r="D29" s="72">
        <f>D9-D27</f>
        <v>775.15754638597718</v>
      </c>
    </row>
    <row r="30" spans="2:6" ht="7.5" customHeight="1" x14ac:dyDescent="0.25">
      <c r="B30" s="79"/>
      <c r="C30" s="79"/>
      <c r="D30" s="79"/>
    </row>
    <row r="31" spans="2:6" ht="15" customHeight="1" x14ac:dyDescent="0.25">
      <c r="B31" s="229"/>
      <c r="C31" s="229"/>
      <c r="D31" s="229"/>
    </row>
    <row r="32" spans="2:6" ht="15" customHeight="1" x14ac:dyDescent="0.25">
      <c r="B32" s="229"/>
      <c r="C32" s="229"/>
      <c r="D32" s="229"/>
    </row>
    <row r="33" spans="2:4" ht="15" customHeight="1" x14ac:dyDescent="0.25">
      <c r="B33" s="229"/>
      <c r="C33" s="229"/>
      <c r="D33" s="229"/>
    </row>
    <row r="34" spans="2:4" x14ac:dyDescent="0.25">
      <c r="B34" s="229"/>
      <c r="C34" s="229"/>
      <c r="D34" s="229"/>
    </row>
  </sheetData>
  <sheetProtection sheet="1"/>
  <mergeCells count="3">
    <mergeCell ref="B3:B4"/>
    <mergeCell ref="C3:C4"/>
    <mergeCell ref="B31:D34"/>
  </mergeCells>
  <pageMargins left="0.7" right="0.7" top="0.75" bottom="0.75" header="0.3" footer="0.3"/>
  <pageSetup orientation="portrait" r:id="rId1"/>
  <customProperties>
    <customPr name="SSCSheetTrackingNo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46"/>
  <sheetViews>
    <sheetView zoomScale="89" zoomScaleNormal="89" workbookViewId="0">
      <selection activeCell="H32" sqref="H32:I32"/>
    </sheetView>
  </sheetViews>
  <sheetFormatPr defaultColWidth="9.140625" defaultRowHeight="15" x14ac:dyDescent="0.25"/>
  <cols>
    <col min="1" max="1" width="7.7109375" style="1" customWidth="1"/>
    <col min="2" max="2" width="51.28515625" style="1" customWidth="1"/>
    <col min="3" max="3" width="5" style="1" customWidth="1"/>
    <col min="4" max="4" width="15.28515625" style="1" customWidth="1"/>
    <col min="5" max="5" width="14.28515625" style="1" customWidth="1"/>
    <col min="6" max="6" width="13.7109375" style="1" customWidth="1"/>
    <col min="7" max="7" width="11.5703125" style="1" customWidth="1"/>
    <col min="8" max="8" width="15.28515625" style="1" customWidth="1"/>
    <col min="9" max="9" width="12.7109375" style="1" customWidth="1"/>
    <col min="10" max="16384" width="9.140625" style="1"/>
  </cols>
  <sheetData>
    <row r="2" spans="1:11" ht="21" x14ac:dyDescent="0.35">
      <c r="A2" s="3"/>
      <c r="B2" s="39" t="s">
        <v>43</v>
      </c>
      <c r="C2" s="40"/>
      <c r="D2" s="40"/>
      <c r="E2" s="40"/>
      <c r="F2" s="40"/>
      <c r="G2" s="40"/>
      <c r="H2" s="40"/>
      <c r="I2" s="40"/>
    </row>
    <row r="3" spans="1:11" ht="18.75" x14ac:dyDescent="0.3">
      <c r="A3" s="3"/>
      <c r="B3" s="230" t="s">
        <v>44</v>
      </c>
      <c r="C3" s="231"/>
      <c r="D3" s="231"/>
      <c r="E3" s="231"/>
      <c r="F3" s="231"/>
      <c r="G3" s="231"/>
      <c r="H3" s="231"/>
      <c r="I3" s="232"/>
    </row>
    <row r="4" spans="1:11" ht="15.75" x14ac:dyDescent="0.25">
      <c r="A4" s="3"/>
      <c r="B4" s="97" t="s">
        <v>66</v>
      </c>
      <c r="C4" s="98"/>
      <c r="D4" s="42">
        <v>100</v>
      </c>
      <c r="E4" s="99" t="s">
        <v>0</v>
      </c>
      <c r="F4" s="243"/>
      <c r="G4" s="243"/>
      <c r="H4" s="243"/>
      <c r="I4" s="244"/>
    </row>
    <row r="5" spans="1:11" ht="15.75" x14ac:dyDescent="0.25">
      <c r="A5" s="3"/>
      <c r="B5" s="100" t="s">
        <v>67</v>
      </c>
      <c r="C5" s="41"/>
      <c r="D5" s="42">
        <v>100</v>
      </c>
      <c r="E5" s="23" t="s">
        <v>0</v>
      </c>
      <c r="F5" s="245" t="s">
        <v>69</v>
      </c>
      <c r="G5" s="245"/>
      <c r="H5" s="43">
        <f>D5/D4</f>
        <v>1</v>
      </c>
      <c r="I5" s="101"/>
    </row>
    <row r="6" spans="1:11" ht="15.75" x14ac:dyDescent="0.25">
      <c r="A6" s="3"/>
      <c r="B6" s="100" t="s">
        <v>68</v>
      </c>
      <c r="C6" s="41"/>
      <c r="D6" s="142">
        <f>Input!C23</f>
        <v>200</v>
      </c>
      <c r="E6" s="23" t="s">
        <v>1</v>
      </c>
      <c r="F6" s="246"/>
      <c r="G6" s="246"/>
      <c r="H6" s="246"/>
      <c r="I6" s="247"/>
    </row>
    <row r="7" spans="1:11" ht="15.75" x14ac:dyDescent="0.25">
      <c r="A7" s="3"/>
      <c r="B7" s="100" t="s">
        <v>136</v>
      </c>
      <c r="C7" s="41"/>
      <c r="D7" s="42">
        <v>60</v>
      </c>
      <c r="E7" s="23" t="s">
        <v>208</v>
      </c>
      <c r="F7" s="106"/>
      <c r="G7" s="106"/>
      <c r="H7" s="106"/>
      <c r="I7" s="107"/>
    </row>
    <row r="8" spans="1:11" ht="15.75" x14ac:dyDescent="0.25">
      <c r="A8" s="3"/>
      <c r="B8" s="7" t="s">
        <v>134</v>
      </c>
      <c r="C8" s="23"/>
      <c r="D8" s="150">
        <v>15</v>
      </c>
      <c r="E8" s="105" t="s">
        <v>135</v>
      </c>
      <c r="F8" s="246"/>
      <c r="G8" s="246"/>
      <c r="H8" s="246"/>
      <c r="I8" s="247"/>
    </row>
    <row r="9" spans="1:11" ht="15.75" x14ac:dyDescent="0.25">
      <c r="A9" s="3"/>
      <c r="B9" s="7" t="s">
        <v>46</v>
      </c>
      <c r="C9" s="23"/>
      <c r="D9" s="44">
        <v>50</v>
      </c>
      <c r="E9" s="23" t="s">
        <v>47</v>
      </c>
      <c r="F9" s="246"/>
      <c r="G9" s="246"/>
      <c r="H9" s="246"/>
      <c r="I9" s="247"/>
    </row>
    <row r="10" spans="1:11" ht="15.75" x14ac:dyDescent="0.25">
      <c r="A10" s="3"/>
      <c r="B10" s="7" t="s">
        <v>181</v>
      </c>
      <c r="C10" s="23"/>
      <c r="D10" s="136">
        <v>30</v>
      </c>
      <c r="E10" s="23" t="s">
        <v>208</v>
      </c>
      <c r="F10" s="133"/>
      <c r="G10" s="133"/>
      <c r="H10" s="133"/>
      <c r="I10" s="134"/>
    </row>
    <row r="11" spans="1:11" ht="15.75" x14ac:dyDescent="0.25">
      <c r="A11" s="3"/>
      <c r="B11" s="7" t="s">
        <v>179</v>
      </c>
      <c r="C11" s="23"/>
      <c r="D11" s="136">
        <v>70</v>
      </c>
      <c r="E11" s="23" t="s">
        <v>209</v>
      </c>
      <c r="F11" s="133"/>
      <c r="G11" s="133"/>
      <c r="H11" s="133"/>
      <c r="I11" s="134"/>
    </row>
    <row r="12" spans="1:11" ht="15.75" x14ac:dyDescent="0.25">
      <c r="A12" s="3"/>
      <c r="B12" s="7" t="s">
        <v>180</v>
      </c>
      <c r="C12" s="23"/>
      <c r="D12" s="150">
        <v>2.83</v>
      </c>
      <c r="E12" s="23" t="s">
        <v>210</v>
      </c>
      <c r="F12" s="133"/>
      <c r="G12" s="133"/>
      <c r="H12" s="133"/>
      <c r="I12" s="134"/>
    </row>
    <row r="13" spans="1:11" ht="15.75" x14ac:dyDescent="0.25">
      <c r="A13" s="3"/>
      <c r="B13" s="7" t="s">
        <v>182</v>
      </c>
      <c r="C13" s="23"/>
      <c r="D13" s="151">
        <f>0.044*D12*D11*(D10/60)</f>
        <v>4.3582000000000001</v>
      </c>
      <c r="E13" s="23" t="s">
        <v>211</v>
      </c>
      <c r="F13" s="246"/>
      <c r="G13" s="246"/>
      <c r="H13" s="246"/>
      <c r="I13" s="247"/>
      <c r="K13" s="1" t="s">
        <v>178</v>
      </c>
    </row>
    <row r="14" spans="1:11" ht="7.5" customHeight="1" x14ac:dyDescent="0.25">
      <c r="A14" s="3"/>
      <c r="B14" s="242"/>
      <c r="C14" s="196"/>
      <c r="D14" s="196"/>
      <c r="E14" s="196"/>
      <c r="F14" s="196"/>
      <c r="G14" s="196"/>
      <c r="H14" s="196"/>
      <c r="I14" s="197"/>
    </row>
    <row r="15" spans="1:11" ht="18.75" x14ac:dyDescent="0.3">
      <c r="A15" s="3"/>
      <c r="B15" s="233" t="s">
        <v>48</v>
      </c>
      <c r="C15" s="95"/>
      <c r="D15" s="234" t="s">
        <v>49</v>
      </c>
      <c r="E15" s="236" t="s">
        <v>93</v>
      </c>
      <c r="F15" s="236" t="s">
        <v>94</v>
      </c>
      <c r="G15" s="238" t="s">
        <v>95</v>
      </c>
      <c r="H15" s="238" t="s">
        <v>96</v>
      </c>
      <c r="I15" s="240" t="s">
        <v>97</v>
      </c>
    </row>
    <row r="16" spans="1:11" ht="18.75" x14ac:dyDescent="0.3">
      <c r="A16" s="3"/>
      <c r="B16" s="203"/>
      <c r="C16" s="96"/>
      <c r="D16" s="235"/>
      <c r="E16" s="237"/>
      <c r="F16" s="237"/>
      <c r="G16" s="239"/>
      <c r="H16" s="239"/>
      <c r="I16" s="241"/>
    </row>
    <row r="17" spans="1:9" ht="15.75" x14ac:dyDescent="0.25">
      <c r="A17" s="3"/>
      <c r="B17" s="19" t="s">
        <v>198</v>
      </c>
      <c r="C17" s="20"/>
      <c r="D17" s="87">
        <v>2500</v>
      </c>
      <c r="E17" s="88">
        <v>0</v>
      </c>
      <c r="F17" s="89">
        <v>20</v>
      </c>
      <c r="G17" s="90">
        <v>0.02</v>
      </c>
      <c r="H17" s="20">
        <f>IF(D17=0,0,(D17-(D17*E17))/F17)</f>
        <v>125</v>
      </c>
      <c r="I17" s="91">
        <f>IF(D17=0,0,D17*G17)</f>
        <v>50</v>
      </c>
    </row>
    <row r="18" spans="1:9" ht="15.75" x14ac:dyDescent="0.25">
      <c r="A18" s="3"/>
      <c r="B18" s="21" t="s">
        <v>120</v>
      </c>
      <c r="C18" s="30"/>
      <c r="D18" s="45">
        <v>3500</v>
      </c>
      <c r="E18" s="46">
        <v>0.1</v>
      </c>
      <c r="F18" s="47">
        <v>20</v>
      </c>
      <c r="G18" s="48">
        <v>5.0000000000000001E-3</v>
      </c>
      <c r="H18" s="30">
        <f t="shared" ref="H18:H27" si="0">IF(D18=0,0,(D18-(D18*E18))/F18)</f>
        <v>157.5</v>
      </c>
      <c r="I18" s="92">
        <f t="shared" ref="I18:I27" si="1">IF(D18=0,0,D18*G18)</f>
        <v>17.5</v>
      </c>
    </row>
    <row r="19" spans="1:9" ht="15.75" x14ac:dyDescent="0.25">
      <c r="A19" s="3"/>
      <c r="B19" s="21" t="s">
        <v>212</v>
      </c>
      <c r="C19" s="30"/>
      <c r="D19" s="45">
        <v>1500</v>
      </c>
      <c r="E19" s="46">
        <v>0.1</v>
      </c>
      <c r="F19" s="47">
        <v>7</v>
      </c>
      <c r="G19" s="48">
        <v>0.01</v>
      </c>
      <c r="H19" s="30">
        <f t="shared" si="0"/>
        <v>192.85714285714286</v>
      </c>
      <c r="I19" s="92">
        <f t="shared" si="1"/>
        <v>15</v>
      </c>
    </row>
    <row r="20" spans="1:9" ht="15.75" x14ac:dyDescent="0.25">
      <c r="A20" s="3"/>
      <c r="B20" s="21" t="s">
        <v>51</v>
      </c>
      <c r="C20" s="30"/>
      <c r="D20" s="45">
        <v>7000</v>
      </c>
      <c r="E20" s="46">
        <v>0.1</v>
      </c>
      <c r="F20" s="47">
        <v>10</v>
      </c>
      <c r="G20" s="48">
        <v>0.02</v>
      </c>
      <c r="H20" s="30">
        <f t="shared" si="0"/>
        <v>630</v>
      </c>
      <c r="I20" s="92">
        <f t="shared" si="1"/>
        <v>140</v>
      </c>
    </row>
    <row r="21" spans="1:9" ht="15.75" x14ac:dyDescent="0.25">
      <c r="A21" s="3"/>
      <c r="B21" s="21" t="s">
        <v>199</v>
      </c>
      <c r="C21" s="30"/>
      <c r="D21" s="45">
        <v>0</v>
      </c>
      <c r="E21" s="46">
        <v>0.1</v>
      </c>
      <c r="F21" s="47">
        <v>20</v>
      </c>
      <c r="G21" s="48">
        <v>0</v>
      </c>
      <c r="H21" s="30">
        <f t="shared" si="0"/>
        <v>0</v>
      </c>
      <c r="I21" s="92">
        <f t="shared" si="1"/>
        <v>0</v>
      </c>
    </row>
    <row r="22" spans="1:9" ht="15.75" x14ac:dyDescent="0.25">
      <c r="A22" s="3"/>
      <c r="B22" s="21" t="s">
        <v>52</v>
      </c>
      <c r="C22" s="30"/>
      <c r="D22" s="45">
        <v>0</v>
      </c>
      <c r="E22" s="46">
        <v>0.1</v>
      </c>
      <c r="F22" s="47">
        <v>20</v>
      </c>
      <c r="G22" s="48">
        <v>0.02</v>
      </c>
      <c r="H22" s="30">
        <f t="shared" si="0"/>
        <v>0</v>
      </c>
      <c r="I22" s="92">
        <f t="shared" si="1"/>
        <v>0</v>
      </c>
    </row>
    <row r="23" spans="1:9" ht="15.75" x14ac:dyDescent="0.25">
      <c r="A23" s="3"/>
      <c r="B23" s="21" t="s">
        <v>215</v>
      </c>
      <c r="C23" s="30"/>
      <c r="D23" s="45">
        <v>25000</v>
      </c>
      <c r="E23" s="46">
        <v>0.1</v>
      </c>
      <c r="F23" s="47">
        <v>10</v>
      </c>
      <c r="G23" s="48">
        <v>0.02</v>
      </c>
      <c r="H23" s="30">
        <f t="shared" si="0"/>
        <v>2250</v>
      </c>
      <c r="I23" s="92">
        <f t="shared" si="1"/>
        <v>500</v>
      </c>
    </row>
    <row r="24" spans="1:9" ht="15.75" x14ac:dyDescent="0.25">
      <c r="A24" s="3"/>
      <c r="B24" s="21" t="s">
        <v>53</v>
      </c>
      <c r="C24" s="30"/>
      <c r="D24" s="45">
        <v>4000</v>
      </c>
      <c r="E24" s="46">
        <v>0.5</v>
      </c>
      <c r="F24" s="47">
        <v>10</v>
      </c>
      <c r="G24" s="48">
        <v>0.02</v>
      </c>
      <c r="H24" s="30">
        <f t="shared" si="0"/>
        <v>200</v>
      </c>
      <c r="I24" s="92">
        <f t="shared" si="1"/>
        <v>80</v>
      </c>
    </row>
    <row r="25" spans="1:9" ht="15.75" x14ac:dyDescent="0.25">
      <c r="A25" s="3"/>
      <c r="B25" s="21" t="s">
        <v>213</v>
      </c>
      <c r="C25" s="30"/>
      <c r="D25" s="45">
        <v>7000</v>
      </c>
      <c r="E25" s="46">
        <v>0.25</v>
      </c>
      <c r="F25" s="47">
        <v>10</v>
      </c>
      <c r="G25" s="48">
        <v>2.5000000000000001E-2</v>
      </c>
      <c r="H25" s="30">
        <f t="shared" si="0"/>
        <v>525</v>
      </c>
      <c r="I25" s="92">
        <f t="shared" si="1"/>
        <v>175</v>
      </c>
    </row>
    <row r="26" spans="1:9" ht="15.75" x14ac:dyDescent="0.25">
      <c r="A26" s="3"/>
      <c r="B26" s="21" t="s">
        <v>194</v>
      </c>
      <c r="C26" s="30"/>
      <c r="D26" s="45">
        <v>25000</v>
      </c>
      <c r="E26" s="46">
        <v>0.5</v>
      </c>
      <c r="F26" s="47">
        <v>20</v>
      </c>
      <c r="G26" s="48">
        <v>2.5000000000000001E-2</v>
      </c>
      <c r="H26" s="30">
        <f t="shared" si="0"/>
        <v>625</v>
      </c>
      <c r="I26" s="92">
        <f t="shared" si="1"/>
        <v>625</v>
      </c>
    </row>
    <row r="27" spans="1:9" ht="15.75" x14ac:dyDescent="0.25">
      <c r="A27" s="3"/>
      <c r="B27" s="21"/>
      <c r="C27" s="30"/>
      <c r="D27" s="45">
        <v>0</v>
      </c>
      <c r="E27" s="46">
        <v>0.3</v>
      </c>
      <c r="F27" s="47">
        <v>10</v>
      </c>
      <c r="G27" s="48">
        <v>0.05</v>
      </c>
      <c r="H27" s="30">
        <f t="shared" si="0"/>
        <v>0</v>
      </c>
      <c r="I27" s="92">
        <f t="shared" si="1"/>
        <v>0</v>
      </c>
    </row>
    <row r="28" spans="1:9" ht="15.75" x14ac:dyDescent="0.25">
      <c r="A28" s="3"/>
      <c r="B28" s="93" t="s">
        <v>9</v>
      </c>
      <c r="C28" s="30"/>
      <c r="D28" s="49">
        <f>SUM(D17:D27)</f>
        <v>75500</v>
      </c>
      <c r="E28" s="201"/>
      <c r="F28" s="201"/>
      <c r="G28" s="201"/>
      <c r="H28" s="30">
        <f>SUM(H17:H27)</f>
        <v>4705.3571428571431</v>
      </c>
      <c r="I28" s="16">
        <f>SUM(I17:I27)</f>
        <v>1602.5</v>
      </c>
    </row>
    <row r="29" spans="1:9" ht="15.75" x14ac:dyDescent="0.25">
      <c r="A29" s="3"/>
      <c r="B29" s="94"/>
      <c r="C29" s="30"/>
      <c r="D29" s="252"/>
      <c r="E29" s="252"/>
      <c r="F29" s="252"/>
      <c r="G29" s="252"/>
      <c r="H29" s="255"/>
      <c r="I29" s="256"/>
    </row>
    <row r="30" spans="1:9" ht="15.75" x14ac:dyDescent="0.25">
      <c r="A30" s="3"/>
      <c r="B30" s="7" t="s">
        <v>55</v>
      </c>
      <c r="C30" s="30"/>
      <c r="D30" s="175">
        <v>0.04</v>
      </c>
      <c r="E30" s="32" t="s">
        <v>10</v>
      </c>
      <c r="F30" s="30">
        <f>D30*(D28/2)</f>
        <v>1510</v>
      </c>
      <c r="G30" s="50" t="s">
        <v>56</v>
      </c>
      <c r="H30" s="255"/>
      <c r="I30" s="256"/>
    </row>
    <row r="31" spans="1:9" ht="15.75" x14ac:dyDescent="0.25">
      <c r="A31" s="3"/>
      <c r="B31" s="7" t="s">
        <v>57</v>
      </c>
      <c r="C31" s="30"/>
      <c r="D31" s="175">
        <v>2.5000000000000001E-3</v>
      </c>
      <c r="E31" s="32" t="s">
        <v>10</v>
      </c>
      <c r="F31" s="30">
        <f>D31*D28</f>
        <v>188.75</v>
      </c>
      <c r="G31" s="50" t="s">
        <v>56</v>
      </c>
      <c r="H31" s="255"/>
      <c r="I31" s="256"/>
    </row>
    <row r="32" spans="1:9" ht="15.75" x14ac:dyDescent="0.25">
      <c r="A32" s="3"/>
      <c r="B32" s="7" t="s">
        <v>77</v>
      </c>
      <c r="C32" s="30"/>
      <c r="D32" s="175">
        <v>1.4999999999999999E-2</v>
      </c>
      <c r="E32" s="32" t="s">
        <v>10</v>
      </c>
      <c r="F32" s="30">
        <f>D32*D28</f>
        <v>1132.5</v>
      </c>
      <c r="G32" s="50" t="s">
        <v>56</v>
      </c>
      <c r="H32" s="255"/>
      <c r="I32" s="256"/>
    </row>
    <row r="33" spans="1:9" ht="7.5" customHeight="1" x14ac:dyDescent="0.25">
      <c r="A33" s="3"/>
      <c r="B33" s="242"/>
      <c r="C33" s="196"/>
      <c r="D33" s="196"/>
      <c r="E33" s="196"/>
      <c r="F33" s="196"/>
      <c r="G33" s="196"/>
      <c r="H33" s="196"/>
      <c r="I33" s="197"/>
    </row>
    <row r="34" spans="1:9" ht="18.75" x14ac:dyDescent="0.3">
      <c r="A34" s="3"/>
      <c r="B34" s="54" t="s">
        <v>58</v>
      </c>
      <c r="C34" s="85"/>
      <c r="D34" s="86" t="s">
        <v>50</v>
      </c>
      <c r="E34" s="56" t="s">
        <v>32</v>
      </c>
      <c r="F34" s="56" t="s">
        <v>59</v>
      </c>
      <c r="G34" s="253"/>
      <c r="H34" s="253"/>
      <c r="I34" s="254"/>
    </row>
    <row r="35" spans="1:9" ht="15.75" x14ac:dyDescent="0.25">
      <c r="A35" s="3"/>
      <c r="B35" s="6" t="s">
        <v>60</v>
      </c>
      <c r="C35" s="61"/>
      <c r="D35" s="53">
        <f>H28</f>
        <v>4705.3571428571431</v>
      </c>
      <c r="E35" s="80">
        <f>D35/D5</f>
        <v>47.053571428571431</v>
      </c>
      <c r="F35" s="81">
        <f>E35/D$6</f>
        <v>0.23526785714285714</v>
      </c>
      <c r="G35" s="250"/>
      <c r="H35" s="250"/>
      <c r="I35" s="251"/>
    </row>
    <row r="36" spans="1:9" ht="15.75" x14ac:dyDescent="0.25">
      <c r="A36" s="3"/>
      <c r="B36" s="7" t="s">
        <v>61</v>
      </c>
      <c r="C36" s="57"/>
      <c r="D36" s="53">
        <f>I28</f>
        <v>1602.5</v>
      </c>
      <c r="E36" s="51">
        <f>D36/D5</f>
        <v>16.024999999999999</v>
      </c>
      <c r="F36" s="52">
        <f t="shared" ref="F36:F42" si="2">E36/D$6</f>
        <v>8.0124999999999988E-2</v>
      </c>
      <c r="G36" s="248"/>
      <c r="H36" s="248"/>
      <c r="I36" s="249"/>
    </row>
    <row r="37" spans="1:9" ht="15.75" x14ac:dyDescent="0.25">
      <c r="A37" s="3"/>
      <c r="B37" s="7" t="s">
        <v>62</v>
      </c>
      <c r="C37" s="57"/>
      <c r="D37" s="53">
        <f>F30</f>
        <v>1510</v>
      </c>
      <c r="E37" s="51">
        <f>D37/D5</f>
        <v>15.1</v>
      </c>
      <c r="F37" s="52">
        <f t="shared" si="2"/>
        <v>7.5499999999999998E-2</v>
      </c>
      <c r="G37" s="248"/>
      <c r="H37" s="248"/>
      <c r="I37" s="249"/>
    </row>
    <row r="38" spans="1:9" ht="15.75" x14ac:dyDescent="0.25">
      <c r="A38" s="3"/>
      <c r="B38" s="7" t="s">
        <v>63</v>
      </c>
      <c r="C38" s="57"/>
      <c r="D38" s="53">
        <f>F31+F32</f>
        <v>1321.25</v>
      </c>
      <c r="E38" s="51">
        <f>D38/D5</f>
        <v>13.2125</v>
      </c>
      <c r="F38" s="52">
        <f t="shared" si="2"/>
        <v>6.6062499999999996E-2</v>
      </c>
      <c r="G38" s="248"/>
      <c r="H38" s="248"/>
      <c r="I38" s="249"/>
    </row>
    <row r="39" spans="1:9" ht="15.75" x14ac:dyDescent="0.25">
      <c r="A39" s="3"/>
      <c r="B39" s="7" t="s">
        <v>45</v>
      </c>
      <c r="C39" s="57"/>
      <c r="D39" s="53">
        <f>D8*(D7/60)*IF(D6*H5&lt;365,D6*H5,365)</f>
        <v>3000</v>
      </c>
      <c r="E39" s="51">
        <f>D39/D5</f>
        <v>30</v>
      </c>
      <c r="F39" s="52">
        <f t="shared" si="2"/>
        <v>0.15</v>
      </c>
      <c r="G39" s="248"/>
      <c r="H39" s="248"/>
      <c r="I39" s="249"/>
    </row>
    <row r="40" spans="1:9" ht="15.75" x14ac:dyDescent="0.25">
      <c r="A40" s="3"/>
      <c r="B40" s="7" t="s">
        <v>46</v>
      </c>
      <c r="C40" s="57"/>
      <c r="D40" s="53">
        <f>(D9*(D6*H5/30))</f>
        <v>333.33333333333337</v>
      </c>
      <c r="E40" s="51">
        <f>D40/D5</f>
        <v>3.3333333333333339</v>
      </c>
      <c r="F40" s="52">
        <f t="shared" si="2"/>
        <v>1.666666666666667E-2</v>
      </c>
      <c r="G40" s="248"/>
      <c r="H40" s="248"/>
      <c r="I40" s="249"/>
    </row>
    <row r="41" spans="1:9" ht="15.75" x14ac:dyDescent="0.25">
      <c r="A41" s="3"/>
      <c r="B41" s="7" t="s">
        <v>64</v>
      </c>
      <c r="C41" s="57"/>
      <c r="D41" s="53">
        <f>D13*D6*H5</f>
        <v>871.64</v>
      </c>
      <c r="E41" s="51">
        <f>D41/D5</f>
        <v>8.7164000000000001</v>
      </c>
      <c r="F41" s="52">
        <f t="shared" si="2"/>
        <v>4.3582000000000003E-2</v>
      </c>
      <c r="G41" s="248"/>
      <c r="H41" s="248"/>
      <c r="I41" s="249"/>
    </row>
    <row r="42" spans="1:9" ht="15.75" x14ac:dyDescent="0.25">
      <c r="A42" s="3"/>
      <c r="B42" s="82" t="s">
        <v>118</v>
      </c>
      <c r="C42" s="58"/>
      <c r="D42" s="141">
        <f>SUM(D35:D41)</f>
        <v>13344.080476190476</v>
      </c>
      <c r="E42" s="83">
        <f>SUM(E35:E41)</f>
        <v>133.44080476190476</v>
      </c>
      <c r="F42" s="84">
        <f t="shared" si="2"/>
        <v>0.66720402380952382</v>
      </c>
      <c r="G42" s="257"/>
      <c r="H42" s="257"/>
      <c r="I42" s="258"/>
    </row>
    <row r="43" spans="1:9" x14ac:dyDescent="0.25">
      <c r="A43" s="3"/>
      <c r="B43" s="188"/>
      <c r="C43" s="188"/>
      <c r="D43" s="188"/>
      <c r="E43" s="188"/>
      <c r="F43" s="188"/>
      <c r="G43" s="188"/>
      <c r="H43" s="211" t="s">
        <v>214</v>
      </c>
      <c r="I43" s="211"/>
    </row>
    <row r="44" spans="1:9" x14ac:dyDescent="0.25">
      <c r="A44" s="3"/>
      <c r="B44" s="210"/>
      <c r="C44" s="210"/>
      <c r="D44" s="210"/>
      <c r="E44" s="210"/>
      <c r="F44" s="210"/>
      <c r="G44" s="210"/>
      <c r="H44" s="211"/>
      <c r="I44" s="211"/>
    </row>
    <row r="45" spans="1:9" x14ac:dyDescent="0.25">
      <c r="A45" s="3"/>
      <c r="B45" s="210"/>
      <c r="C45" s="210"/>
      <c r="D45" s="210"/>
      <c r="E45" s="210"/>
      <c r="F45" s="210"/>
      <c r="G45" s="210"/>
      <c r="H45" s="211"/>
      <c r="I45" s="211"/>
    </row>
    <row r="46" spans="1:9" x14ac:dyDescent="0.25">
      <c r="B46" s="210"/>
      <c r="C46" s="210"/>
      <c r="D46" s="210"/>
      <c r="E46" s="210"/>
      <c r="F46" s="210"/>
      <c r="G46" s="210"/>
      <c r="H46" s="211"/>
      <c r="I46" s="211"/>
    </row>
  </sheetData>
  <sheetProtection sheet="1"/>
  <mergeCells count="33">
    <mergeCell ref="B43:G46"/>
    <mergeCell ref="E28:G28"/>
    <mergeCell ref="D29:G29"/>
    <mergeCell ref="G34:I34"/>
    <mergeCell ref="H31:I31"/>
    <mergeCell ref="H30:I30"/>
    <mergeCell ref="H43:I46"/>
    <mergeCell ref="B33:I33"/>
    <mergeCell ref="H32:I32"/>
    <mergeCell ref="G41:I41"/>
    <mergeCell ref="G40:I40"/>
    <mergeCell ref="G42:I42"/>
    <mergeCell ref="H29:I29"/>
    <mergeCell ref="G36:I36"/>
    <mergeCell ref="G38:I38"/>
    <mergeCell ref="G39:I39"/>
    <mergeCell ref="G35:I35"/>
    <mergeCell ref="G37:I37"/>
    <mergeCell ref="B3:I3"/>
    <mergeCell ref="B15:B16"/>
    <mergeCell ref="D15:D16"/>
    <mergeCell ref="E15:E16"/>
    <mergeCell ref="F15:F16"/>
    <mergeCell ref="G15:G16"/>
    <mergeCell ref="H15:H16"/>
    <mergeCell ref="I15:I16"/>
    <mergeCell ref="B14:I14"/>
    <mergeCell ref="F4:I4"/>
    <mergeCell ref="F5:G5"/>
    <mergeCell ref="F6:I6"/>
    <mergeCell ref="F8:I8"/>
    <mergeCell ref="F9:I9"/>
    <mergeCell ref="F13:I13"/>
  </mergeCells>
  <pageMargins left="0.7" right="0.7" top="0.75" bottom="0.75" header="0.3" footer="0.3"/>
  <pageSetup orientation="portrait" r:id="rId1"/>
  <customProperties>
    <customPr name="SSCSheetTrackingNo" r:id="rId2"/>
  </customProperties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B46"/>
  <sheetViews>
    <sheetView workbookViewId="0">
      <selection activeCell="G12" sqref="G12"/>
    </sheetView>
  </sheetViews>
  <sheetFormatPr defaultRowHeight="15" x14ac:dyDescent="0.25"/>
  <sheetData>
    <row r="2" spans="2:2" x14ac:dyDescent="0.25">
      <c r="B2" s="125" t="s">
        <v>137</v>
      </c>
    </row>
    <row r="3" spans="2:2" x14ac:dyDescent="0.25">
      <c r="B3" s="124"/>
    </row>
    <row r="4" spans="2:2" x14ac:dyDescent="0.25">
      <c r="B4" s="124" t="s">
        <v>138</v>
      </c>
    </row>
    <row r="5" spans="2:2" x14ac:dyDescent="0.25">
      <c r="B5" s="124" t="s">
        <v>139</v>
      </c>
    </row>
    <row r="6" spans="2:2" x14ac:dyDescent="0.25">
      <c r="B6" s="124" t="s">
        <v>140</v>
      </c>
    </row>
    <row r="7" spans="2:2" x14ac:dyDescent="0.25">
      <c r="B7" s="124" t="s">
        <v>141</v>
      </c>
    </row>
    <row r="8" spans="2:2" x14ac:dyDescent="0.25">
      <c r="B8" s="124" t="s">
        <v>142</v>
      </c>
    </row>
    <row r="9" spans="2:2" x14ac:dyDescent="0.25">
      <c r="B9" s="124"/>
    </row>
    <row r="10" spans="2:2" x14ac:dyDescent="0.25">
      <c r="B10" s="124" t="s">
        <v>143</v>
      </c>
    </row>
    <row r="11" spans="2:2" x14ac:dyDescent="0.25">
      <c r="B11" s="124" t="s">
        <v>144</v>
      </c>
    </row>
    <row r="12" spans="2:2" x14ac:dyDescent="0.25">
      <c r="B12" s="124" t="s">
        <v>145</v>
      </c>
    </row>
    <row r="13" spans="2:2" x14ac:dyDescent="0.25">
      <c r="B13" s="124" t="s">
        <v>146</v>
      </c>
    </row>
    <row r="14" spans="2:2" x14ac:dyDescent="0.25">
      <c r="B14" s="124"/>
    </row>
    <row r="15" spans="2:2" x14ac:dyDescent="0.25">
      <c r="B15" s="124" t="s">
        <v>147</v>
      </c>
    </row>
    <row r="16" spans="2:2" x14ac:dyDescent="0.25">
      <c r="B16" s="124" t="s">
        <v>148</v>
      </c>
    </row>
    <row r="17" spans="2:2" x14ac:dyDescent="0.25">
      <c r="B17" s="124" t="s">
        <v>149</v>
      </c>
    </row>
    <row r="18" spans="2:2" x14ac:dyDescent="0.25">
      <c r="B18" s="124" t="s">
        <v>150</v>
      </c>
    </row>
    <row r="19" spans="2:2" x14ac:dyDescent="0.25">
      <c r="B19" s="124"/>
    </row>
    <row r="20" spans="2:2" x14ac:dyDescent="0.25">
      <c r="B20" s="124" t="s">
        <v>151</v>
      </c>
    </row>
    <row r="21" spans="2:2" x14ac:dyDescent="0.25">
      <c r="B21" s="124"/>
    </row>
    <row r="22" spans="2:2" x14ac:dyDescent="0.25">
      <c r="B22" s="124" t="s">
        <v>152</v>
      </c>
    </row>
    <row r="23" spans="2:2" x14ac:dyDescent="0.25">
      <c r="B23" s="124"/>
    </row>
    <row r="24" spans="2:2" x14ac:dyDescent="0.25">
      <c r="B24" s="124" t="s">
        <v>153</v>
      </c>
    </row>
    <row r="25" spans="2:2" x14ac:dyDescent="0.25">
      <c r="B25" s="124" t="s">
        <v>154</v>
      </c>
    </row>
    <row r="26" spans="2:2" x14ac:dyDescent="0.25">
      <c r="B26" s="124"/>
    </row>
    <row r="27" spans="2:2" x14ac:dyDescent="0.25">
      <c r="B27" s="125" t="s">
        <v>155</v>
      </c>
    </row>
    <row r="28" spans="2:2" x14ac:dyDescent="0.25">
      <c r="B28" s="126" t="s">
        <v>156</v>
      </c>
    </row>
    <row r="29" spans="2:2" x14ac:dyDescent="0.25">
      <c r="B29" s="126" t="s">
        <v>157</v>
      </c>
    </row>
    <row r="30" spans="2:2" x14ac:dyDescent="0.25">
      <c r="B30" s="125" t="s">
        <v>158</v>
      </c>
    </row>
    <row r="31" spans="2:2" x14ac:dyDescent="0.25">
      <c r="B31" s="126" t="s">
        <v>159</v>
      </c>
    </row>
    <row r="32" spans="2:2" x14ac:dyDescent="0.25">
      <c r="B32" s="123"/>
    </row>
    <row r="33" spans="2:2" x14ac:dyDescent="0.25">
      <c r="B33" s="123" t="s">
        <v>160</v>
      </c>
    </row>
    <row r="34" spans="2:2" x14ac:dyDescent="0.25">
      <c r="B34" s="123"/>
    </row>
    <row r="35" spans="2:2" x14ac:dyDescent="0.25">
      <c r="B35" s="123" t="s">
        <v>161</v>
      </c>
    </row>
    <row r="36" spans="2:2" x14ac:dyDescent="0.25">
      <c r="B36" s="123"/>
    </row>
    <row r="37" spans="2:2" x14ac:dyDescent="0.25">
      <c r="B37" s="127" t="s">
        <v>162</v>
      </c>
    </row>
    <row r="38" spans="2:2" x14ac:dyDescent="0.25">
      <c r="B38" s="127" t="s">
        <v>163</v>
      </c>
    </row>
    <row r="39" spans="2:2" x14ac:dyDescent="0.25">
      <c r="B39" s="127" t="s">
        <v>164</v>
      </c>
    </row>
    <row r="40" spans="2:2" x14ac:dyDescent="0.25">
      <c r="B40" s="127" t="s">
        <v>165</v>
      </c>
    </row>
    <row r="41" spans="2:2" x14ac:dyDescent="0.25">
      <c r="B41" s="123"/>
    </row>
    <row r="42" spans="2:2" x14ac:dyDescent="0.25">
      <c r="B42" s="123" t="s">
        <v>166</v>
      </c>
    </row>
    <row r="43" spans="2:2" x14ac:dyDescent="0.25">
      <c r="B43" s="123"/>
    </row>
    <row r="44" spans="2:2" x14ac:dyDescent="0.25">
      <c r="B44" s="123" t="s">
        <v>167</v>
      </c>
    </row>
    <row r="45" spans="2:2" x14ac:dyDescent="0.25">
      <c r="B45" s="123"/>
    </row>
    <row r="46" spans="2:2" x14ac:dyDescent="0.25">
      <c r="B46" s="123" t="s">
        <v>168</v>
      </c>
    </row>
  </sheetData>
  <hyperlinks>
    <hyperlink ref="B2" r:id="rId1" display="https://nam02.safelinks.protection.outlook.com/?url=https%3A%2F%2Fwww.asi.k-state.edu%2Fabout%2Fnewsletters%2Ffocus-on-feedlots%2Fmonthly-reports.html&amp;data=04%7C01%7C%7Ca88cd0812a3f43867a8908d94bb06db5%7Ce3fefdbef7e9401ba51a355e01b05a89%7C0%7C0%7C637624043384213105%7CUnknown%7CTWFpbGZsb3d8eyJWIjoiMC4wLjAwMDAiLCJQIjoiV2luMzIiLCJBTiI6Ik1haWwiLCJXVCI6Mn0%3D%7C1000&amp;sdata=MKgt1YQqOH4PxCZ0x9IBDGOGpz5zV8hSEjiY0nom%2BBs%3D&amp;reserved=0" xr:uid="{00000000-0004-0000-0400-000000000000}"/>
    <hyperlink ref="B27" r:id="rId2" display="mailto:HornerJ@missouri.edu" xr:uid="{00000000-0004-0000-0400-000001000000}"/>
    <hyperlink ref="B30" r:id="rId3" display="mailto:tuckerw@missouri.edu" xr:uid="{00000000-0004-0000-0400-000002000000}"/>
  </hyperlinks>
  <pageMargins left="0.7" right="0.7" top="0.75" bottom="0.75" header="0.3" footer="0.3"/>
  <pageSetup orientation="portrait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A2" sqref="A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Input</vt:lpstr>
      <vt:lpstr>Budget</vt:lpstr>
      <vt:lpstr>Yardage Calculator</vt:lpstr>
      <vt:lpstr>Reference - Rations</vt:lpstr>
      <vt:lpstr>Reference - Manure Value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Milhollin</dc:creator>
  <cp:lastModifiedBy>Milhollin, Ryan K.</cp:lastModifiedBy>
  <cp:lastPrinted>2008-08-12T18:37:31Z</cp:lastPrinted>
  <dcterms:created xsi:type="dcterms:W3CDTF">2008-08-12T17:49:29Z</dcterms:created>
  <dcterms:modified xsi:type="dcterms:W3CDTF">2022-01-11T17:47:46Z</dcterms:modified>
</cp:coreProperties>
</file>