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ilmissouri-my.sharepoint.com/personal/knappv_umsystem_edu/Documents/Documents/ABP pubs/2027 BUDGETS/2-In progress/"/>
    </mc:Choice>
  </mc:AlternateContent>
  <xr:revisionPtr revIDLastSave="524" documentId="8_{9A4871E3-0CBA-4084-9F63-69F558B8389D}" xr6:coauthVersionLast="47" xr6:coauthVersionMax="47" xr10:uidLastSave="{036D3B88-98D0-4588-AF0C-D1357043C69D}"/>
  <bookViews>
    <workbookView xWindow="3510" yWindow="285" windowWidth="21600" windowHeight="14520" tabRatio="709" xr2:uid="{00000000-000D-0000-FFFF-FFFF00000000}"/>
  </bookViews>
  <sheets>
    <sheet name="Introduction" sheetId="16" r:id="rId1"/>
    <sheet name="Inputs" sheetId="15" r:id="rId2"/>
    <sheet name="Farrow-finish" sheetId="13" r:id="rId3"/>
    <sheet name="Farrow-feeder" sheetId="12" r:id="rId4"/>
    <sheet name="Feeder-finish" sheetId="11" r:id="rId5"/>
    <sheet name="Price data and justification" sheetId="17" state="hidden" r:id="rId6"/>
  </sheets>
  <externalReferences>
    <externalReference r:id="rId7"/>
    <externalReference r:id="rId8"/>
    <externalReference r:id="rId9"/>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cres" localSheetId="0">#REF!</definedName>
    <definedName name="acres">[1]Input!$B$12</definedName>
    <definedName name="Boom_Sprayer" localSheetId="0">#REF!</definedName>
    <definedName name="Boom_Sprayer">[1]MDB!$A$100:$A$101</definedName>
    <definedName name="Boom_Sprayer_SP" localSheetId="0">#REF!</definedName>
    <definedName name="Boom_Sprayer_SP">[1]MDB!$A$99</definedName>
    <definedName name="BudgetActivities">#REF!</definedName>
    <definedName name="byyield" localSheetId="0">#REF!</definedName>
    <definedName name="byyield">[1]MDB!$C$160</definedName>
    <definedName name="Chisel_Plow" localSheetId="0">#REF!</definedName>
    <definedName name="Chisel_Plow">[1]MDB!$A$39:$A$42</definedName>
    <definedName name="Chisel_Plow_FD" localSheetId="0">#REF!</definedName>
    <definedName name="Chisel_Plow_FD">[1]MDB!$A$43:$A$44</definedName>
    <definedName name="Comb_Disk_VRipper" localSheetId="0">#REF!</definedName>
    <definedName name="Comb_Disk_VRipper">[1]MDB!$A$66:$A$67</definedName>
    <definedName name="Comb_Fld_Cult_Incorp" localSheetId="0">#REF!</definedName>
    <definedName name="Comb_Fld_Cult_Incorp">[1]MDB!$A$63:$A$65</definedName>
    <definedName name="Combine_Size" localSheetId="0">#REF!</definedName>
    <definedName name="Combine_Size">[1]MDB!$B$24:$B$27</definedName>
    <definedName name="Cornhead_Size" localSheetId="0">#REF!</definedName>
    <definedName name="Cornhead_Size">[1]MDB!$A$133:$A$135</definedName>
    <definedName name="CornWt">Inputs!$D$25</definedName>
    <definedName name="crop" localSheetId="0">#REF!</definedName>
    <definedName name="crop">[1]MDB!$C$164</definedName>
    <definedName name="cropnum" localSheetId="0">#REF!</definedName>
    <definedName name="cropnum">[1]MDB!$C$158</definedName>
    <definedName name="Crops" localSheetId="0">#REF!</definedName>
    <definedName name="Crops">[1]MDB!$I$157:$I$163</definedName>
    <definedName name="Cultivator" localSheetId="0">#REF!</definedName>
    <definedName name="Cultivator">[1]MDB!$A$91:$A$94</definedName>
    <definedName name="Cultivator_HR" localSheetId="0">#REF!</definedName>
    <definedName name="Cultivator_HR">[1]MDB!$A$95:$A$97</definedName>
    <definedName name="CustomActivities" localSheetId="0">#REF!</definedName>
    <definedName name="CustomActivities">'[2]Activity list'!$W$4:$AA$14</definedName>
    <definedName name="customhire2" localSheetId="0">#REF!,#REF!</definedName>
    <definedName name="customhire2">[1]Input!$F$114:$F$117,[1]Input!$F$123:$F$126</definedName>
    <definedName name="CustomImps" localSheetId="0">#REF!</definedName>
    <definedName name="CustomImps">[2]!Table4[Implement]</definedName>
    <definedName name="Disc_Mower" localSheetId="0">#REF!</definedName>
    <definedName name="Disc_Mower">[1]MDB!$A$104:$A$107</definedName>
    <definedName name="Disk" localSheetId="0">#REF!</definedName>
    <definedName name="Disk">[1]MDB!$A$68:$A$69</definedName>
    <definedName name="Disk_Mower" localSheetId="0">#REF!</definedName>
    <definedName name="Disk_Mower">[1]MDB!$A$108:$A$109</definedName>
    <definedName name="drying" localSheetId="0">#REF!,#REF!</definedName>
    <definedName name="drying">[1]Input!$B$106,[1]Input!$F$106</definedName>
    <definedName name="Field_Cultivator" localSheetId="0">#REF!</definedName>
    <definedName name="Field_Cultivator">[1]MDB!$A$49:$A$54</definedName>
    <definedName name="Grain_Auger" localSheetId="0">#REF!</definedName>
    <definedName name="Grain_Auger">[1]MDB!$A$34</definedName>
    <definedName name="Graincart" localSheetId="0">#REF!</definedName>
    <definedName name="Graincart">[1]MDB!$A$32:$A$33</definedName>
    <definedName name="Grainhead_Size" localSheetId="0">#REF!</definedName>
    <definedName name="Grainhead_Size">[1]MDB!$A$125:$A$127</definedName>
    <definedName name="Harrow" localSheetId="0">#REF!</definedName>
    <definedName name="Harrow">[1]MDB!$A$70:$A$71</definedName>
    <definedName name="hauling" localSheetId="0">#REF!,#REF!</definedName>
    <definedName name="hauling">[1]Input!$B$108:$B$109,[1]Input!$F$108:$F$109</definedName>
    <definedName name="herbicide2" localSheetId="0">#REF!,#REF!</definedName>
    <definedName name="herbicide2">[1]Input!$F$43:$F$50,[1]Input!$B$51:$F$51</definedName>
    <definedName name="Implementlist">#REF!</definedName>
    <definedName name="Implements">#REF!</definedName>
    <definedName name="Implements7">#REF!</definedName>
    <definedName name="ImplSel">#REF!</definedName>
    <definedName name="import" localSheetId="0">#REF!</definedName>
    <definedName name="import">[1]Store!$E$3:$F$297</definedName>
    <definedName name="income" localSheetId="0">#REF!</definedName>
    <definedName name="income">[1]Output!$F$12</definedName>
    <definedName name="insecticide2" localSheetId="0">#REF!,#REF!</definedName>
    <definedName name="insecticide2">[1]Input!$F$55:$F$58,[1]Input!$B$59:$F$59</definedName>
    <definedName name="Irrigation" localSheetId="0">#REF!</definedName>
    <definedName name="Irrigation">[1]MDB!$G$157:$G$158</definedName>
    <definedName name="irrigation2" localSheetId="0">#REF!</definedName>
    <definedName name="irrigation2">[1]MDB!$C$161</definedName>
    <definedName name="lease_arrangement" localSheetId="0">#REF!</definedName>
    <definedName name="lease_arrangement">[1]MDB!$G$160:$G$162</definedName>
    <definedName name="leasenum" localSheetId="0">#REF!</definedName>
    <definedName name="leasenum">[1]MDB!$C$162</definedName>
    <definedName name="mdbvalues" localSheetId="0">#REF!,#REF!,#REF!,#REF!</definedName>
    <definedName name="mdbvalues">[1]Output!$C$8:$H$12,[1]Output!$D$15:$H$49,[1]Output!$B$51:$G$62,[1]Output!$B$68:$G$104</definedName>
    <definedName name="Moldboard_Plow" localSheetId="0">#REF!</definedName>
    <definedName name="Moldboard_Plow">[1]MDB!$A$45:$A$48</definedName>
    <definedName name="NoTill_Drill" localSheetId="0">#REF!</definedName>
    <definedName name="NoTill_Drill">[1]MDB!$A$88:$A$90</definedName>
    <definedName name="NoTill_Planter" localSheetId="0">#REF!</definedName>
    <definedName name="NoTill_Planter">[1]MDB!$A$80:$A$83</definedName>
    <definedName name="Passes" localSheetId="0">#REF!,#REF!,#REF!,#REF!</definedName>
    <definedName name="Passes">[1]Input!$F$149:$F$158,[1]Input!$F$160:$F$164,[1]Input!$F$166:$F$173,[1]Input!$F$175:$F$195</definedName>
    <definedName name="Pcorn">Inputs!$H$11</definedName>
    <definedName name="Pddg">Inputs!$H$13</definedName>
    <definedName name="Phogs">Inputs!$H$4</definedName>
    <definedName name="Planter" localSheetId="0">#REF!</definedName>
    <definedName name="Planter">[1]MDB!$A$72:$A$75</definedName>
    <definedName name="postharvest" localSheetId="0">#REF!,#REF!,#REF!</definedName>
    <definedName name="postharvest">[1]Input!$B$104:$B$109,[1]Input!$F$105:$F$106,[1]Input!$F$108:$F$109</definedName>
    <definedName name="poundton">Inputs!$D$24</definedName>
    <definedName name="Power" localSheetId="0">#REF!</definedName>
    <definedName name="power">[1]Input!$D$149:$D$158,[1]Input!$D$160:$D$164,[1]Input!$D$166:$D$170,[1]Input!$D$172:$D$173,[1]Input!$D$175:$D$192,[1]Input!$D$196:$D$197</definedName>
    <definedName name="Power_Size" localSheetId="0">#REF!</definedName>
    <definedName name="Power_Size">[1]MDB!$H$4:$H$5</definedName>
    <definedName name="Powerlist">#REF!</definedName>
    <definedName name="PowerSel">#REF!</definedName>
    <definedName name="Presswheel_Drill" localSheetId="0">#REF!</definedName>
    <definedName name="Presswheel_Drill">[1]MDB!$A$84:$A$87</definedName>
    <definedName name="price_selections">[3]Prices!$A$1:$A$3</definedName>
    <definedName name="Primary_Units" localSheetId="0">#REF!</definedName>
    <definedName name="Primary_Units">[1]MDB!$L$157:$L$160</definedName>
    <definedName name="primyield" localSheetId="0">#REF!</definedName>
    <definedName name="primyield">[1]MDB!$C$159</definedName>
    <definedName name="_xlnm.Print_Area" localSheetId="3">'Farrow-feeder'!$B$1:$F$50,'Farrow-feeder'!$I$1:$Q$9</definedName>
    <definedName name="_xlnm.Print_Area" localSheetId="2">'Farrow-finish'!$B:$F,'Farrow-finish'!$I$1:$Q$9</definedName>
    <definedName name="_xlnm.Print_Area" localSheetId="4">'Feeder-finish'!$B:$H,'Feeder-finish'!$K$1:$S$9</definedName>
    <definedName name="_xlnm.Print_Area" localSheetId="1">Inputs!$B:$K</definedName>
    <definedName name="ProfitF2F">'Farrow-feeder'!$F$36</definedName>
    <definedName name="ProfitFin">'Feeder-finish'!$H$32</definedName>
    <definedName name="ProfitFtF">'Farrow-finish'!$F$36</definedName>
    <definedName name="Psbm">Inputs!$H$12</definedName>
    <definedName name="PUAlloc" localSheetId="0">#REF!</definedName>
    <definedName name="PUAlloc">[1]Input!$B$100</definedName>
    <definedName name="PUMiles" localSheetId="0">#REF!</definedName>
    <definedName name="PUMiles">[1]Input!$B$99</definedName>
    <definedName name="rental" localSheetId="0">#REF!,#REF!,#REF!,#REF!</definedName>
    <definedName name="rental">[1]Input!$H$149:$H$158,[1]Input!$H$160:$H$164,[1]Input!$H$166:$H$173,[1]Input!$H$175:$H$195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ller_Bar_Rake" localSheetId="0">#REF!</definedName>
    <definedName name="Roller_Bar_Rake">[1]MDB!$A$110:$A$112</definedName>
    <definedName name="Round_Baler_Tie" localSheetId="0">#REF!</definedName>
    <definedName name="Round_Baler_Tie">[1]MDB!$A$118:$A$121</definedName>
    <definedName name="seed2" localSheetId="0">#REF!,#REF!,#REF!</definedName>
    <definedName name="seed2">[1]Input!$B$22:$B$25,[1]Input!$B$27,[1]Input!$B$28:$F$28</definedName>
    <definedName name="SemiAlloc" localSheetId="0">#REF!</definedName>
    <definedName name="SemiAlloc">[1]Input!$B$109</definedName>
    <definedName name="SemiMiles" localSheetId="0">#REF!</definedName>
    <definedName name="SemiMiles">[1]Input!$F$109</definedName>
    <definedName name="Silage_Wrapper" localSheetId="0">#REF!</definedName>
    <definedName name="Silage_Wrapper">[1]MDB!$A$31</definedName>
    <definedName name="Soybeanhead_Size" localSheetId="0">#REF!</definedName>
    <definedName name="Soybeanhead_Size">[1]MDB!$A$128:$A$132</definedName>
    <definedName name="SplitRow_Planter" localSheetId="0">#REF!</definedName>
    <definedName name="SplitRow_Planter">[1]MDB!$A$76:$A$79</definedName>
    <definedName name="ss">#REF!</definedName>
    <definedName name="storage" localSheetId="0">#REF!,#REF!</definedName>
    <definedName name="storage">[1]Input!$B$105,[1]Input!$F$105</definedName>
    <definedName name="Swather_Mower_Conditioner" localSheetId="0">#REF!</definedName>
    <definedName name="Swather_Mower_Conditioner">[1]MDB!$A$113:$A$115</definedName>
    <definedName name="Tandem_Disk" localSheetId="0">#REF!</definedName>
    <definedName name="Tandem_Disk">[1]MDB!$A$55:$A$58</definedName>
    <definedName name="TenWheelAlloc" localSheetId="0">#REF!</definedName>
    <definedName name="TenWheelAlloc">[1]Input!$B$108</definedName>
    <definedName name="TenWheelMiles" localSheetId="0">#REF!</definedName>
    <definedName name="TenWheelMiles">[1]Input!$F$108</definedName>
    <definedName name="VRipper" localSheetId="0">#REF!</definedName>
    <definedName name="VRipper">[1]MDB!$A$59:$A$62</definedName>
    <definedName name="WeanPerYear">Inputs!$D$5</definedName>
    <definedName name="Wheel_Rake" localSheetId="0">#REF!</definedName>
    <definedName name="Wheel_Rake">[1]MDB!$A$136:$A$140</definedName>
    <definedName name="wrn.all." hidden="1">{"detail",#N/A,FALSE,"Trac_Table";"tractable",#N/A,FALSE,"Trac_Table";"sensitivity",#N/A,FALSE,"Trac_Table"}</definedName>
    <definedName name="ww" localSheetId="0">#REF!</definedName>
    <definedName name="ww">[2]!Table4[Implement]</definedName>
    <definedName name="yield" localSheetId="0">#REF!</definedName>
    <definedName name="yield">[1]Input!$B$13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3" l="1"/>
  <c r="E28" i="12"/>
  <c r="E29" i="12"/>
  <c r="C46" i="12" l="1"/>
  <c r="C9" i="11"/>
  <c r="H4" i="11"/>
  <c r="D4" i="13"/>
  <c r="E29" i="13"/>
  <c r="E28" i="13"/>
  <c r="G26" i="11" l="1"/>
  <c r="G25" i="11"/>
  <c r="F4" i="12"/>
  <c r="H67" i="17"/>
  <c r="H68" i="17"/>
  <c r="L67" i="17"/>
  <c r="L68" i="17"/>
  <c r="D67" i="17"/>
  <c r="D68" i="17"/>
  <c r="J66" i="17" l="1"/>
  <c r="J65" i="17"/>
  <c r="L65" i="17" s="1"/>
  <c r="L66" i="17"/>
  <c r="L64" i="17"/>
  <c r="L63" i="17"/>
  <c r="H64" i="17"/>
  <c r="H65" i="17"/>
  <c r="H66" i="17"/>
  <c r="H63" i="17"/>
  <c r="F66" i="17"/>
  <c r="F65" i="17"/>
  <c r="D64" i="17"/>
  <c r="D65" i="17"/>
  <c r="D66" i="17"/>
  <c r="D63" i="17"/>
  <c r="B65" i="17"/>
  <c r="B66" i="17"/>
  <c r="C7" i="17"/>
  <c r="F50" i="17"/>
  <c r="E50" i="17"/>
  <c r="D50" i="17"/>
  <c r="C50" i="17"/>
  <c r="B50" i="17"/>
  <c r="C41" i="17"/>
  <c r="B56" i="17"/>
  <c r="B57" i="17" s="1"/>
  <c r="B6" i="17" s="1"/>
  <c r="C6" i="17" s="1"/>
  <c r="D23" i="17"/>
  <c r="D24" i="17"/>
  <c r="D25" i="17"/>
  <c r="D26" i="17"/>
  <c r="D27" i="17"/>
  <c r="D21" i="17"/>
  <c r="D22" i="17"/>
  <c r="D20" i="17"/>
  <c r="D17" i="13"/>
  <c r="D28" i="17" l="1"/>
  <c r="C12" i="11" l="1"/>
  <c r="F6" i="12" l="1"/>
  <c r="F41" i="13" l="1"/>
  <c r="E4" i="13" s="1"/>
  <c r="G13" i="11"/>
  <c r="E15" i="11"/>
  <c r="G12" i="11"/>
  <c r="E13" i="12"/>
  <c r="D16" i="12"/>
  <c r="E12" i="12"/>
  <c r="D16" i="13"/>
  <c r="E13" i="13"/>
  <c r="E12" i="13"/>
  <c r="F40" i="11"/>
  <c r="M6" i="11" s="1"/>
  <c r="F46" i="12"/>
  <c r="E11" i="12" s="1"/>
  <c r="F46" i="13"/>
  <c r="E11" i="13" s="1"/>
  <c r="G4" i="11"/>
  <c r="F38" i="11"/>
  <c r="P3" i="11" s="1"/>
  <c r="H9" i="15"/>
  <c r="H7" i="15"/>
  <c r="N3" i="13" l="1"/>
  <c r="O3" i="13" s="1"/>
  <c r="P3" i="13" s="1"/>
  <c r="M5" i="11"/>
  <c r="M4" i="11" s="1"/>
  <c r="M7" i="11"/>
  <c r="M8" i="11" s="1"/>
  <c r="K6" i="13"/>
  <c r="K7" i="13" s="1"/>
  <c r="K8" i="13" s="1"/>
  <c r="K6" i="12"/>
  <c r="K7" i="12" s="1"/>
  <c r="K8" i="12" s="1"/>
  <c r="M3" i="13" l="1"/>
  <c r="L3" i="13" s="1"/>
  <c r="K5" i="13"/>
  <c r="K4" i="13" s="1"/>
  <c r="K5" i="12"/>
  <c r="K4" i="12" s="1"/>
  <c r="C41" i="12"/>
  <c r="C48" i="12"/>
  <c r="G9" i="11" l="1"/>
  <c r="E20" i="12" l="1"/>
  <c r="H5" i="11"/>
  <c r="E24" i="12" l="1"/>
  <c r="F30" i="12" l="1"/>
  <c r="F30" i="13"/>
  <c r="C49" i="12"/>
  <c r="C48" i="13"/>
  <c r="C47" i="13"/>
  <c r="C41" i="11" l="1"/>
  <c r="C44" i="13"/>
  <c r="C47" i="12"/>
  <c r="C46" i="13" l="1"/>
  <c r="C38" i="11"/>
  <c r="F39" i="11"/>
  <c r="F37" i="11"/>
  <c r="C37" i="11"/>
  <c r="F41" i="12"/>
  <c r="N3" i="12" s="1"/>
  <c r="O3" i="11" l="1"/>
  <c r="N3" i="11" s="1"/>
  <c r="Q3" i="11"/>
  <c r="M3" i="12"/>
  <c r="L3" i="12" s="1"/>
  <c r="O3" i="12"/>
  <c r="P3" i="12" s="1"/>
  <c r="E4" i="12"/>
  <c r="C50" i="12"/>
  <c r="F45" i="12"/>
  <c r="F44" i="12"/>
  <c r="F43" i="12"/>
  <c r="C43" i="12"/>
  <c r="F42" i="12"/>
  <c r="C42" i="12"/>
  <c r="F45" i="13"/>
  <c r="F44" i="13"/>
  <c r="F43" i="13"/>
  <c r="F42" i="13"/>
  <c r="C49" i="13"/>
  <c r="C43" i="13"/>
  <c r="C42" i="13"/>
  <c r="C41" i="13"/>
  <c r="R3" i="11" l="1"/>
  <c r="D17" i="12"/>
  <c r="C44" i="12" s="1"/>
  <c r="C4" i="11"/>
  <c r="E24" i="13" l="1"/>
  <c r="G21" i="11" l="1"/>
  <c r="G11" i="11"/>
  <c r="D20" i="13"/>
  <c r="D19" i="13" l="1"/>
  <c r="E18" i="12" l="1"/>
  <c r="E19" i="13" l="1"/>
  <c r="E5" i="13"/>
  <c r="C26" i="11"/>
  <c r="C16" i="11"/>
  <c r="C39" i="11" s="1"/>
  <c r="D5" i="13"/>
  <c r="D29" i="13" l="1"/>
  <c r="D28" i="13"/>
  <c r="E20" i="13"/>
  <c r="F20" i="13" s="1"/>
  <c r="G14" i="11" l="1"/>
  <c r="E14" i="12"/>
  <c r="E14" i="13"/>
  <c r="E21" i="12" l="1"/>
  <c r="E22" i="12"/>
  <c r="E23" i="12"/>
  <c r="G16" i="11" l="1"/>
  <c r="G15" i="11"/>
  <c r="E17" i="12"/>
  <c r="F17" i="12" s="1"/>
  <c r="E16" i="12"/>
  <c r="E15" i="12"/>
  <c r="C20" i="11"/>
  <c r="E20" i="11" s="1"/>
  <c r="C19" i="11"/>
  <c r="E19" i="11" s="1"/>
  <c r="C18" i="11"/>
  <c r="E18" i="11" s="1"/>
  <c r="C17" i="11"/>
  <c r="E17" i="11" s="1"/>
  <c r="C25" i="11"/>
  <c r="E5" i="12"/>
  <c r="D7" i="15"/>
  <c r="D4" i="12" l="1"/>
  <c r="D21" i="12" s="1"/>
  <c r="C45" i="12"/>
  <c r="C45" i="13"/>
  <c r="E19" i="12"/>
  <c r="G20" i="11"/>
  <c r="G19" i="11"/>
  <c r="G18" i="11"/>
  <c r="G17" i="11"/>
  <c r="E9" i="11"/>
  <c r="H9" i="11" s="1"/>
  <c r="D20" i="12"/>
  <c r="D29" i="12" l="1"/>
  <c r="D22" i="12"/>
  <c r="D23" i="12"/>
  <c r="D28" i="12"/>
  <c r="D18" i="12"/>
  <c r="F18" i="12" s="1"/>
  <c r="D18" i="13"/>
  <c r="F6" i="13"/>
  <c r="F20" i="12"/>
  <c r="F28" i="12" l="1"/>
  <c r="F23" i="12"/>
  <c r="F22" i="12"/>
  <c r="F29" i="12"/>
  <c r="F21" i="12"/>
  <c r="F10" i="12"/>
  <c r="E21" i="13"/>
  <c r="E22" i="13"/>
  <c r="E23" i="13"/>
  <c r="E18" i="13"/>
  <c r="E17" i="13"/>
  <c r="E15" i="13"/>
  <c r="F10" i="13" s="1"/>
  <c r="E16" i="13"/>
  <c r="F31" i="12" l="1"/>
  <c r="F17" i="13"/>
  <c r="F19" i="13"/>
  <c r="F5" i="13" l="1"/>
  <c r="D19" i="12"/>
  <c r="D5" i="12" s="1"/>
  <c r="F5" i="12" s="1"/>
  <c r="F7" i="12" s="1"/>
  <c r="F19" i="12" l="1"/>
  <c r="F23" i="13"/>
  <c r="F29" i="13"/>
  <c r="F28" i="13"/>
  <c r="D21" i="13"/>
  <c r="F22" i="13"/>
  <c r="D23" i="13"/>
  <c r="D22" i="13"/>
  <c r="F18" i="13"/>
  <c r="F4" i="13"/>
  <c r="F7" i="13" s="1"/>
  <c r="F24" i="13" l="1"/>
  <c r="F25" i="13" s="1"/>
  <c r="F31" i="13"/>
  <c r="F24" i="12" l="1"/>
  <c r="F25" i="12" s="1"/>
  <c r="E26" i="11"/>
  <c r="H26" i="11" s="1"/>
  <c r="E25" i="11"/>
  <c r="H25" i="11" s="1"/>
  <c r="H20" i="11"/>
  <c r="H19" i="11"/>
  <c r="H18" i="11"/>
  <c r="H17" i="11"/>
  <c r="E12" i="11"/>
  <c r="E13" i="11"/>
  <c r="E14" i="11"/>
  <c r="E11" i="11"/>
  <c r="H10" i="11" l="1"/>
  <c r="E16" i="11"/>
  <c r="H16" i="11" s="1"/>
  <c r="H6" i="11"/>
  <c r="H27" i="11"/>
  <c r="H21" i="11" l="1"/>
  <c r="H22" i="11" l="1"/>
  <c r="H31" i="11" l="1"/>
  <c r="G31" i="11" s="1"/>
  <c r="H29" i="11"/>
  <c r="H32" i="11" l="1"/>
  <c r="F35" i="12"/>
  <c r="F33" i="12"/>
  <c r="F33" i="13"/>
  <c r="F35" i="13"/>
  <c r="R8" i="11" l="1"/>
  <c r="Q8" i="11"/>
  <c r="N4" i="11"/>
  <c r="R6" i="11"/>
  <c r="P5" i="11"/>
  <c r="P6" i="11"/>
  <c r="P8" i="11"/>
  <c r="O8" i="11"/>
  <c r="N8" i="11"/>
  <c r="R7" i="11"/>
  <c r="O6" i="11"/>
  <c r="R4" i="11"/>
  <c r="N6" i="11"/>
  <c r="Q4" i="11"/>
  <c r="R5" i="11"/>
  <c r="P4" i="11"/>
  <c r="O7" i="11"/>
  <c r="Q5" i="11"/>
  <c r="O4" i="11"/>
  <c r="Q6" i="11"/>
  <c r="Q7" i="11"/>
  <c r="N7" i="11"/>
  <c r="O5" i="11"/>
  <c r="N5" i="11"/>
  <c r="P7" i="11"/>
  <c r="G32" i="11"/>
  <c r="F36" i="12"/>
  <c r="F36" i="13"/>
  <c r="L4" i="13" s="1"/>
  <c r="M6" i="13" l="1"/>
  <c r="L8" i="13"/>
  <c r="N6" i="13"/>
  <c r="L7" i="13"/>
  <c r="O6" i="13"/>
  <c r="L6" i="13"/>
  <c r="P6" i="13"/>
  <c r="L5" i="13"/>
  <c r="M7" i="13"/>
  <c r="M4" i="13"/>
  <c r="N7" i="13"/>
  <c r="N4" i="13"/>
  <c r="O7" i="13"/>
  <c r="O4" i="13"/>
  <c r="P7" i="13"/>
  <c r="P4" i="13"/>
  <c r="M5" i="13"/>
  <c r="M8" i="13"/>
  <c r="N5" i="13"/>
  <c r="N8" i="13"/>
  <c r="O5" i="13"/>
  <c r="O8" i="13"/>
  <c r="P5" i="13"/>
  <c r="P8" i="13"/>
  <c r="N5" i="12"/>
  <c r="N6" i="12"/>
  <c r="N8" i="12"/>
  <c r="N4" i="12"/>
  <c r="L4" i="12"/>
  <c r="L8" i="12"/>
  <c r="M8" i="12"/>
  <c r="M7" i="12"/>
  <c r="M4" i="12"/>
  <c r="N7" i="12"/>
  <c r="M5" i="12"/>
  <c r="M6" i="12"/>
  <c r="L7" i="12"/>
  <c r="L6" i="12"/>
  <c r="L5" i="12"/>
  <c r="O6" i="12"/>
  <c r="O7" i="12"/>
  <c r="O4" i="12"/>
  <c r="O5" i="12"/>
  <c r="O8" i="12"/>
  <c r="P8" i="12"/>
  <c r="P6" i="12"/>
  <c r="P4" i="12"/>
  <c r="P7" i="12"/>
  <c r="P5" i="12"/>
</calcChain>
</file>

<file path=xl/sharedStrings.xml><?xml version="1.0" encoding="utf-8"?>
<sst xmlns="http://schemas.openxmlformats.org/spreadsheetml/2006/main" count="782" uniqueCount="576">
  <si>
    <t>University of Missouri Extension</t>
  </si>
  <si>
    <t>Technical parameters</t>
  </si>
  <si>
    <t>Unit</t>
  </si>
  <si>
    <t>Value</t>
  </si>
  <si>
    <t>Prices</t>
  </si>
  <si>
    <t>All budgets</t>
  </si>
  <si>
    <t>Farrow-feeder</t>
  </si>
  <si>
    <t>Farrow to finish</t>
  </si>
  <si>
    <t>Feeder to finish</t>
  </si>
  <si>
    <t>Litters/sow/year</t>
  </si>
  <si>
    <t xml:space="preserve">Corn </t>
  </si>
  <si>
    <t>Pigs weaned/litter</t>
  </si>
  <si>
    <t xml:space="preserve">Soybean meal </t>
  </si>
  <si>
    <t>Average litters/sow (lifetime)</t>
  </si>
  <si>
    <t>Weaned pigs/sow/year</t>
  </si>
  <si>
    <t xml:space="preserve">Vitamin and mineral premix </t>
  </si>
  <si>
    <t>Death loss</t>
  </si>
  <si>
    <t xml:space="preserve">Nursery pellet </t>
  </si>
  <si>
    <t xml:space="preserve">Feed processing </t>
  </si>
  <si>
    <t>Labor</t>
  </si>
  <si>
    <t xml:space="preserve">Weight </t>
  </si>
  <si>
    <t xml:space="preserve">    Feeder</t>
  </si>
  <si>
    <t>Operating interest</t>
  </si>
  <si>
    <t xml:space="preserve">    Market hog</t>
  </si>
  <si>
    <t>Gilts for sow replacement</t>
  </si>
  <si>
    <t>Market price for culled sow</t>
  </si>
  <si>
    <t xml:space="preserve">Vet, medicine </t>
  </si>
  <si>
    <t xml:space="preserve">Utilities and fuel </t>
  </si>
  <si>
    <t>Identities</t>
  </si>
  <si>
    <t>Quantity</t>
  </si>
  <si>
    <t>Income</t>
  </si>
  <si>
    <t>Market hogs sold</t>
  </si>
  <si>
    <t xml:space="preserve">               </t>
  </si>
  <si>
    <t>Culled sows sold</t>
  </si>
  <si>
    <t>Total income</t>
  </si>
  <si>
    <t>Operating costs</t>
  </si>
  <si>
    <t>Feed</t>
  </si>
  <si>
    <t>Corn</t>
  </si>
  <si>
    <t>Soybean meal</t>
  </si>
  <si>
    <t>Vitamin and mineral premix</t>
  </si>
  <si>
    <t>Nursery pellet</t>
  </si>
  <si>
    <t>Feed processing</t>
  </si>
  <si>
    <t>Veterinary and medicine</t>
  </si>
  <si>
    <t>Semen cost and genetics</t>
  </si>
  <si>
    <t>Utilities and fuel</t>
  </si>
  <si>
    <t>Facility repair and maintenance</t>
  </si>
  <si>
    <t>Marketing and miscellaneous</t>
  </si>
  <si>
    <t>Total operating costs</t>
  </si>
  <si>
    <t>Ownership costs</t>
  </si>
  <si>
    <t>Taxes and insurance</t>
  </si>
  <si>
    <t>Total ownership costs</t>
  </si>
  <si>
    <t>Total costs</t>
  </si>
  <si>
    <t>Start</t>
  </si>
  <si>
    <t>cropnum-22706</t>
  </si>
  <si>
    <t>primyieldtype-22706</t>
  </si>
  <si>
    <t>byyieldtype-22706</t>
  </si>
  <si>
    <t>irrigation2-22706</t>
  </si>
  <si>
    <t>leasenum-22706</t>
  </si>
  <si>
    <t>40hp-22706</t>
  </si>
  <si>
    <t>60hp-22706</t>
  </si>
  <si>
    <t>75hp-22706</t>
  </si>
  <si>
    <t>105twd-22706</t>
  </si>
  <si>
    <t>140twd-22706</t>
  </si>
  <si>
    <t>105mfwd-22706</t>
  </si>
  <si>
    <t>130mfwd-22706</t>
  </si>
  <si>
    <t>160mfwd-22706</t>
  </si>
  <si>
    <t>200mfwd-22706</t>
  </si>
  <si>
    <t>225mfwd-22706</t>
  </si>
  <si>
    <t>2604wd-22706</t>
  </si>
  <si>
    <t>3104wd-22706</t>
  </si>
  <si>
    <t>360 4wd-22706</t>
  </si>
  <si>
    <t>4254wd-22706</t>
  </si>
  <si>
    <t>225tt-22706</t>
  </si>
  <si>
    <t>425tt-22706</t>
  </si>
  <si>
    <t>description-1-22706</t>
  </si>
  <si>
    <t>Corn(2015 Dryland)</t>
  </si>
  <si>
    <t>acres-1-22706</t>
  </si>
  <si>
    <t>receipts-1-22706</t>
  </si>
  <si>
    <t>receipts-2-22706</t>
  </si>
  <si>
    <t>receipts-3-22706</t>
  </si>
  <si>
    <t>receipts-4-22706</t>
  </si>
  <si>
    <t>receipts-5-22706</t>
  </si>
  <si>
    <t>receipts-6-22706</t>
  </si>
  <si>
    <t>seed1-1-22706</t>
  </si>
  <si>
    <t>seed1-2-22706</t>
  </si>
  <si>
    <t>seed1-3-22706</t>
  </si>
  <si>
    <t>seed1-4-22706</t>
  </si>
  <si>
    <t>seed1-5-22706</t>
  </si>
  <si>
    <t>seed1-6-22706</t>
  </si>
  <si>
    <t>seed2-1-22706</t>
  </si>
  <si>
    <t>seed2-2-22706</t>
  </si>
  <si>
    <t>seed2-3-22706</t>
  </si>
  <si>
    <t>seed2-4-22706</t>
  </si>
  <si>
    <t>seed2-5-22706</t>
  </si>
  <si>
    <t>seed2-6-22706</t>
  </si>
  <si>
    <t>fertilizer1-1-22706</t>
  </si>
  <si>
    <t>fertilizer1-2-22706</t>
  </si>
  <si>
    <t>fertilizer1-3-22706</t>
  </si>
  <si>
    <t>fertilizer1-4-22706</t>
  </si>
  <si>
    <t>fertilizer1-5-22706</t>
  </si>
  <si>
    <t>fertilizer1-6-22706</t>
  </si>
  <si>
    <t>fertilizer1-7-22706</t>
  </si>
  <si>
    <t>fertilizer1-8-22706</t>
  </si>
  <si>
    <t>fertilizer2-1-22706</t>
  </si>
  <si>
    <t>fertilizer2-2-22706</t>
  </si>
  <si>
    <t>fertilizer2-3-22706</t>
  </si>
  <si>
    <t>fertilizer2-4-22706</t>
  </si>
  <si>
    <t>fertilizer2-5-22706</t>
  </si>
  <si>
    <t>fertilizer2-6-22706</t>
  </si>
  <si>
    <t>fertilizer2-7-22706</t>
  </si>
  <si>
    <t>fertilizer2-8-22706</t>
  </si>
  <si>
    <t>herbicide1-1-22706</t>
  </si>
  <si>
    <t>herbicide1-2-22706</t>
  </si>
  <si>
    <t>herbicide1-3-22706</t>
  </si>
  <si>
    <t>herbicide1-4-22706</t>
  </si>
  <si>
    <t>herbicide1-5-22706</t>
  </si>
  <si>
    <t>herbicide1-6-22706</t>
  </si>
  <si>
    <t>herbicide1-7-22706</t>
  </si>
  <si>
    <t>herbicide1-8-22706</t>
  </si>
  <si>
    <t>herbicide2-1-22706</t>
  </si>
  <si>
    <t>herbicide2-2-22706</t>
  </si>
  <si>
    <t>herbicide2-3-22706</t>
  </si>
  <si>
    <t>herbicide2-4-22706</t>
  </si>
  <si>
    <t>herbicide2-5-22706</t>
  </si>
  <si>
    <t>herbicide2-6-22706</t>
  </si>
  <si>
    <t>herbicide2-7-22706</t>
  </si>
  <si>
    <t>herbicide2-8-22706</t>
  </si>
  <si>
    <t>herbicide2-9-22706</t>
  </si>
  <si>
    <t>insecticide1-1-22706</t>
  </si>
  <si>
    <t>insecticide1-2-22706</t>
  </si>
  <si>
    <t>insecticide1-3-22706</t>
  </si>
  <si>
    <t>insecticide1-4-22706</t>
  </si>
  <si>
    <t>insecticide2-1-22706</t>
  </si>
  <si>
    <t>insecticide2-2-22706</t>
  </si>
  <si>
    <t>insecticide2-3-22706</t>
  </si>
  <si>
    <t>insecticide2-4-22706</t>
  </si>
  <si>
    <t>insecticide2-5-22706</t>
  </si>
  <si>
    <t>None</t>
  </si>
  <si>
    <t>labor-1-22706</t>
  </si>
  <si>
    <t>labor-2-22706</t>
  </si>
  <si>
    <t>labor-3-22706</t>
  </si>
  <si>
    <t>irrigation1-1-22706</t>
  </si>
  <si>
    <t>irrigation1-2-22706</t>
  </si>
  <si>
    <t>irrigation1-3-22706</t>
  </si>
  <si>
    <t>land-1-22706</t>
  </si>
  <si>
    <t>land-2-22706</t>
  </si>
  <si>
    <t>land-3-22706</t>
  </si>
  <si>
    <t>land-3-9106</t>
  </si>
  <si>
    <t>land-4-22706</t>
  </si>
  <si>
    <t>otheritems1-1-22706</t>
  </si>
  <si>
    <t>otheritems1-2-22706</t>
  </si>
  <si>
    <t>otheritems1-3-22706</t>
  </si>
  <si>
    <t>otheritems1-4-22706</t>
  </si>
  <si>
    <t>otheritems1-5-22706</t>
  </si>
  <si>
    <t>otheritems1-6-22706</t>
  </si>
  <si>
    <t>otheritems1-7-22706</t>
  </si>
  <si>
    <t>postharvest-1-22706</t>
  </si>
  <si>
    <t>postharvest-2-22706</t>
  </si>
  <si>
    <t>postharvest-3-22706</t>
  </si>
  <si>
    <t>postharvest-4-22706</t>
  </si>
  <si>
    <t>postharvest-5-22706</t>
  </si>
  <si>
    <t>postharvest-6-22706</t>
  </si>
  <si>
    <t>postharvest-7-22706</t>
  </si>
  <si>
    <t>postharvest-8-22706</t>
  </si>
  <si>
    <t>postharvest-9-22706</t>
  </si>
  <si>
    <t>postharvest-10-22706</t>
  </si>
  <si>
    <t>overhead-1-22706</t>
  </si>
  <si>
    <t>overhead-2-22706</t>
  </si>
  <si>
    <t>overhead-3-22706</t>
  </si>
  <si>
    <t>overhead-4-22706</t>
  </si>
  <si>
    <t>overhead-5-22706</t>
  </si>
  <si>
    <t>overhead-6-22706</t>
  </si>
  <si>
    <t>landlord_share-1-22706</t>
  </si>
  <si>
    <t>landlord_share-2-22706</t>
  </si>
  <si>
    <t>landlord_share-3-22706</t>
  </si>
  <si>
    <t>landlord_share-4-22706</t>
  </si>
  <si>
    <t>landlord_share-5-22706</t>
  </si>
  <si>
    <t>landlord_share-6-22706</t>
  </si>
  <si>
    <t>landlord_share-7-22706</t>
  </si>
  <si>
    <t>landlord_share-8-22706</t>
  </si>
  <si>
    <t>landlord_share-9-22706</t>
  </si>
  <si>
    <t>landlord_share-10-22706</t>
  </si>
  <si>
    <t>landlord_share-11-22706</t>
  </si>
  <si>
    <t>customhire1-1-22706</t>
  </si>
  <si>
    <t>customhire1-2-22706</t>
  </si>
  <si>
    <t>customhire1-3-22706</t>
  </si>
  <si>
    <t>customhire1-4-22706</t>
  </si>
  <si>
    <t>customhire1-5-22706</t>
  </si>
  <si>
    <t>customhire1-6-22706</t>
  </si>
  <si>
    <t>customhire1-7-22706</t>
  </si>
  <si>
    <t>customhire1-8-22706</t>
  </si>
  <si>
    <t>customhire1-9-22706</t>
  </si>
  <si>
    <t>customhire1-10-22706</t>
  </si>
  <si>
    <t>customhire1-11-22706</t>
  </si>
  <si>
    <t>customhire1-12-22706</t>
  </si>
  <si>
    <t>customhire1-13-22706</t>
  </si>
  <si>
    <t>customhire2-1-22706</t>
  </si>
  <si>
    <t>customhire2-2-22706</t>
  </si>
  <si>
    <t>customhire2-3-22706</t>
  </si>
  <si>
    <t>customhire2-4-22706</t>
  </si>
  <si>
    <t>customhire2-5-22706</t>
  </si>
  <si>
    <t>customhire2-6-22706</t>
  </si>
  <si>
    <t>customhire2-7-22706</t>
  </si>
  <si>
    <t>customhire2-8-22706</t>
  </si>
  <si>
    <t>size-1-3806</t>
  </si>
  <si>
    <t>15 ft</t>
  </si>
  <si>
    <t>size-2-3806</t>
  </si>
  <si>
    <t>16.3 ft</t>
  </si>
  <si>
    <t>size-3-3806</t>
  </si>
  <si>
    <t>6 ft</t>
  </si>
  <si>
    <t>size-4-3806</t>
  </si>
  <si>
    <t>35 ft</t>
  </si>
  <si>
    <t>size-5-3806</t>
  </si>
  <si>
    <t>11 ft</t>
  </si>
  <si>
    <t>size-6-3806</t>
  </si>
  <si>
    <t>30" O.C., 17 ft</t>
  </si>
  <si>
    <t>size-7-3806</t>
  </si>
  <si>
    <t>16 ft</t>
  </si>
  <si>
    <t>size-8-3806</t>
  </si>
  <si>
    <t>17.5 ft</t>
  </si>
  <si>
    <t>size-9-3806</t>
  </si>
  <si>
    <t>22 ft</t>
  </si>
  <si>
    <t>size-10-3806</t>
  </si>
  <si>
    <t>12 ft</t>
  </si>
  <si>
    <t>size-11-3806</t>
  </si>
  <si>
    <t>6 row</t>
  </si>
  <si>
    <t>size-12-3806</t>
  </si>
  <si>
    <t>(16/31 row 30/15")</t>
  </si>
  <si>
    <t>size-13-3806</t>
  </si>
  <si>
    <t>size-14-3806</t>
  </si>
  <si>
    <t>size-15-3806</t>
  </si>
  <si>
    <t>size-16-3806</t>
  </si>
  <si>
    <t>size-17-3806</t>
  </si>
  <si>
    <t>size-18-3806</t>
  </si>
  <si>
    <t>30 ft</t>
  </si>
  <si>
    <t>size-27-101707</t>
  </si>
  <si>
    <t>7 ft swath</t>
  </si>
  <si>
    <t>size-19-3806</t>
  </si>
  <si>
    <t>size-28-101707</t>
  </si>
  <si>
    <t>size-25-101707</t>
  </si>
  <si>
    <t>10 wheel, 20 ft</t>
  </si>
  <si>
    <t>size-26-101707</t>
  </si>
  <si>
    <t>9.5 ft</t>
  </si>
  <si>
    <t>size-20-101707</t>
  </si>
  <si>
    <t>1000 lb.</t>
  </si>
  <si>
    <t>size-21-3806</t>
  </si>
  <si>
    <t>size-22-3806</t>
  </si>
  <si>
    <t>size-23-3806</t>
  </si>
  <si>
    <t>8 row</t>
  </si>
  <si>
    <t>size-24-3806</t>
  </si>
  <si>
    <t>500 bushel</t>
  </si>
  <si>
    <t>power-1-22706</t>
  </si>
  <si>
    <t>power-2-22706</t>
  </si>
  <si>
    <t>power-3-22706</t>
  </si>
  <si>
    <t>power-4-22706</t>
  </si>
  <si>
    <t>310 4WD</t>
  </si>
  <si>
    <t>power-5-22706</t>
  </si>
  <si>
    <t>power-6-22706</t>
  </si>
  <si>
    <t>power-7-22706</t>
  </si>
  <si>
    <t>power-8-22706</t>
  </si>
  <si>
    <t>power-9-22706</t>
  </si>
  <si>
    <t>power-10-22706</t>
  </si>
  <si>
    <t>power-11-22706</t>
  </si>
  <si>
    <t>power-12-22706</t>
  </si>
  <si>
    <t>200 MFWD</t>
  </si>
  <si>
    <t>power-13-22706</t>
  </si>
  <si>
    <t>power-14-22706</t>
  </si>
  <si>
    <t>power-15-22706</t>
  </si>
  <si>
    <t>power-16-22706</t>
  </si>
  <si>
    <t>power-17-22706</t>
  </si>
  <si>
    <t>power-18-22706</t>
  </si>
  <si>
    <t>power-19-22706</t>
  </si>
  <si>
    <t>power-20-22706</t>
  </si>
  <si>
    <t>160 MFWD</t>
  </si>
  <si>
    <t>power-21-22706</t>
  </si>
  <si>
    <t>power-22-22706</t>
  </si>
  <si>
    <t>power-23-22706</t>
  </si>
  <si>
    <t>power-24-22706</t>
  </si>
  <si>
    <t>power-25-22706</t>
  </si>
  <si>
    <t>power-26-22706</t>
  </si>
  <si>
    <t>power-27-22706</t>
  </si>
  <si>
    <t>power-28-22706</t>
  </si>
  <si>
    <t>power-29-22706</t>
  </si>
  <si>
    <t>power-30-22706</t>
  </si>
  <si>
    <t>power-31-22706</t>
  </si>
  <si>
    <t>power-32-22706</t>
  </si>
  <si>
    <t>power-33-22706</t>
  </si>
  <si>
    <t>power-34-22706</t>
  </si>
  <si>
    <t>power-35-22706</t>
  </si>
  <si>
    <t>power-36-22706</t>
  </si>
  <si>
    <t>power-37-22706</t>
  </si>
  <si>
    <t>power-38-22706</t>
  </si>
  <si>
    <t>130 MFWD</t>
  </si>
  <si>
    <t>passes-1-22706</t>
  </si>
  <si>
    <t>passes-2-22706</t>
  </si>
  <si>
    <t>passes-3-22706</t>
  </si>
  <si>
    <t>passes-4-22706</t>
  </si>
  <si>
    <t>passes-5-22706</t>
  </si>
  <si>
    <t>passes-6-22706</t>
  </si>
  <si>
    <t>passes-7-22706</t>
  </si>
  <si>
    <t>passes-8-22706</t>
  </si>
  <si>
    <t>passes-9-22706</t>
  </si>
  <si>
    <t>passes-10-22706</t>
  </si>
  <si>
    <t>passes-11-22706</t>
  </si>
  <si>
    <t>passes-12-22706</t>
  </si>
  <si>
    <t>passes-13-22706</t>
  </si>
  <si>
    <t>passes-14-22706</t>
  </si>
  <si>
    <t>passes-15-22706</t>
  </si>
  <si>
    <t>passes-16-22706</t>
  </si>
  <si>
    <t>passes-17-22706</t>
  </si>
  <si>
    <t>passes-18-22706</t>
  </si>
  <si>
    <t>passes-19-22706</t>
  </si>
  <si>
    <t>passes-20-22706</t>
  </si>
  <si>
    <t>passes-21-22706</t>
  </si>
  <si>
    <t>passes-22-22706</t>
  </si>
  <si>
    <t>passes-23-22706</t>
  </si>
  <si>
    <t>passes-24-22706</t>
  </si>
  <si>
    <t>passes-25-22706</t>
  </si>
  <si>
    <t>passes-26-22706</t>
  </si>
  <si>
    <t>passes-27-22706</t>
  </si>
  <si>
    <t>passes-28-22706</t>
  </si>
  <si>
    <t>passes-29-22706</t>
  </si>
  <si>
    <t>passes-30-22706</t>
  </si>
  <si>
    <t>passes-31-22706</t>
  </si>
  <si>
    <t>passes-32-22706</t>
  </si>
  <si>
    <t>passes-33-22706</t>
  </si>
  <si>
    <t>passes-34-22706</t>
  </si>
  <si>
    <t>passes-35-22706</t>
  </si>
  <si>
    <t>passes-36-22706</t>
  </si>
  <si>
    <t>passes-37-22706</t>
  </si>
  <si>
    <t>passes-38-22706</t>
  </si>
  <si>
    <t>passes-39-22706</t>
  </si>
  <si>
    <t>passes-40-22706</t>
  </si>
  <si>
    <t>rent-1-82906</t>
  </si>
  <si>
    <t>rent-2-82906</t>
  </si>
  <si>
    <t>rent-3-82906</t>
  </si>
  <si>
    <t>rent-4-82906</t>
  </si>
  <si>
    <t>rent-5-82906</t>
  </si>
  <si>
    <t>rent-6-82906</t>
  </si>
  <si>
    <t>rent-7-82906</t>
  </si>
  <si>
    <t>rent-8-82906</t>
  </si>
  <si>
    <t>rent-9-82906</t>
  </si>
  <si>
    <t>rent-10-82906</t>
  </si>
  <si>
    <t>rent-11-82906</t>
  </si>
  <si>
    <t>rent-12-82906</t>
  </si>
  <si>
    <t>rent-13-82906</t>
  </si>
  <si>
    <t>rent-14-82906</t>
  </si>
  <si>
    <t>rent-15-82906</t>
  </si>
  <si>
    <t>rent-16-82906</t>
  </si>
  <si>
    <t>rent-17-82906</t>
  </si>
  <si>
    <t>rent-18-82906</t>
  </si>
  <si>
    <t>rent-19-82906</t>
  </si>
  <si>
    <t>rent-20-82906</t>
  </si>
  <si>
    <t>rent-21-82906</t>
  </si>
  <si>
    <t>rent-22-82906</t>
  </si>
  <si>
    <t>rent-23-82906</t>
  </si>
  <si>
    <t>rent-24-82906</t>
  </si>
  <si>
    <t>rent-25-82906</t>
  </si>
  <si>
    <t>rent-26-82906</t>
  </si>
  <si>
    <t>rent-27-82906</t>
  </si>
  <si>
    <t>rent-28-82906</t>
  </si>
  <si>
    <t>rent-29-82906</t>
  </si>
  <si>
    <t>rent-30-82906</t>
  </si>
  <si>
    <t>rent-31-82906</t>
  </si>
  <si>
    <t>rent-32-82906</t>
  </si>
  <si>
    <t>rent-33-82906</t>
  </si>
  <si>
    <t>rent-34-82906</t>
  </si>
  <si>
    <t>rent-35-82906</t>
  </si>
  <si>
    <t>rent-36-82906</t>
  </si>
  <si>
    <t>rent-37-82906</t>
  </si>
  <si>
    <t>rent-38-82906</t>
  </si>
  <si>
    <t>rent-39-82906</t>
  </si>
  <si>
    <t>rent-40-82906</t>
  </si>
  <si>
    <t>Feeder pigs sold</t>
  </si>
  <si>
    <t>cwt/year/sow</t>
  </si>
  <si>
    <t>Replacement gilts</t>
  </si>
  <si>
    <t>Quantity/hog</t>
  </si>
  <si>
    <t>Market hogs</t>
  </si>
  <si>
    <t xml:space="preserve">Total income </t>
  </si>
  <si>
    <t xml:space="preserve">Purchased feeder pigs </t>
  </si>
  <si>
    <t>% death loss</t>
  </si>
  <si>
    <t>Facility/equipment repair &amp; maintenance</t>
  </si>
  <si>
    <t>Marketing &amp; miscellaneous</t>
  </si>
  <si>
    <t>Selected prices</t>
  </si>
  <si>
    <t>Market hog sale weight, pounds</t>
  </si>
  <si>
    <t>Cull sow sale weight, pounds</t>
  </si>
  <si>
    <t>Replacement gilt weight, pounds</t>
  </si>
  <si>
    <t>Labor, hours/sow</t>
  </si>
  <si>
    <t>Feed processing, per ton</t>
  </si>
  <si>
    <t>Feeder pig sale weight, pounds</t>
  </si>
  <si>
    <t>Feeder pig purchase weight, pounds</t>
  </si>
  <si>
    <t>Other income (manure)</t>
  </si>
  <si>
    <t>Selected quantities</t>
  </si>
  <si>
    <t>Manure production, 1,000 gallons</t>
  </si>
  <si>
    <t>1,000 gallons</t>
  </si>
  <si>
    <t>Manure production per hog, 1,000 gallons</t>
  </si>
  <si>
    <t>Labor, hours/pig</t>
  </si>
  <si>
    <t>Labor, hours/sow per year</t>
  </si>
  <si>
    <t>Weaned to finish death loss, percent</t>
  </si>
  <si>
    <t>Sow/gilt death loss, percent</t>
  </si>
  <si>
    <t>Weaned to feeder death loss, percent</t>
  </si>
  <si>
    <t>Interest on breeding stock (sows)</t>
  </si>
  <si>
    <t>DDG with solubles</t>
  </si>
  <si>
    <t>Cull sow price, per cwt</t>
  </si>
  <si>
    <t>Market hog sale price, per cwt</t>
  </si>
  <si>
    <t>Labor rate, per hour</t>
  </si>
  <si>
    <t>Replacement gilts, per head</t>
  </si>
  <si>
    <t>Market hog price, per cwt</t>
  </si>
  <si>
    <t>DDG with soluables</t>
  </si>
  <si>
    <t>Dried distiller's grain with solubles (DDG)</t>
  </si>
  <si>
    <t>Feeder pig price, per head</t>
  </si>
  <si>
    <t>Feeder pig sale price, head</t>
  </si>
  <si>
    <t>Developed by:</t>
  </si>
  <si>
    <t>Hog Finishing Planning Budget</t>
  </si>
  <si>
    <t>Input Assumptions</t>
  </si>
  <si>
    <t xml:space="preserve">    Replacement gilt</t>
  </si>
  <si>
    <t xml:space="preserve">    Culled sows</t>
  </si>
  <si>
    <t xml:space="preserve">    Sows</t>
  </si>
  <si>
    <t xml:space="preserve">    Weaned-finish</t>
  </si>
  <si>
    <t xml:space="preserve">    Weaned-feeder</t>
  </si>
  <si>
    <t xml:space="preserve">    Feeder to finish</t>
  </si>
  <si>
    <t>litters</t>
  </si>
  <si>
    <t>pigs</t>
  </si>
  <si>
    <t>litters per sow</t>
  </si>
  <si>
    <t>weaned pigs</t>
  </si>
  <si>
    <t>percent</t>
  </si>
  <si>
    <t>cwt./year/sow</t>
  </si>
  <si>
    <t xml:space="preserve">    Sow and pig</t>
  </si>
  <si>
    <t xml:space="preserve">    Hog</t>
  </si>
  <si>
    <t xml:space="preserve">Feeder Pigs Planning Budget </t>
  </si>
  <si>
    <t>Income over operating costs</t>
  </si>
  <si>
    <t>Income over total costs</t>
  </si>
  <si>
    <t>cwt</t>
  </si>
  <si>
    <t>pounds per sow</t>
  </si>
  <si>
    <t>tons per sow</t>
  </si>
  <si>
    <t>hogs sold</t>
  </si>
  <si>
    <t>sow</t>
  </si>
  <si>
    <t>litter/sow/year</t>
  </si>
  <si>
    <t>months</t>
  </si>
  <si>
    <t>hours per sow</t>
  </si>
  <si>
    <t>head</t>
  </si>
  <si>
    <t>hours/sow</t>
  </si>
  <si>
    <t>cwt/hog</t>
  </si>
  <si>
    <t>hogs/lot</t>
  </si>
  <si>
    <t>pounds/hog</t>
  </si>
  <si>
    <t>total pounds</t>
  </si>
  <si>
    <t>tons</t>
  </si>
  <si>
    <t>hours/hog</t>
  </si>
  <si>
    <t>cwt gain</t>
  </si>
  <si>
    <t>total hours</t>
  </si>
  <si>
    <t>total cwt gain</t>
  </si>
  <si>
    <t>Price/unit</t>
  </si>
  <si>
    <t>Total/sow</t>
  </si>
  <si>
    <t>Total/lot</t>
  </si>
  <si>
    <t>Selected  quantities</t>
  </si>
  <si>
    <t>pounds/bushel</t>
  </si>
  <si>
    <t>$/head</t>
  </si>
  <si>
    <t>National daily direct, producer sold net price, live equivalent</t>
  </si>
  <si>
    <t>carcass yield</t>
  </si>
  <si>
    <t>Market hog price</t>
  </si>
  <si>
    <t>Gilt premium over market hogs</t>
  </si>
  <si>
    <t>Custom manure application</t>
  </si>
  <si>
    <t>$/1000 gallons</t>
  </si>
  <si>
    <t>Fertilizer value for manure nutrients</t>
  </si>
  <si>
    <t>Nitrogen</t>
  </si>
  <si>
    <r>
      <t>K</t>
    </r>
    <r>
      <rPr>
        <vertAlign val="subscript"/>
        <sz val="12"/>
        <rFont val="Arial"/>
        <family val="2"/>
      </rPr>
      <t>2</t>
    </r>
    <r>
      <rPr>
        <sz val="12"/>
        <rFont val="Arial"/>
        <family val="2"/>
      </rPr>
      <t>O</t>
    </r>
  </si>
  <si>
    <r>
      <t>P</t>
    </r>
    <r>
      <rPr>
        <vertAlign val="subscript"/>
        <sz val="12"/>
        <color theme="1"/>
        <rFont val="Aptos"/>
        <family val="2"/>
        <scheme val="minor"/>
      </rPr>
      <t>2</t>
    </r>
    <r>
      <rPr>
        <sz val="12"/>
        <color theme="1"/>
        <rFont val="Aptos"/>
        <family val="2"/>
        <scheme val="minor"/>
      </rPr>
      <t>O</t>
    </r>
    <r>
      <rPr>
        <vertAlign val="subscript"/>
        <sz val="12"/>
        <color theme="1"/>
        <rFont val="Aptos"/>
        <family val="2"/>
        <scheme val="minor"/>
      </rPr>
      <t>5</t>
    </r>
  </si>
  <si>
    <t>Feeder pig price</t>
  </si>
  <si>
    <t>Sensitivity table increments</t>
  </si>
  <si>
    <t>Corn price</t>
  </si>
  <si>
    <t>Corn price, per bushel</t>
  </si>
  <si>
    <t>Weight conversion</t>
  </si>
  <si>
    <t>pounds/ton</t>
  </si>
  <si>
    <t xml:space="preserve"> ton</t>
  </si>
  <si>
    <t xml:space="preserve"> pound</t>
  </si>
  <si>
    <t xml:space="preserve"> hour</t>
  </si>
  <si>
    <t xml:space="preserve"> litter</t>
  </si>
  <si>
    <t xml:space="preserve"> cwt gain</t>
  </si>
  <si>
    <t xml:space="preserve"> lb N</t>
  </si>
  <si>
    <t xml:space="preserve"> lb. P2O5</t>
  </si>
  <si>
    <t xml:space="preserve"> lb K2O</t>
  </si>
  <si>
    <t xml:space="preserve"> head</t>
  </si>
  <si>
    <t xml:space="preserve"> gilt</t>
  </si>
  <si>
    <t xml:space="preserve"> bushel</t>
  </si>
  <si>
    <t>cwt. (live weight)</t>
  </si>
  <si>
    <t>annual percent</t>
  </si>
  <si>
    <t>pounds (live wt.)</t>
  </si>
  <si>
    <t>hours/sow/litter</t>
  </si>
  <si>
    <t>hours/finishing hog</t>
  </si>
  <si>
    <t xml:space="preserve">    Farrow-finish</t>
  </si>
  <si>
    <t xml:space="preserve">    Farrow-feeder</t>
  </si>
  <si>
    <t>Weaned pigs/sow/year (number)</t>
  </si>
  <si>
    <t>Weaned pigs/sow/year (cwt.)</t>
  </si>
  <si>
    <t>Manure production was calculated using numbers from Clemson University. Manure value was estimated as the fertilizer valueof its contribution of nitrogen, phosphorus, and potassium for a 2-year crop rotation (corn-soybean), assuming that it is managed in pits and used locally (no transportation costs). A custom manure application charge is deducted from the value to obtain its net value on each budget.</t>
  </si>
  <si>
    <t>Income over total cost sensitivity analysis ($ per sow)</t>
  </si>
  <si>
    <t>Income over total cost sensitivity analysis ($ per 100 hog lot)</t>
  </si>
  <si>
    <t>Values used to determine fertilizer value (not changeable in this spreadsheet)</t>
  </si>
  <si>
    <t>Operating interest, annual percentage</t>
  </si>
  <si>
    <t>Semen and genetics</t>
  </si>
  <si>
    <t>Replacement gilt price, per head</t>
  </si>
  <si>
    <t>Swine (Confinement) Budgets</t>
  </si>
  <si>
    <t>Updated: 10/2026</t>
  </si>
  <si>
    <r>
      <rPr>
        <b/>
        <sz val="12"/>
        <color theme="1"/>
        <rFont val="Aptos"/>
        <family val="2"/>
        <scheme val="minor"/>
      </rPr>
      <t>How to use this workbook:</t>
    </r>
    <r>
      <rPr>
        <sz val="12"/>
        <color theme="1"/>
        <rFont val="Aptos"/>
        <family val="2"/>
        <scheme val="minor"/>
      </rPr>
      <t xml:space="preserve">	</t>
    </r>
  </si>
  <si>
    <t>1. Save a copy of the workbook using a new file name before making changes.</t>
  </si>
  <si>
    <t>2. Begin with the Inputs worksheet. Review and update assumptions around prices, production parameters and other key inputs.</t>
  </si>
  <si>
    <t>3. Complete the swine worksheets that are relevant to your operation. Adjust assumptions for income, operating costs, and ownership costs as needed. Results are reported on a per-sow or per-lot basis.</t>
  </si>
  <si>
    <t>4. Edit only the gray cells within each worksheet. Gray cells are user inputs; white cells contain labels or formulas that calculate results automatically.</t>
  </si>
  <si>
    <r>
      <rPr>
        <b/>
        <sz val="12"/>
        <color theme="1"/>
        <rFont val="Aptos"/>
        <family val="2"/>
        <scheme val="minor"/>
      </rPr>
      <t>Purpose:</t>
    </r>
    <r>
      <rPr>
        <sz val="12"/>
        <color theme="1"/>
        <rFont val="Aptos"/>
        <family val="2"/>
        <scheme val="minor"/>
      </rPr>
      <t xml:space="preserve">
Use this workbook to develop customized enterprise budgets for confinement swine operations. An enterprise budget estimates the expected costs and returns for a single agricultural enterprise. It can help producers evaluate profitability, compare production alternatives, estimate cash needs and support management decisions. Default production and cost assumptions are based on Missouri conditions. Replace assumptions with values that reflect your farm and production practices.</t>
    </r>
  </si>
  <si>
    <t>For more information:</t>
  </si>
  <si>
    <t>MU Extension publication G687, Feeder Pigs Planning Budget (extension.missouri.edu/publications/g687)</t>
  </si>
  <si>
    <t>MU Extension publication G689, Hog Finishing Planning Budget (extension.missouri.edu/publications/g689)</t>
  </si>
  <si>
    <t>Culled sow price relative to market hog price</t>
  </si>
  <si>
    <t xml:space="preserve">Farrow-to-Finish Swine Planning Budget </t>
  </si>
  <si>
    <t>Assumptions used in farrow-to-finish swine (confinement) planning budget</t>
  </si>
  <si>
    <t>Assumptions used in feeder-to-finish swine (confinement) planning budget</t>
  </si>
  <si>
    <t>Assumptions used in farrow-to-feeder swine (confinement) planning budget</t>
  </si>
  <si>
    <t>Long-term interest</t>
  </si>
  <si>
    <t>This workbook is for educational purposes only. Results are estimates based on user-entered assumptions and should not be the sole basis for financial or management decisions.</t>
  </si>
  <si>
    <t>MU Extension publication G688, Farrow-to-Finish Planning Budget (extension.missouri.edu/publications/g688)</t>
  </si>
  <si>
    <t>$/bushel</t>
  </si>
  <si>
    <t>$/cwt (liveweight)</t>
  </si>
  <si>
    <t>Feeder-finish</t>
  </si>
  <si>
    <t>Hog Price Data used with reasonings</t>
  </si>
  <si>
    <t>USDA Sept 2026 Livestock, Dairy and Poultry Outlook</t>
  </si>
  <si>
    <t>Hog price Q1 forecast</t>
  </si>
  <si>
    <t>Hog price Q2 forecast</t>
  </si>
  <si>
    <t>Hog price 2027 forecast</t>
  </si>
  <si>
    <t>FAPRI baseline published Sept 2026</t>
  </si>
  <si>
    <t>CME quotes (9/17/26)</t>
  </si>
  <si>
    <t>Lean hog quotes</t>
  </si>
  <si>
    <t>Live hog equivalent</t>
  </si>
  <si>
    <t>Average</t>
  </si>
  <si>
    <t>Adjustments used for non-market hog prices</t>
  </si>
  <si>
    <t>Feeder pig</t>
  </si>
  <si>
    <t>Cull sows</t>
  </si>
  <si>
    <t>USDA weekly national direct swine report (Sept 14, 2026)</t>
  </si>
  <si>
    <t>Sows - negotiated average</t>
  </si>
  <si>
    <t>Avg wt</t>
  </si>
  <si>
    <t>Negotiated national live weighted average for barrows and gilts</t>
  </si>
  <si>
    <t>USDA national direct feeder pig report (Sept 11, 2026)</t>
  </si>
  <si>
    <t>40 lb pigs weighted average price per head</t>
  </si>
  <si>
    <t>$/hd</t>
  </si>
  <si>
    <t>$/lb</t>
  </si>
  <si>
    <t>price ($/cwt)</t>
  </si>
  <si>
    <t>$/cwt</t>
  </si>
  <si>
    <t>lb/hd</t>
  </si>
  <si>
    <t>Weight</t>
  </si>
  <si>
    <t>Price/cwt</t>
  </si>
  <si>
    <t>Factor relative to B&amp;G live weight</t>
  </si>
  <si>
    <t>Sum of Value</t>
  </si>
  <si>
    <t>Column Labels</t>
  </si>
  <si>
    <t>Row Labels</t>
  </si>
  <si>
    <t>HOGS, BARROWS &amp; GILTS - PRICE RECEIVED, MEASURED IN $ / CWT</t>
  </si>
  <si>
    <t>HOGS, SOWS - PRICE RECEIVED, MEASURED IN $ / CWT</t>
  </si>
  <si>
    <t>Grand Total</t>
  </si>
  <si>
    <t>Sow price relative to hog price</t>
  </si>
  <si>
    <t xml:space="preserve">Quickstats </t>
  </si>
  <si>
    <t>Note: Sept 2026 negotiated sow prices are greater than 100% of market hog price. Sept sow prices for 2024-2026 have been higher than market hog prices.</t>
  </si>
  <si>
    <t>Prices chosen for 2027 budget</t>
  </si>
  <si>
    <t>Replacement gilts ($/hd premium over market hogs)</t>
  </si>
  <si>
    <t>Note: this is my best estimate of gilt premium. I left is that same as last year since production outlook for 2027 is expected to be 1% higher that production forecast for 2026. Seems to be holding steady. Also, Mags suggested keeping the $110 "royalty."</t>
  </si>
  <si>
    <t>Vet medicine</t>
  </si>
  <si>
    <t>Farrow-feeder (2019)</t>
  </si>
  <si>
    <t xml:space="preserve">Marketing and general farm overhead </t>
  </si>
  <si>
    <t xml:space="preserve">Facility repair and custom services </t>
  </si>
  <si>
    <t>Annual inflation (2019 to 2026)</t>
  </si>
  <si>
    <t>Farrow to finish (2025)</t>
  </si>
  <si>
    <t>Annual inflration 20025 to 2026)</t>
  </si>
  <si>
    <t>Feeder-finish (2025)</t>
  </si>
  <si>
    <t>Expenses estimated from USDA Cost of Production data.</t>
  </si>
  <si>
    <t>Taxes and Insurance</t>
  </si>
  <si>
    <t>Machinery and Equipment</t>
  </si>
  <si>
    <t>Machinery and equipment</t>
  </si>
  <si>
    <t>I am using USDA data here but am not sure the sample is of the type of production I am modelling. But no better data available.</t>
  </si>
  <si>
    <t>per sow</t>
  </si>
  <si>
    <t>Elliott Dennis, Magdiel Lopez Soriano and Timothy Safranski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</si>
</sst>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3" formatCode="_(* #,##0.00_);_(* \(#,##0.00\);_(* &quot;-&quot;??_);_(@_)"/>
    <numFmt numFmtId="164" formatCode="m/d/yyyy;@"/>
    <numFmt numFmtId="165" formatCode="&quot;$&quot;#,##0.00"/>
    <numFmt numFmtId="166" formatCode="0.0%"/>
    <numFmt numFmtId="167" formatCode="0.0"/>
    <numFmt numFmtId="168" formatCode="_(* #,##0_);_(* \(#,##0\);_(* &quot;-&quot;??_);_(@_)"/>
    <numFmt numFmtId="169" formatCode="0.000"/>
    <numFmt numFmtId="170" formatCode="&quot;$&quot;#,##0"/>
    <numFmt numFmtId="171" formatCode="&quot;$&quot;#,##0.000"/>
  </numFmts>
  <fonts count="38">
    <font>
      <sz val="11"/>
      <color theme="1"/>
      <name val="Aptos"/>
      <family val="2"/>
      <scheme val="minor"/>
    </font>
    <font>
      <sz val="10"/>
      <name val="TimesNewRomanPS"/>
    </font>
    <font>
      <sz val="11"/>
      <color theme="1"/>
      <name val="Aptos"/>
      <family val="2"/>
      <scheme val="minor"/>
    </font>
    <font>
      <b/>
      <sz val="11"/>
      <color rgb="FF3F3F3F"/>
      <name val="Aptos"/>
      <family val="2"/>
      <scheme val="minor"/>
    </font>
    <font>
      <b/>
      <sz val="11"/>
      <color theme="1"/>
      <name val="Aptos"/>
      <family val="2"/>
      <scheme val="minor"/>
    </font>
    <font>
      <b/>
      <sz val="14"/>
      <color rgb="FFF1B82D"/>
      <name val="Aptos Black"/>
      <family val="2"/>
      <scheme val="major"/>
    </font>
    <font>
      <sz val="10"/>
      <color theme="1"/>
      <name val="Aptos"/>
      <family val="2"/>
      <scheme val="minor"/>
    </font>
    <font>
      <sz val="12"/>
      <color theme="1"/>
      <name val="Aptos"/>
      <family val="2"/>
      <scheme val="minor"/>
    </font>
    <font>
      <sz val="12"/>
      <name val="Aptos"/>
      <family val="2"/>
      <scheme val="minor"/>
    </font>
    <font>
      <sz val="10"/>
      <name val="Verdana"/>
      <family val="2"/>
    </font>
    <font>
      <b/>
      <sz val="10"/>
      <name val="Verdana"/>
      <family val="2"/>
    </font>
    <font>
      <sz val="10"/>
      <color indexed="8"/>
      <name val="Verdana"/>
      <family val="2"/>
    </font>
    <font>
      <u/>
      <sz val="10"/>
      <color indexed="8"/>
      <name val="Verdana"/>
      <family val="2"/>
    </font>
    <font>
      <sz val="9"/>
      <name val="TimesNewRomanPS"/>
    </font>
    <font>
      <b/>
      <sz val="10"/>
      <color rgb="FFF1B82D"/>
      <name val="Aptos"/>
      <family val="2"/>
      <scheme val="minor"/>
    </font>
    <font>
      <b/>
      <sz val="10"/>
      <name val="Aptos"/>
      <family val="2"/>
      <scheme val="minor"/>
    </font>
    <font>
      <sz val="10"/>
      <name val="Aptos"/>
      <family val="2"/>
      <scheme val="minor"/>
    </font>
    <font>
      <sz val="10"/>
      <color indexed="8"/>
      <name val="Aptos"/>
      <family val="2"/>
      <scheme val="minor"/>
    </font>
    <font>
      <u/>
      <sz val="10"/>
      <color indexed="8"/>
      <name val="Aptos"/>
      <family val="2"/>
      <scheme val="minor"/>
    </font>
    <font>
      <i/>
      <u/>
      <sz val="10"/>
      <color indexed="8"/>
      <name val="Aptos"/>
      <family val="2"/>
      <scheme val="minor"/>
    </font>
    <font>
      <sz val="9"/>
      <name val="Aptos"/>
      <family val="2"/>
      <scheme val="minor"/>
    </font>
    <font>
      <sz val="11"/>
      <color theme="1"/>
      <name val="Segoe UI"/>
      <family val="2"/>
    </font>
    <font>
      <b/>
      <sz val="16"/>
      <color rgb="FFF1B82D"/>
      <name val="Aptos Black"/>
      <family val="2"/>
      <scheme val="major"/>
    </font>
    <font>
      <b/>
      <sz val="12"/>
      <color theme="1"/>
      <name val="Aptos"/>
      <family val="2"/>
      <scheme val="minor"/>
    </font>
    <font>
      <b/>
      <sz val="12"/>
      <color rgb="FF3F3F3F"/>
      <name val="Aptos"/>
      <family val="2"/>
      <scheme val="minor"/>
    </font>
    <font>
      <b/>
      <sz val="14"/>
      <color rgb="FFF1B82D"/>
      <name val="Segoe UI"/>
      <family val="2"/>
    </font>
    <font>
      <u/>
      <sz val="11"/>
      <color theme="10"/>
      <name val="Aptos"/>
      <family val="2"/>
      <scheme val="minor"/>
    </font>
    <font>
      <u/>
      <sz val="12"/>
      <color theme="10"/>
      <name val="Aptos"/>
      <family val="2"/>
      <scheme val="minor"/>
    </font>
    <font>
      <b/>
      <sz val="12"/>
      <name val="Aptos"/>
      <family val="2"/>
      <scheme val="minor"/>
    </font>
    <font>
      <b/>
      <sz val="11"/>
      <name val="Aptos"/>
      <family val="2"/>
      <scheme val="minor"/>
    </font>
    <font>
      <sz val="11"/>
      <name val="Aptos"/>
      <family val="2"/>
      <scheme val="minor"/>
    </font>
    <font>
      <vertAlign val="subscript"/>
      <sz val="12"/>
      <color theme="1"/>
      <name val="Aptos"/>
      <family val="2"/>
      <scheme val="minor"/>
    </font>
    <font>
      <vertAlign val="subscript"/>
      <sz val="12"/>
      <name val="Arial"/>
      <family val="2"/>
    </font>
    <font>
      <sz val="12"/>
      <name val="Arial"/>
      <family val="2"/>
    </font>
    <font>
      <i/>
      <sz val="12"/>
      <name val="Aptos"/>
      <family val="2"/>
      <scheme val="minor"/>
    </font>
    <font>
      <sz val="8"/>
      <name val="Aptos"/>
      <family val="2"/>
      <scheme val="minor"/>
    </font>
    <font>
      <b/>
      <sz val="12"/>
      <color rgb="FF000000"/>
      <name val="Aptos"/>
      <family val="2"/>
    </font>
    <font>
      <i/>
      <sz val="11"/>
      <color theme="1"/>
      <name val="Aptos"/>
      <family val="2"/>
      <scheme val="minor"/>
    </font>
  </fonts>
  <fills count="7">
    <fill>
      <patternFill patternType="none"/>
    </fill>
    <fill>
      <patternFill patternType="gray125"/>
    </fill>
    <fill>
      <patternFill patternType="solid">
        <fgColor theme="2"/>
        <bgColor indexed="64"/>
      </patternFill>
    </fill>
    <fill>
      <patternFill patternType="solid">
        <fgColor rgb="FFF2F2F2"/>
      </patternFill>
    </fill>
    <fill>
      <patternFill patternType="solid">
        <fgColor theme="1"/>
        <bgColor indexed="64"/>
      </patternFill>
    </fill>
    <fill>
      <patternFill patternType="solid">
        <fgColor theme="0"/>
        <bgColor indexed="64"/>
      </patternFill>
    </fill>
    <fill>
      <patternFill patternType="solid">
        <fgColor theme="4" tint="0.79998168889431442"/>
        <bgColor theme="4" tint="0.79998168889431442"/>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bottom style="thin">
        <color theme="4" tint="0.39997558519241921"/>
      </bottom>
      <diagonal/>
    </border>
    <border>
      <left/>
      <right/>
      <top style="thin">
        <color theme="4" tint="0.39997558519241921"/>
      </top>
      <bottom/>
      <diagonal/>
    </border>
  </borders>
  <cellStyleXfs count="7">
    <xf numFmtId="0" fontId="0" fillId="0" borderId="0"/>
    <xf numFmtId="0" fontId="1" fillId="0" borderId="0"/>
    <xf numFmtId="43" fontId="2" fillId="0" borderId="0" applyFont="0" applyFill="0" applyBorder="0" applyAlignment="0" applyProtection="0"/>
    <xf numFmtId="0" fontId="3" fillId="3" borderId="3" applyNumberFormat="0" applyAlignment="0" applyProtection="0"/>
    <xf numFmtId="0" fontId="2" fillId="0" borderId="0"/>
    <xf numFmtId="9" fontId="2" fillId="0" borderId="0" applyFont="0" applyFill="0" applyBorder="0" applyAlignment="0" applyProtection="0"/>
    <xf numFmtId="0" fontId="26" fillId="0" borderId="0" applyNumberFormat="0" applyFill="0" applyBorder="0" applyAlignment="0" applyProtection="0"/>
  </cellStyleXfs>
  <cellXfs count="233">
    <xf numFmtId="0" fontId="0" fillId="0" borderId="0" xfId="0"/>
    <xf numFmtId="0" fontId="7" fillId="0" borderId="0" xfId="0" applyFont="1"/>
    <xf numFmtId="0" fontId="8" fillId="0" borderId="0" xfId="1" applyFont="1" applyAlignment="1">
      <alignment horizontal="right"/>
    </xf>
    <xf numFmtId="0" fontId="9" fillId="0" borderId="0" xfId="1" applyFont="1"/>
    <xf numFmtId="2" fontId="9" fillId="0" borderId="0" xfId="1" applyNumberFormat="1" applyFont="1" applyAlignment="1">
      <alignment horizontal="left"/>
    </xf>
    <xf numFmtId="2" fontId="9" fillId="0" borderId="0" xfId="1" applyNumberFormat="1" applyFont="1" applyAlignment="1">
      <alignment horizontal="right"/>
    </xf>
    <xf numFmtId="8" fontId="9" fillId="0" borderId="0" xfId="1" applyNumberFormat="1" applyFont="1" applyAlignment="1">
      <alignment horizontal="right"/>
    </xf>
    <xf numFmtId="2" fontId="10" fillId="0" borderId="0" xfId="1" applyNumberFormat="1" applyFont="1" applyAlignment="1">
      <alignment horizontal="right"/>
    </xf>
    <xf numFmtId="165" fontId="10" fillId="0" borderId="0" xfId="1" applyNumberFormat="1" applyFont="1" applyAlignment="1">
      <alignment horizontal="right"/>
    </xf>
    <xf numFmtId="9" fontId="9" fillId="0" borderId="0" xfId="1" applyNumberFormat="1" applyFont="1"/>
    <xf numFmtId="8" fontId="9" fillId="0" borderId="0" xfId="1" applyNumberFormat="1" applyFont="1"/>
    <xf numFmtId="165" fontId="9" fillId="0" borderId="0" xfId="1" applyNumberFormat="1" applyFont="1"/>
    <xf numFmtId="164" fontId="9" fillId="0" borderId="0" xfId="1" applyNumberFormat="1" applyFont="1" applyAlignment="1">
      <alignment horizontal="right"/>
    </xf>
    <xf numFmtId="4" fontId="9" fillId="0" borderId="0" xfId="1" applyNumberFormat="1" applyFont="1"/>
    <xf numFmtId="0" fontId="1" fillId="0" borderId="0" xfId="1"/>
    <xf numFmtId="0" fontId="13" fillId="0" borderId="0" xfId="1" applyFont="1" applyAlignment="1">
      <alignment horizontal="center"/>
    </xf>
    <xf numFmtId="0" fontId="11" fillId="0" borderId="0" xfId="0" applyFont="1" applyAlignment="1">
      <alignment horizontal="right"/>
    </xf>
    <xf numFmtId="0" fontId="6" fillId="0" borderId="0" xfId="0" applyFont="1"/>
    <xf numFmtId="0" fontId="16" fillId="0" borderId="0" xfId="1" applyFont="1" applyAlignment="1">
      <alignment horizontal="left"/>
    </xf>
    <xf numFmtId="0" fontId="16" fillId="0" borderId="0" xfId="1" applyFont="1"/>
    <xf numFmtId="2" fontId="16" fillId="0" borderId="0" xfId="1" applyNumberFormat="1" applyFont="1" applyAlignment="1">
      <alignment horizontal="left"/>
    </xf>
    <xf numFmtId="2" fontId="16" fillId="0" borderId="0" xfId="1" applyNumberFormat="1" applyFont="1" applyAlignment="1">
      <alignment horizontal="right"/>
    </xf>
    <xf numFmtId="9" fontId="6" fillId="0" borderId="0" xfId="0" applyNumberFormat="1" applyFont="1"/>
    <xf numFmtId="2" fontId="15" fillId="0" borderId="0" xfId="1" applyNumberFormat="1" applyFont="1" applyAlignment="1">
      <alignment horizontal="left"/>
    </xf>
    <xf numFmtId="8" fontId="15" fillId="0" borderId="0" xfId="1" applyNumberFormat="1" applyFont="1" applyAlignment="1">
      <alignment horizontal="right"/>
    </xf>
    <xf numFmtId="0" fontId="16" fillId="0" borderId="0" xfId="1" applyFont="1" applyAlignment="1">
      <alignment vertical="center"/>
    </xf>
    <xf numFmtId="0" fontId="20" fillId="0" borderId="0" xfId="1" applyFont="1" applyAlignment="1">
      <alignment horizontal="center" vertical="center"/>
    </xf>
    <xf numFmtId="0" fontId="21" fillId="5" borderId="0" xfId="0" applyFont="1" applyFill="1"/>
    <xf numFmtId="0" fontId="21" fillId="0" borderId="0" xfId="0" applyFont="1"/>
    <xf numFmtId="0" fontId="0" fillId="5" borderId="0" xfId="0" applyFill="1"/>
    <xf numFmtId="0" fontId="23" fillId="5" borderId="0" xfId="0" applyFont="1" applyFill="1"/>
    <xf numFmtId="0" fontId="23" fillId="5" borderId="0" xfId="0" applyFont="1" applyFill="1" applyAlignment="1">
      <alignment horizontal="left" indent="4"/>
    </xf>
    <xf numFmtId="0" fontId="27" fillId="5" borderId="0" xfId="6" applyFont="1" applyFill="1" applyAlignment="1">
      <alignment horizontal="left" wrapText="1"/>
    </xf>
    <xf numFmtId="0" fontId="7" fillId="5" borderId="0" xfId="0" applyFont="1" applyFill="1"/>
    <xf numFmtId="0" fontId="28" fillId="0" borderId="2" xfId="1" applyFont="1" applyBorder="1" applyAlignment="1">
      <alignment horizontal="left"/>
    </xf>
    <xf numFmtId="2" fontId="8" fillId="0" borderId="0" xfId="1" applyNumberFormat="1" applyFont="1" applyAlignment="1">
      <alignment horizontal="left"/>
    </xf>
    <xf numFmtId="0" fontId="8" fillId="0" borderId="0" xfId="1" applyFont="1"/>
    <xf numFmtId="0" fontId="8" fillId="2" borderId="0" xfId="1" applyFont="1" applyFill="1" applyAlignment="1" applyProtection="1">
      <alignment horizontal="right"/>
      <protection locked="0"/>
    </xf>
    <xf numFmtId="9" fontId="8" fillId="2" borderId="0" xfId="1" applyNumberFormat="1" applyFont="1" applyFill="1" applyAlignment="1" applyProtection="1">
      <alignment horizontal="right"/>
      <protection locked="0"/>
    </xf>
    <xf numFmtId="3" fontId="8" fillId="2" borderId="0" xfId="1" applyNumberFormat="1" applyFont="1" applyFill="1" applyAlignment="1" applyProtection="1">
      <alignment horizontal="right"/>
      <protection locked="0"/>
    </xf>
    <xf numFmtId="8" fontId="8" fillId="0" borderId="0" xfId="1" applyNumberFormat="1" applyFont="1" applyAlignment="1">
      <alignment horizontal="right"/>
    </xf>
    <xf numFmtId="2" fontId="8" fillId="0" borderId="0" xfId="1" applyNumberFormat="1" applyFont="1" applyAlignment="1">
      <alignment horizontal="right"/>
    </xf>
    <xf numFmtId="0" fontId="10" fillId="0" borderId="0" xfId="4" applyFont="1" applyAlignment="1">
      <alignment horizontal="center"/>
    </xf>
    <xf numFmtId="0" fontId="22" fillId="0" borderId="7" xfId="4" applyFont="1" applyBorder="1"/>
    <xf numFmtId="0" fontId="15" fillId="0" borderId="0" xfId="0" applyFont="1" applyAlignment="1">
      <alignment horizontal="right"/>
    </xf>
    <xf numFmtId="0" fontId="18" fillId="0" borderId="0" xfId="0" applyFont="1" applyAlignment="1">
      <alignment horizontal="right"/>
    </xf>
    <xf numFmtId="2" fontId="16" fillId="0" borderId="0" xfId="1" applyNumberFormat="1" applyFont="1" applyAlignment="1">
      <alignment horizontal="left" indent="1"/>
    </xf>
    <xf numFmtId="0" fontId="19" fillId="0" borderId="0" xfId="0" applyFont="1" applyAlignment="1">
      <alignment horizontal="right"/>
    </xf>
    <xf numFmtId="0" fontId="28" fillId="0" borderId="2" xfId="1" applyFont="1" applyBorder="1" applyAlignment="1">
      <alignment horizontal="right"/>
    </xf>
    <xf numFmtId="2" fontId="28" fillId="0" borderId="2" xfId="1" applyNumberFormat="1" applyFont="1" applyBorder="1" applyAlignment="1">
      <alignment horizontal="right"/>
    </xf>
    <xf numFmtId="2" fontId="28" fillId="0" borderId="0" xfId="1" applyNumberFormat="1" applyFont="1" applyAlignment="1">
      <alignment horizontal="right"/>
    </xf>
    <xf numFmtId="0" fontId="8" fillId="0" borderId="0" xfId="1" applyFont="1" applyAlignment="1">
      <alignment horizontal="left" indent="1"/>
    </xf>
    <xf numFmtId="165" fontId="8" fillId="0" borderId="0" xfId="1" applyNumberFormat="1" applyFont="1" applyAlignment="1">
      <alignment horizontal="right"/>
    </xf>
    <xf numFmtId="2" fontId="8" fillId="0" borderId="0" xfId="1" applyNumberFormat="1" applyFont="1" applyAlignment="1">
      <alignment horizontal="left" indent="1"/>
    </xf>
    <xf numFmtId="165" fontId="8" fillId="2" borderId="0" xfId="1" applyNumberFormat="1" applyFont="1" applyFill="1" applyAlignment="1" applyProtection="1">
      <alignment horizontal="right"/>
      <protection locked="0"/>
    </xf>
    <xf numFmtId="2" fontId="8" fillId="0" borderId="0" xfId="1" applyNumberFormat="1" applyFont="1"/>
    <xf numFmtId="165" fontId="28" fillId="0" borderId="0" xfId="1" applyNumberFormat="1" applyFont="1" applyAlignment="1">
      <alignment horizontal="right"/>
    </xf>
    <xf numFmtId="2" fontId="28" fillId="0" borderId="2" xfId="1" applyNumberFormat="1" applyFont="1" applyBorder="1" applyAlignment="1">
      <alignment horizontal="left"/>
    </xf>
    <xf numFmtId="2" fontId="8" fillId="0" borderId="0" xfId="1" applyNumberFormat="1" applyFont="1" applyAlignment="1">
      <alignment horizontal="left" indent="2"/>
    </xf>
    <xf numFmtId="168" fontId="8" fillId="2" borderId="0" xfId="2" applyNumberFormat="1" applyFont="1" applyFill="1" applyBorder="1" applyAlignment="1" applyProtection="1">
      <alignment horizontal="left" indent="2"/>
      <protection locked="0"/>
    </xf>
    <xf numFmtId="165" fontId="8" fillId="0" borderId="0" xfId="2" applyNumberFormat="1" applyFont="1" applyFill="1" applyBorder="1" applyAlignment="1">
      <alignment horizontal="right" indent="2"/>
    </xf>
    <xf numFmtId="10" fontId="8" fillId="0" borderId="0" xfId="1" applyNumberFormat="1" applyFont="1" applyAlignment="1">
      <alignment horizontal="right"/>
    </xf>
    <xf numFmtId="165" fontId="8" fillId="0" borderId="0" xfId="2" applyNumberFormat="1" applyFont="1" applyFill="1" applyBorder="1" applyAlignment="1">
      <alignment horizontal="right"/>
    </xf>
    <xf numFmtId="166" fontId="8" fillId="0" borderId="0" xfId="1" applyNumberFormat="1" applyFont="1" applyAlignment="1">
      <alignment horizontal="right"/>
    </xf>
    <xf numFmtId="0" fontId="10" fillId="0" borderId="0" xfId="0" applyFont="1" applyAlignment="1">
      <alignment horizontal="right"/>
    </xf>
    <xf numFmtId="0" fontId="12" fillId="0" borderId="0" xfId="0" applyFont="1" applyAlignment="1">
      <alignment horizontal="right"/>
    </xf>
    <xf numFmtId="2" fontId="8" fillId="0" borderId="1" xfId="1" applyNumberFormat="1" applyFont="1" applyBorder="1" applyAlignment="1">
      <alignment horizontal="left"/>
    </xf>
    <xf numFmtId="2" fontId="8" fillId="0" borderId="1" xfId="1" applyNumberFormat="1" applyFont="1" applyBorder="1" applyAlignment="1">
      <alignment horizontal="right"/>
    </xf>
    <xf numFmtId="2" fontId="8" fillId="0" borderId="1" xfId="1" applyNumberFormat="1" applyFont="1" applyBorder="1"/>
    <xf numFmtId="165" fontId="28" fillId="0" borderId="1" xfId="1" applyNumberFormat="1" applyFont="1" applyBorder="1" applyAlignment="1">
      <alignment horizontal="right"/>
    </xf>
    <xf numFmtId="2" fontId="28" fillId="5" borderId="1" xfId="4" applyNumberFormat="1" applyFont="1" applyFill="1" applyBorder="1" applyAlignment="1">
      <alignment horizontal="left"/>
    </xf>
    <xf numFmtId="2" fontId="15" fillId="0" borderId="0" xfId="1" applyNumberFormat="1" applyFont="1" applyAlignment="1">
      <alignment horizontal="left" indent="2"/>
    </xf>
    <xf numFmtId="2" fontId="28" fillId="0" borderId="0" xfId="1" applyNumberFormat="1" applyFont="1" applyAlignment="1">
      <alignment horizontal="left" indent="2"/>
    </xf>
    <xf numFmtId="3" fontId="8" fillId="2" borderId="0" xfId="1" applyNumberFormat="1" applyFont="1" applyFill="1" applyProtection="1">
      <protection locked="0"/>
    </xf>
    <xf numFmtId="165" fontId="8" fillId="0" borderId="0" xfId="1" applyNumberFormat="1" applyFont="1"/>
    <xf numFmtId="8" fontId="8" fillId="2" borderId="0" xfId="1" applyNumberFormat="1" applyFont="1" applyFill="1" applyAlignment="1" applyProtection="1">
      <alignment horizontal="right"/>
      <protection locked="0"/>
    </xf>
    <xf numFmtId="0" fontId="8" fillId="0" borderId="0" xfId="1" applyFont="1" applyAlignment="1">
      <alignment horizontal="center" vertical="center"/>
    </xf>
    <xf numFmtId="8" fontId="8" fillId="0" borderId="0" xfId="1" applyNumberFormat="1" applyFont="1" applyAlignment="1">
      <alignment horizontal="center" vertical="center"/>
    </xf>
    <xf numFmtId="0" fontId="8" fillId="0" borderId="0" xfId="1" applyFont="1" applyAlignment="1">
      <alignment horizontal="center" wrapText="1"/>
    </xf>
    <xf numFmtId="167" fontId="8" fillId="0" borderId="0" xfId="1" applyNumberFormat="1" applyFont="1" applyAlignment="1">
      <alignment horizontal="center" wrapText="1"/>
    </xf>
    <xf numFmtId="8" fontId="8" fillId="0" borderId="0" xfId="1" applyNumberFormat="1" applyFont="1" applyAlignment="1">
      <alignment horizontal="center" wrapText="1"/>
    </xf>
    <xf numFmtId="0" fontId="8" fillId="0" borderId="0" xfId="1" applyFont="1" applyAlignment="1">
      <alignment vertical="center"/>
    </xf>
    <xf numFmtId="0" fontId="28" fillId="0" borderId="0" xfId="1" applyFont="1" applyAlignment="1">
      <alignment vertical="center"/>
    </xf>
    <xf numFmtId="8" fontId="8" fillId="0" borderId="0" xfId="1" applyNumberFormat="1" applyFont="1" applyAlignment="1">
      <alignment vertical="center"/>
    </xf>
    <xf numFmtId="0" fontId="28" fillId="0" borderId="0" xfId="1" applyFont="1" applyAlignment="1">
      <alignment horizontal="center" vertical="center"/>
    </xf>
    <xf numFmtId="2" fontId="28" fillId="5" borderId="9" xfId="4" applyNumberFormat="1" applyFont="1" applyFill="1" applyBorder="1" applyAlignment="1">
      <alignment horizontal="left"/>
    </xf>
    <xf numFmtId="2" fontId="8" fillId="0" borderId="9" xfId="1" applyNumberFormat="1" applyFont="1" applyBorder="1" applyAlignment="1">
      <alignment horizontal="left"/>
    </xf>
    <xf numFmtId="0" fontId="29" fillId="0" borderId="2" xfId="1" applyFont="1" applyBorder="1" applyAlignment="1">
      <alignment horizontal="left" vertical="center" wrapText="1"/>
    </xf>
    <xf numFmtId="0" fontId="30" fillId="0" borderId="0" xfId="1" applyFont="1" applyAlignment="1">
      <alignment vertical="center"/>
    </xf>
    <xf numFmtId="0" fontId="30" fillId="0" borderId="0" xfId="1" applyFont="1" applyAlignment="1">
      <alignment horizontal="left" vertical="center" wrapText="1"/>
    </xf>
    <xf numFmtId="8" fontId="30" fillId="0" borderId="0" xfId="1" applyNumberFormat="1" applyFont="1" applyAlignment="1">
      <alignment horizontal="right" vertical="center" wrapText="1"/>
    </xf>
    <xf numFmtId="167" fontId="30" fillId="0" borderId="0" xfId="1" applyNumberFormat="1" applyFont="1" applyAlignment="1">
      <alignment horizontal="left" vertical="center" wrapText="1"/>
    </xf>
    <xf numFmtId="2" fontId="30" fillId="0" borderId="0" xfId="1" applyNumberFormat="1" applyFont="1" applyAlignment="1">
      <alignment horizontal="left" vertical="center" wrapText="1"/>
    </xf>
    <xf numFmtId="2" fontId="30" fillId="0" borderId="0" xfId="1" applyNumberFormat="1" applyFont="1" applyAlignment="1">
      <alignment horizontal="left" wrapText="1"/>
    </xf>
    <xf numFmtId="0" fontId="30" fillId="0" borderId="0" xfId="1" applyFont="1" applyAlignment="1">
      <alignment horizontal="left" wrapText="1"/>
    </xf>
    <xf numFmtId="166" fontId="30" fillId="0" borderId="0" xfId="5" applyNumberFormat="1" applyFont="1" applyBorder="1" applyAlignment="1">
      <alignment horizontal="left" wrapText="1"/>
    </xf>
    <xf numFmtId="8" fontId="30" fillId="0" borderId="0" xfId="1" applyNumberFormat="1" applyFont="1" applyAlignment="1">
      <alignment horizontal="right" wrapText="1"/>
    </xf>
    <xf numFmtId="9" fontId="30" fillId="0" borderId="0" xfId="5" applyFont="1" applyBorder="1" applyAlignment="1">
      <alignment horizontal="left" wrapText="1"/>
    </xf>
    <xf numFmtId="0" fontId="30" fillId="0" borderId="1" xfId="1" applyFont="1" applyBorder="1" applyAlignment="1">
      <alignment horizontal="left" vertical="center" wrapText="1"/>
    </xf>
    <xf numFmtId="8" fontId="30" fillId="0" borderId="1" xfId="1" applyNumberFormat="1" applyFont="1" applyBorder="1" applyAlignment="1">
      <alignment horizontal="right" vertical="center" wrapText="1"/>
    </xf>
    <xf numFmtId="0" fontId="30" fillId="0" borderId="0" xfId="1" applyFont="1" applyAlignment="1">
      <alignment horizontal="left" vertical="center"/>
    </xf>
    <xf numFmtId="0" fontId="30" fillId="0" borderId="0" xfId="1" applyFont="1" applyAlignment="1">
      <alignment horizontal="center" vertical="center"/>
    </xf>
    <xf numFmtId="0" fontId="30" fillId="0" borderId="0" xfId="1" applyFont="1" applyAlignment="1">
      <alignment horizontal="center" vertical="center" wrapText="1"/>
    </xf>
    <xf numFmtId="0" fontId="30" fillId="0" borderId="1" xfId="1" applyFont="1" applyBorder="1" applyAlignment="1">
      <alignment horizontal="center" vertical="center" wrapText="1"/>
    </xf>
    <xf numFmtId="169" fontId="30" fillId="0" borderId="0" xfId="1" applyNumberFormat="1" applyFont="1" applyAlignment="1">
      <alignment horizontal="left" vertical="center" wrapText="1"/>
    </xf>
    <xf numFmtId="0" fontId="29" fillId="0" borderId="2" xfId="1" applyFont="1" applyBorder="1" applyAlignment="1">
      <alignment horizontal="right" vertical="center" wrapText="1"/>
    </xf>
    <xf numFmtId="0" fontId="8" fillId="2" borderId="1" xfId="1" applyFont="1" applyFill="1" applyBorder="1" applyAlignment="1" applyProtection="1">
      <alignment horizontal="right"/>
      <protection locked="0"/>
    </xf>
    <xf numFmtId="2" fontId="16" fillId="0" borderId="0" xfId="1" applyNumberFormat="1" applyFont="1"/>
    <xf numFmtId="0" fontId="22" fillId="4" borderId="4" xfId="4" applyFont="1" applyFill="1" applyBorder="1"/>
    <xf numFmtId="0" fontId="5" fillId="4" borderId="5" xfId="4" applyFont="1" applyFill="1" applyBorder="1"/>
    <xf numFmtId="0" fontId="23" fillId="0" borderId="2" xfId="0" applyFont="1" applyBorder="1"/>
    <xf numFmtId="0" fontId="28" fillId="0" borderId="2" xfId="1" applyFont="1" applyBorder="1" applyAlignment="1">
      <alignment horizontal="center"/>
    </xf>
    <xf numFmtId="0" fontId="28" fillId="0" borderId="0" xfId="1" applyFont="1" applyAlignment="1">
      <alignment horizontal="center"/>
    </xf>
    <xf numFmtId="0" fontId="23" fillId="0" borderId="2" xfId="0" applyFont="1" applyBorder="1" applyAlignment="1">
      <alignment horizontal="center"/>
    </xf>
    <xf numFmtId="0" fontId="8" fillId="0" borderId="0" xfId="1" applyFont="1" applyAlignment="1">
      <alignment horizontal="left"/>
    </xf>
    <xf numFmtId="0" fontId="16" fillId="0" borderId="0" xfId="1" applyFont="1" applyAlignment="1">
      <alignment horizontal="right"/>
    </xf>
    <xf numFmtId="167" fontId="8" fillId="0" borderId="0" xfId="1" applyNumberFormat="1" applyFont="1" applyAlignment="1">
      <alignment horizontal="right"/>
    </xf>
    <xf numFmtId="9" fontId="16" fillId="0" borderId="0" xfId="1" applyNumberFormat="1" applyFont="1" applyAlignment="1">
      <alignment horizontal="right"/>
    </xf>
    <xf numFmtId="8" fontId="16" fillId="0" borderId="0" xfId="1" applyNumberFormat="1" applyFont="1" applyAlignment="1">
      <alignment horizontal="right"/>
    </xf>
    <xf numFmtId="4" fontId="16" fillId="0" borderId="0" xfId="1" applyNumberFormat="1" applyFont="1" applyAlignment="1">
      <alignment horizontal="right"/>
    </xf>
    <xf numFmtId="8" fontId="8" fillId="0" borderId="0" xfId="1" applyNumberFormat="1" applyFont="1" applyAlignment="1">
      <alignment horizontal="left"/>
    </xf>
    <xf numFmtId="0" fontId="7" fillId="0" borderId="1" xfId="0" applyFont="1" applyBorder="1"/>
    <xf numFmtId="0" fontId="16" fillId="0" borderId="1" xfId="1" applyFont="1" applyBorder="1"/>
    <xf numFmtId="0" fontId="7" fillId="0" borderId="0" xfId="0" applyFont="1" applyAlignment="1">
      <alignment horizontal="left" indent="1"/>
    </xf>
    <xf numFmtId="165" fontId="8" fillId="0" borderId="1" xfId="1" applyNumberFormat="1" applyFont="1" applyBorder="1" applyAlignment="1">
      <alignment horizontal="right"/>
    </xf>
    <xf numFmtId="0" fontId="17" fillId="0" borderId="0" xfId="0" applyFont="1" applyAlignment="1">
      <alignment horizontal="right"/>
    </xf>
    <xf numFmtId="165" fontId="8" fillId="0" borderId="0" xfId="2" applyNumberFormat="1" applyFont="1" applyFill="1" applyBorder="1" applyAlignment="1" applyProtection="1">
      <alignment horizontal="right" indent="2"/>
    </xf>
    <xf numFmtId="168" fontId="8" fillId="0" borderId="0" xfId="2" applyNumberFormat="1" applyFont="1" applyFill="1" applyBorder="1" applyAlignment="1" applyProtection="1">
      <alignment horizontal="left" indent="2"/>
    </xf>
    <xf numFmtId="165" fontId="8" fillId="0" borderId="0" xfId="2" applyNumberFormat="1" applyFont="1" applyFill="1" applyBorder="1" applyAlignment="1" applyProtection="1">
      <alignment horizontal="right"/>
    </xf>
    <xf numFmtId="9" fontId="8" fillId="0" borderId="0" xfId="5" applyFont="1" applyFill="1" applyBorder="1" applyAlignment="1" applyProtection="1">
      <alignment horizontal="right"/>
    </xf>
    <xf numFmtId="8" fontId="8" fillId="0" borderId="0" xfId="1" applyNumberFormat="1" applyFont="1" applyAlignment="1">
      <alignment horizontal="left" indent="1"/>
    </xf>
    <xf numFmtId="1" fontId="8" fillId="0" borderId="0" xfId="1" applyNumberFormat="1" applyFont="1" applyAlignment="1">
      <alignment horizontal="right" indent="1"/>
    </xf>
    <xf numFmtId="165" fontId="8" fillId="0" borderId="1" xfId="2" applyNumberFormat="1" applyFont="1" applyFill="1" applyBorder="1" applyAlignment="1" applyProtection="1">
      <alignment horizontal="right"/>
    </xf>
    <xf numFmtId="2" fontId="15" fillId="0" borderId="0" xfId="1" applyNumberFormat="1" applyFont="1" applyAlignment="1">
      <alignment horizontal="right"/>
    </xf>
    <xf numFmtId="2" fontId="28" fillId="0" borderId="0" xfId="1" applyNumberFormat="1" applyFont="1" applyAlignment="1">
      <alignment horizontal="right" indent="2"/>
    </xf>
    <xf numFmtId="2" fontId="28" fillId="5" borderId="0" xfId="4" applyNumberFormat="1" applyFont="1" applyFill="1" applyAlignment="1">
      <alignment horizontal="left"/>
    </xf>
    <xf numFmtId="0" fontId="29" fillId="0" borderId="0" xfId="0" quotePrefix="1" applyFont="1"/>
    <xf numFmtId="0" fontId="29" fillId="0" borderId="1" xfId="0" applyFont="1" applyBorder="1"/>
    <xf numFmtId="0" fontId="8" fillId="0" borderId="1" xfId="1" applyFont="1" applyBorder="1"/>
    <xf numFmtId="166" fontId="30" fillId="0" borderId="0" xfId="5" applyNumberFormat="1" applyFont="1" applyBorder="1" applyAlignment="1" applyProtection="1">
      <alignment horizontal="left" wrapText="1"/>
    </xf>
    <xf numFmtId="9" fontId="30" fillId="0" borderId="0" xfId="5" applyFont="1" applyBorder="1" applyAlignment="1" applyProtection="1">
      <alignment horizontal="left" wrapText="1"/>
    </xf>
    <xf numFmtId="0" fontId="14" fillId="4" borderId="5" xfId="4" applyFont="1" applyFill="1" applyBorder="1"/>
    <xf numFmtId="0" fontId="6" fillId="4" borderId="5" xfId="0" applyFont="1" applyFill="1" applyBorder="1"/>
    <xf numFmtId="0" fontId="6" fillId="4" borderId="8" xfId="0" applyFont="1" applyFill="1" applyBorder="1"/>
    <xf numFmtId="0" fontId="4" fillId="0" borderId="0" xfId="0" applyFont="1"/>
    <xf numFmtId="9" fontId="0" fillId="0" borderId="0" xfId="0" applyNumberFormat="1"/>
    <xf numFmtId="8" fontId="7" fillId="0" borderId="0" xfId="0" applyNumberFormat="1" applyFont="1"/>
    <xf numFmtId="0" fontId="7" fillId="5" borderId="0" xfId="0" quotePrefix="1" applyFont="1" applyFill="1" applyAlignment="1">
      <alignment horizontal="left" indent="1"/>
    </xf>
    <xf numFmtId="0" fontId="6" fillId="5" borderId="0" xfId="0" quotePrefix="1" applyFont="1" applyFill="1"/>
    <xf numFmtId="0" fontId="7" fillId="0" borderId="0" xfId="0" applyFont="1" applyAlignment="1">
      <alignment horizontal="left"/>
    </xf>
    <xf numFmtId="0" fontId="6" fillId="0" borderId="1" xfId="0" applyFont="1" applyBorder="1"/>
    <xf numFmtId="0" fontId="0" fillId="0" borderId="9" xfId="0" applyBorder="1"/>
    <xf numFmtId="0" fontId="7" fillId="0" borderId="9" xfId="0" applyFont="1" applyBorder="1"/>
    <xf numFmtId="0" fontId="6" fillId="0" borderId="9" xfId="0" applyFont="1" applyBorder="1"/>
    <xf numFmtId="8" fontId="8" fillId="2" borderId="1" xfId="1" applyNumberFormat="1" applyFont="1" applyFill="1" applyBorder="1" applyAlignment="1" applyProtection="1">
      <alignment horizontal="right"/>
      <protection locked="0"/>
    </xf>
    <xf numFmtId="10" fontId="8" fillId="2" borderId="0" xfId="1" applyNumberFormat="1" applyFont="1" applyFill="1" applyAlignment="1" applyProtection="1">
      <alignment horizontal="right"/>
      <protection locked="0"/>
    </xf>
    <xf numFmtId="0" fontId="28" fillId="0" borderId="1" xfId="1" applyFont="1" applyBorder="1" applyAlignment="1">
      <alignment horizontal="left"/>
    </xf>
    <xf numFmtId="0" fontId="7" fillId="0" borderId="1" xfId="0" applyFont="1" applyBorder="1" applyAlignment="1">
      <alignment horizontal="left" indent="1"/>
    </xf>
    <xf numFmtId="2" fontId="0" fillId="0" borderId="0" xfId="0" applyNumberFormat="1"/>
    <xf numFmtId="8" fontId="4" fillId="0" borderId="0" xfId="0" applyNumberFormat="1" applyFont="1"/>
    <xf numFmtId="2" fontId="8" fillId="2" borderId="0" xfId="1" applyNumberFormat="1" applyFont="1" applyFill="1" applyAlignment="1" applyProtection="1">
      <alignment horizontal="right"/>
      <protection locked="0"/>
    </xf>
    <xf numFmtId="3" fontId="7" fillId="0" borderId="9" xfId="0" applyNumberFormat="1" applyFont="1" applyBorder="1"/>
    <xf numFmtId="0" fontId="28" fillId="0" borderId="0" xfId="4" applyFont="1" applyAlignment="1">
      <alignment horizontal="center"/>
    </xf>
    <xf numFmtId="0" fontId="28" fillId="0" borderId="0" xfId="1" applyFont="1"/>
    <xf numFmtId="8" fontId="8" fillId="0" borderId="11" xfId="1" applyNumberFormat="1" applyFont="1" applyBorder="1"/>
    <xf numFmtId="8" fontId="8" fillId="0" borderId="9" xfId="1" applyNumberFormat="1" applyFont="1" applyBorder="1"/>
    <xf numFmtId="8" fontId="8" fillId="0" borderId="14" xfId="1" applyNumberFormat="1" applyFont="1" applyBorder="1"/>
    <xf numFmtId="8" fontId="8" fillId="0" borderId="12" xfId="1" applyNumberFormat="1" applyFont="1" applyBorder="1"/>
    <xf numFmtId="170" fontId="8" fillId="0" borderId="10" xfId="1" applyNumberFormat="1" applyFont="1" applyBorder="1"/>
    <xf numFmtId="8" fontId="8" fillId="0" borderId="13" xfId="1" applyNumberFormat="1" applyFont="1" applyBorder="1"/>
    <xf numFmtId="10" fontId="30" fillId="0" borderId="1" xfId="1" applyNumberFormat="1" applyFont="1" applyBorder="1" applyAlignment="1">
      <alignment horizontal="left" vertical="center" wrapText="1"/>
    </xf>
    <xf numFmtId="165" fontId="35" fillId="0" borderId="0" xfId="1" applyNumberFormat="1" applyFont="1"/>
    <xf numFmtId="2" fontId="9" fillId="0" borderId="0" xfId="1" applyNumberFormat="1" applyFont="1"/>
    <xf numFmtId="171" fontId="8" fillId="0" borderId="0" xfId="1" applyNumberFormat="1" applyFont="1"/>
    <xf numFmtId="0" fontId="7" fillId="0" borderId="0" xfId="0" applyFont="1" applyAlignment="1">
      <alignment wrapText="1"/>
    </xf>
    <xf numFmtId="0" fontId="7" fillId="5" borderId="0" xfId="0" applyFont="1" applyFill="1" applyAlignment="1">
      <alignment vertical="top" wrapText="1"/>
    </xf>
    <xf numFmtId="0" fontId="7" fillId="5" borderId="0" xfId="0" applyFont="1" applyFill="1" applyAlignment="1">
      <alignment wrapText="1"/>
    </xf>
    <xf numFmtId="0" fontId="36" fillId="0" borderId="0" xfId="0" applyFont="1" applyAlignment="1">
      <alignment vertical="top"/>
    </xf>
    <xf numFmtId="0" fontId="24" fillId="0" borderId="0" xfId="3" applyFont="1" applyFill="1" applyBorder="1" applyAlignment="1"/>
    <xf numFmtId="0" fontId="24" fillId="3" borderId="10" xfId="3" applyFont="1" applyBorder="1" applyAlignment="1">
      <alignment wrapText="1"/>
    </xf>
    <xf numFmtId="9" fontId="35" fillId="0" borderId="0" xfId="1" applyNumberFormat="1" applyFont="1"/>
    <xf numFmtId="43" fontId="9" fillId="0" borderId="0" xfId="1" applyNumberFormat="1" applyFont="1"/>
    <xf numFmtId="8" fontId="0" fillId="0" borderId="0" xfId="0" applyNumberFormat="1"/>
    <xf numFmtId="17" fontId="0" fillId="0" borderId="0" xfId="0" applyNumberFormat="1"/>
    <xf numFmtId="0" fontId="0" fillId="0" borderId="0" xfId="0" quotePrefix="1"/>
    <xf numFmtId="0" fontId="4" fillId="6" borderId="0" xfId="0" applyFont="1" applyFill="1"/>
    <xf numFmtId="0" fontId="4" fillId="6" borderId="16" xfId="0" applyFont="1" applyFill="1" applyBorder="1"/>
    <xf numFmtId="0" fontId="0" fillId="0" borderId="0" xfId="0" applyAlignment="1">
      <alignment horizontal="left"/>
    </xf>
    <xf numFmtId="0" fontId="4" fillId="6" borderId="17" xfId="0" applyFont="1" applyFill="1" applyBorder="1" applyAlignment="1">
      <alignment horizontal="left"/>
    </xf>
    <xf numFmtId="2" fontId="4" fillId="6" borderId="17" xfId="0" applyNumberFormat="1" applyFont="1" applyFill="1" applyBorder="1"/>
    <xf numFmtId="0" fontId="37" fillId="0" borderId="0" xfId="0" applyFont="1" applyAlignment="1">
      <alignment horizontal="left" indent="1"/>
    </xf>
    <xf numFmtId="10" fontId="0" fillId="0" borderId="0" xfId="0" applyNumberFormat="1"/>
    <xf numFmtId="2" fontId="16" fillId="0" borderId="1" xfId="1" applyNumberFormat="1" applyFont="1" applyBorder="1" applyAlignment="1">
      <alignment horizontal="left"/>
    </xf>
    <xf numFmtId="0" fontId="0" fillId="0" borderId="1" xfId="0" applyBorder="1"/>
    <xf numFmtId="0" fontId="7" fillId="0" borderId="9" xfId="0" applyFont="1" applyBorder="1" applyAlignment="1">
      <alignment horizontal="left" indent="1"/>
    </xf>
    <xf numFmtId="8" fontId="7" fillId="2" borderId="9" xfId="0" applyNumberFormat="1" applyFont="1" applyFill="1" applyBorder="1" applyProtection="1">
      <protection locked="0"/>
    </xf>
    <xf numFmtId="8" fontId="7" fillId="2" borderId="1" xfId="0" applyNumberFormat="1" applyFont="1" applyFill="1" applyBorder="1" applyProtection="1">
      <protection locked="0"/>
    </xf>
    <xf numFmtId="0" fontId="23" fillId="0" borderId="0" xfId="0" applyFont="1"/>
    <xf numFmtId="166" fontId="8" fillId="2" borderId="0" xfId="1" applyNumberFormat="1" applyFont="1" applyFill="1" applyAlignment="1" applyProtection="1">
      <alignment horizontal="right"/>
      <protection locked="0"/>
    </xf>
    <xf numFmtId="167" fontId="8" fillId="2" borderId="0" xfId="1" applyNumberFormat="1" applyFont="1" applyFill="1" applyAlignment="1" applyProtection="1">
      <alignment horizontal="right"/>
      <protection locked="0"/>
    </xf>
    <xf numFmtId="171" fontId="8" fillId="0" borderId="0" xfId="1" applyNumberFormat="1" applyFont="1" applyAlignment="1">
      <alignment horizontal="right"/>
    </xf>
    <xf numFmtId="2" fontId="8" fillId="0" borderId="9" xfId="1" applyNumberFormat="1" applyFont="1" applyBorder="1" applyAlignment="1">
      <alignment horizontal="right"/>
    </xf>
    <xf numFmtId="165" fontId="28" fillId="0" borderId="9" xfId="1" applyNumberFormat="1" applyFont="1" applyBorder="1" applyAlignment="1">
      <alignment horizontal="right"/>
    </xf>
    <xf numFmtId="0" fontId="9" fillId="0" borderId="0" xfId="1" applyFont="1" applyAlignment="1">
      <alignment horizontal="left"/>
    </xf>
    <xf numFmtId="1" fontId="16" fillId="0" borderId="0" xfId="1" applyNumberFormat="1" applyFont="1" applyAlignment="1">
      <alignment horizontal="left"/>
    </xf>
    <xf numFmtId="1" fontId="8" fillId="0" borderId="0" xfId="1" applyNumberFormat="1" applyFont="1" applyAlignment="1">
      <alignment horizontal="right"/>
    </xf>
    <xf numFmtId="3" fontId="8" fillId="0" borderId="0" xfId="1" applyNumberFormat="1" applyFont="1"/>
    <xf numFmtId="1" fontId="8" fillId="0" borderId="0" xfId="1" applyNumberFormat="1" applyFont="1"/>
    <xf numFmtId="3" fontId="16" fillId="0" borderId="0" xfId="1" applyNumberFormat="1" applyFont="1" applyAlignment="1">
      <alignment horizontal="left"/>
    </xf>
    <xf numFmtId="167" fontId="8" fillId="0" borderId="0" xfId="1" applyNumberFormat="1" applyFont="1"/>
    <xf numFmtId="2" fontId="8" fillId="0" borderId="9" xfId="1" applyNumberFormat="1" applyFont="1" applyBorder="1"/>
    <xf numFmtId="0" fontId="10" fillId="0" borderId="0" xfId="1" applyFont="1" applyAlignment="1">
      <alignment horizontal="left"/>
    </xf>
    <xf numFmtId="0" fontId="9" fillId="0" borderId="0" xfId="1" applyFont="1" applyAlignment="1">
      <alignment horizontal="right"/>
    </xf>
    <xf numFmtId="0" fontId="30" fillId="0" borderId="0" xfId="1" applyFont="1" applyAlignment="1">
      <alignment horizontal="left" vertical="center" wrapText="1"/>
    </xf>
    <xf numFmtId="0" fontId="34" fillId="0" borderId="1" xfId="1" applyFont="1" applyBorder="1" applyAlignment="1">
      <alignment horizontal="center"/>
    </xf>
    <xf numFmtId="0" fontId="34" fillId="0" borderId="15" xfId="1" applyFont="1" applyBorder="1" applyAlignment="1">
      <alignment horizontal="center" textRotation="90"/>
    </xf>
    <xf numFmtId="0" fontId="22" fillId="4" borderId="0" xfId="4" applyFont="1" applyFill="1" applyAlignment="1">
      <alignment horizontal="center"/>
    </xf>
    <xf numFmtId="0" fontId="29" fillId="0" borderId="2" xfId="1" applyFont="1" applyBorder="1" applyAlignment="1">
      <alignment horizontal="left" vertical="center" wrapText="1"/>
    </xf>
    <xf numFmtId="0" fontId="30" fillId="0" borderId="9" xfId="1" applyFont="1" applyBorder="1" applyAlignment="1">
      <alignment horizontal="left" vertical="center" wrapText="1"/>
    </xf>
    <xf numFmtId="0" fontId="25" fillId="4" borderId="4" xfId="0" applyFont="1" applyFill="1" applyBorder="1"/>
    <xf numFmtId="0" fontId="25" fillId="4" borderId="5" xfId="0" applyFont="1" applyFill="1" applyBorder="1"/>
    <xf numFmtId="0" fontId="26" fillId="5" borderId="0" xfId="6" applyFill="1" applyAlignment="1">
      <alignment horizontal="left" wrapText="1"/>
    </xf>
    <xf numFmtId="0" fontId="22" fillId="4" borderId="4" xfId="4" applyFont="1" applyFill="1" applyBorder="1" applyAlignment="1">
      <alignment horizontal="center" vertical="center"/>
    </xf>
    <xf numFmtId="0" fontId="22" fillId="4" borderId="5" xfId="4" applyFont="1" applyFill="1" applyBorder="1" applyAlignment="1">
      <alignment horizontal="center" vertical="center"/>
    </xf>
    <xf numFmtId="0" fontId="22" fillId="4" borderId="8" xfId="4" applyFont="1" applyFill="1" applyBorder="1" applyAlignment="1">
      <alignment horizontal="center" vertical="center"/>
    </xf>
    <xf numFmtId="0" fontId="21" fillId="5" borderId="0" xfId="0" applyFont="1" applyFill="1" applyAlignment="1">
      <alignment horizontal="right"/>
    </xf>
    <xf numFmtId="0" fontId="0" fillId="5" borderId="0" xfId="0" applyFill="1"/>
    <xf numFmtId="0" fontId="16" fillId="0" borderId="0" xfId="0" applyFont="1" applyAlignment="1">
      <alignment horizontal="left" vertical="center" wrapText="1"/>
    </xf>
    <xf numFmtId="0" fontId="22" fillId="4" borderId="6" xfId="4" applyFont="1" applyFill="1" applyBorder="1" applyAlignment="1">
      <alignment horizontal="center"/>
    </xf>
    <xf numFmtId="0" fontId="22" fillId="4" borderId="7" xfId="4" applyFont="1" applyFill="1" applyBorder="1" applyAlignment="1">
      <alignment horizontal="center"/>
    </xf>
    <xf numFmtId="2" fontId="30" fillId="0" borderId="0" xfId="1" applyNumberFormat="1" applyFont="1" applyAlignment="1">
      <alignment horizontal="left" vertical="center" wrapText="1"/>
    </xf>
    <xf numFmtId="2" fontId="30" fillId="0" borderId="0" xfId="1" applyNumberFormat="1" applyFont="1" applyAlignment="1">
      <alignment horizontal="left" wrapText="1"/>
    </xf>
    <xf numFmtId="0" fontId="16" fillId="0" borderId="0" xfId="1" applyFont="1" applyAlignment="1">
      <alignment horizontal="left"/>
    </xf>
  </cellXfs>
  <cellStyles count="7">
    <cellStyle name="Comma" xfId="2" builtinId="3"/>
    <cellStyle name="Hyperlink" xfId="6" builtinId="8"/>
    <cellStyle name="Normal" xfId="0" builtinId="0"/>
    <cellStyle name="Normal 2" xfId="1" xr:uid="{00000000-0005-0000-0000-000001000000}"/>
    <cellStyle name="Normal 2 2" xfId="4" xr:uid="{7BF597C9-1700-4277-8795-A34D786E5159}"/>
    <cellStyle name="Output" xfId="3" builtinId="21"/>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5762625</xdr:colOff>
      <xdr:row>3</xdr:row>
      <xdr:rowOff>149575</xdr:rowOff>
    </xdr:from>
    <xdr:to>
      <xdr:col>3</xdr:col>
      <xdr:colOff>387350</xdr:colOff>
      <xdr:row>7</xdr:row>
      <xdr:rowOff>29150</xdr:rowOff>
    </xdr:to>
    <xdr:pic>
      <xdr:nvPicPr>
        <xdr:cNvPr id="2" name="Picture 1">
          <a:extLst>
            <a:ext uri="{FF2B5EF4-FFF2-40B4-BE49-F238E27FC236}">
              <a16:creationId xmlns:a16="http://schemas.microsoft.com/office/drawing/2014/main" id="{A7F95721-E310-4ED2-A695-31510C540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57975" y="787750"/>
          <a:ext cx="2292350" cy="717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sseyr/Box%20Sync/Budgets/Budgets.xls" TargetMode="External"/><Relationship Id="rId1" Type="http://schemas.openxmlformats.org/officeDocument/2006/relationships/externalLinkPath" Target="/Users/masseyr/Box%20Sync/Budgets/Budgets.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asseyr_umsystem_edu/Documents/Budgets/2022%20Budgets/Hog/2022%20Industrial%20Fiber%20Hemp%20Budget.xlsx" TargetMode="External"/><Relationship Id="rId1" Type="http://schemas.openxmlformats.org/officeDocument/2006/relationships/externalLinkPath" Target="/personal/masseyr_umsystem_edu/Documents/Budgets/2022%20Budgets/Hog/2022%20Industrial%20Fiber%20Hemp%20Budge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asseyr_umsystem_edu/Documents/Swine/KSU_Pork_FMG_Dec-2020_nl.xlsm" TargetMode="External"/><Relationship Id="rId1" Type="http://schemas.openxmlformats.org/officeDocument/2006/relationships/externalLinkPath" Target="/personal/masseyr_umsystem_edu/Documents/Swine/KSU_Pork_FMG_Dec-2020_n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Input"/>
      <sheetName val="Wheat(2015 SRW)"/>
      <sheetName val="Beans, DC(2015 DoubleCrop)"/>
      <sheetName val="Beans(2015 Dryland)"/>
      <sheetName val="Milo(Gr Sorghum 2015)"/>
      <sheetName val="Corn(2015 Irrigated)"/>
      <sheetName val="Corn(Corn(2015 Dryland...)"/>
      <sheetName val="Corn, Dryland 2014"/>
      <sheetName val="Corn, Irrigated 2014"/>
      <sheetName val="Soybean 2014"/>
      <sheetName val="Soybean, Double Crop 2014"/>
      <sheetName val="Wheat SRW 2014"/>
      <sheetName val="Grain Sorghum 2014"/>
      <sheetName val="Output"/>
      <sheetName val="Machinery Cost"/>
      <sheetName val="MDB"/>
      <sheetName val="Store"/>
    </sheetNames>
    <sheetDataSet>
      <sheetData sheetId="0"/>
      <sheetData sheetId="1">
        <row r="12">
          <cell r="B12">
            <v>100</v>
          </cell>
        </row>
        <row r="13">
          <cell r="B13">
            <v>55</v>
          </cell>
        </row>
        <row r="25">
          <cell r="B25">
            <v>100</v>
          </cell>
        </row>
        <row r="46">
          <cell r="F46">
            <v>19.38</v>
          </cell>
        </row>
        <row r="99">
          <cell r="B99">
            <v>15000</v>
          </cell>
        </row>
        <row r="100">
          <cell r="B100">
            <v>5</v>
          </cell>
        </row>
        <row r="109">
          <cell r="B109">
            <v>5</v>
          </cell>
          <cell r="F109">
            <v>6800</v>
          </cell>
        </row>
        <row r="114">
          <cell r="F114">
            <v>2</v>
          </cell>
        </row>
        <row r="149">
          <cell r="F149">
            <v>0</v>
          </cell>
          <cell r="H149">
            <v>0</v>
          </cell>
        </row>
        <row r="150">
          <cell r="F150">
            <v>0</v>
          </cell>
          <cell r="H150">
            <v>0</v>
          </cell>
        </row>
        <row r="151">
          <cell r="F151">
            <v>0</v>
          </cell>
          <cell r="H151">
            <v>0</v>
          </cell>
        </row>
        <row r="152">
          <cell r="F152">
            <v>0</v>
          </cell>
          <cell r="H152">
            <v>0</v>
          </cell>
        </row>
        <row r="153">
          <cell r="F153">
            <v>0</v>
          </cell>
          <cell r="H153">
            <v>0</v>
          </cell>
        </row>
        <row r="154">
          <cell r="F154">
            <v>0</v>
          </cell>
          <cell r="H154">
            <v>0</v>
          </cell>
        </row>
        <row r="155">
          <cell r="F155">
            <v>0</v>
          </cell>
          <cell r="H155">
            <v>0</v>
          </cell>
        </row>
        <row r="156">
          <cell r="F156">
            <v>0</v>
          </cell>
          <cell r="H156">
            <v>0</v>
          </cell>
        </row>
        <row r="157">
          <cell r="F157">
            <v>0</v>
          </cell>
          <cell r="H157">
            <v>0</v>
          </cell>
        </row>
        <row r="158">
          <cell r="F158">
            <v>0</v>
          </cell>
          <cell r="H158">
            <v>0</v>
          </cell>
        </row>
        <row r="160">
          <cell r="F160">
            <v>0</v>
          </cell>
          <cell r="H160">
            <v>0</v>
          </cell>
        </row>
        <row r="161">
          <cell r="F161">
            <v>0</v>
          </cell>
          <cell r="H161">
            <v>0</v>
          </cell>
        </row>
        <row r="162">
          <cell r="F162">
            <v>0</v>
          </cell>
          <cell r="H162">
            <v>0</v>
          </cell>
        </row>
        <row r="163">
          <cell r="F163">
            <v>0</v>
          </cell>
          <cell r="H163">
            <v>0</v>
          </cell>
        </row>
        <row r="164">
          <cell r="D164" t="str">
            <v>200 MFWD</v>
          </cell>
          <cell r="F164">
            <v>1</v>
          </cell>
          <cell r="H164">
            <v>0</v>
          </cell>
        </row>
        <row r="166">
          <cell r="F166">
            <v>0</v>
          </cell>
          <cell r="H166">
            <v>0</v>
          </cell>
        </row>
        <row r="167">
          <cell r="F167">
            <v>0</v>
          </cell>
          <cell r="H167">
            <v>0</v>
          </cell>
        </row>
        <row r="168">
          <cell r="F168">
            <v>0</v>
          </cell>
          <cell r="H168">
            <v>0</v>
          </cell>
        </row>
        <row r="169">
          <cell r="F169">
            <v>0</v>
          </cell>
          <cell r="H169">
            <v>0</v>
          </cell>
        </row>
        <row r="170">
          <cell r="D170" t="str">
            <v>130 MFWD</v>
          </cell>
          <cell r="F170">
            <v>1</v>
          </cell>
          <cell r="H170">
            <v>0</v>
          </cell>
        </row>
        <row r="171">
          <cell r="F171">
            <v>0</v>
          </cell>
          <cell r="H171">
            <v>0</v>
          </cell>
        </row>
        <row r="172">
          <cell r="F172">
            <v>0</v>
          </cell>
          <cell r="H172">
            <v>0</v>
          </cell>
        </row>
        <row r="173">
          <cell r="F173">
            <v>0</v>
          </cell>
          <cell r="H173">
            <v>0</v>
          </cell>
        </row>
        <row r="175">
          <cell r="F175">
            <v>0</v>
          </cell>
          <cell r="H175">
            <v>0</v>
          </cell>
        </row>
        <row r="176">
          <cell r="F176">
            <v>0</v>
          </cell>
          <cell r="H176">
            <v>0</v>
          </cell>
        </row>
        <row r="177">
          <cell r="F177">
            <v>0</v>
          </cell>
          <cell r="H177">
            <v>0</v>
          </cell>
        </row>
        <row r="178">
          <cell r="F178">
            <v>0</v>
          </cell>
          <cell r="H178">
            <v>0</v>
          </cell>
        </row>
        <row r="179">
          <cell r="F179">
            <v>0</v>
          </cell>
          <cell r="H179">
            <v>0</v>
          </cell>
        </row>
        <row r="180">
          <cell r="F180">
            <v>0</v>
          </cell>
          <cell r="H180">
            <v>0</v>
          </cell>
        </row>
        <row r="181">
          <cell r="F181">
            <v>0</v>
          </cell>
          <cell r="H181">
            <v>0</v>
          </cell>
        </row>
        <row r="182">
          <cell r="F182">
            <v>0</v>
          </cell>
          <cell r="H182">
            <v>0</v>
          </cell>
        </row>
        <row r="183">
          <cell r="F183">
            <v>0</v>
          </cell>
          <cell r="H183">
            <v>0</v>
          </cell>
        </row>
        <row r="184">
          <cell r="F184">
            <v>0</v>
          </cell>
          <cell r="H184">
            <v>0</v>
          </cell>
        </row>
        <row r="185">
          <cell r="F185">
            <v>0</v>
          </cell>
          <cell r="H185">
            <v>0</v>
          </cell>
        </row>
        <row r="186">
          <cell r="F186">
            <v>0</v>
          </cell>
          <cell r="H186">
            <v>0</v>
          </cell>
        </row>
        <row r="187">
          <cell r="F187">
            <v>0</v>
          </cell>
          <cell r="H187">
            <v>0</v>
          </cell>
        </row>
        <row r="188">
          <cell r="F188">
            <v>0</v>
          </cell>
        </row>
        <row r="189">
          <cell r="F189">
            <v>0</v>
          </cell>
        </row>
        <row r="190">
          <cell r="F190">
            <v>0</v>
          </cell>
        </row>
        <row r="191">
          <cell r="F191">
            <v>0</v>
          </cell>
        </row>
        <row r="192">
          <cell r="F192">
            <v>0</v>
          </cell>
          <cell r="H192">
            <v>0</v>
          </cell>
        </row>
        <row r="193">
          <cell r="F193">
            <v>1</v>
          </cell>
          <cell r="H193">
            <v>0</v>
          </cell>
        </row>
        <row r="194">
          <cell r="F194">
            <v>0</v>
          </cell>
          <cell r="H194">
            <v>0</v>
          </cell>
        </row>
        <row r="195">
          <cell r="F195">
            <v>0</v>
          </cell>
          <cell r="H195">
            <v>0</v>
          </cell>
        </row>
        <row r="196">
          <cell r="D196" t="str">
            <v>200 MFWD</v>
          </cell>
        </row>
        <row r="197">
          <cell r="D197" t="str">
            <v>130 MFWD</v>
          </cell>
        </row>
      </sheetData>
      <sheetData sheetId="2"/>
      <sheetData sheetId="3"/>
      <sheetData sheetId="4"/>
      <sheetData sheetId="5"/>
      <sheetData sheetId="6"/>
      <sheetData sheetId="7"/>
      <sheetData sheetId="8"/>
      <sheetData sheetId="9"/>
      <sheetData sheetId="10"/>
      <sheetData sheetId="11"/>
      <sheetData sheetId="12"/>
      <sheetData sheetId="13"/>
      <sheetData sheetId="14">
        <row r="8">
          <cell r="C8" t="str">
            <v>bushels</v>
          </cell>
          <cell r="D8">
            <v>55</v>
          </cell>
          <cell r="E8">
            <v>5.3</v>
          </cell>
          <cell r="F8">
            <v>291.5</v>
          </cell>
          <cell r="G8">
            <v>291.5</v>
          </cell>
          <cell r="H8">
            <v>0</v>
          </cell>
        </row>
        <row r="9">
          <cell r="C9" t="str">
            <v>bushels</v>
          </cell>
          <cell r="D9">
            <v>0</v>
          </cell>
          <cell r="E9">
            <v>0</v>
          </cell>
          <cell r="F9">
            <v>0</v>
          </cell>
          <cell r="G9">
            <v>0</v>
          </cell>
          <cell r="H9">
            <v>0</v>
          </cell>
        </row>
        <row r="10">
          <cell r="F10">
            <v>0</v>
          </cell>
          <cell r="G10">
            <v>0</v>
          </cell>
          <cell r="H10">
            <v>0</v>
          </cell>
        </row>
        <row r="11">
          <cell r="F11">
            <v>0</v>
          </cell>
          <cell r="G11">
            <v>0</v>
          </cell>
          <cell r="H11">
            <v>0</v>
          </cell>
        </row>
        <row r="12">
          <cell r="F12">
            <v>291.5</v>
          </cell>
          <cell r="G12">
            <v>291.5</v>
          </cell>
          <cell r="H12">
            <v>0</v>
          </cell>
        </row>
        <row r="15">
          <cell r="F15">
            <v>36</v>
          </cell>
          <cell r="G15">
            <v>36</v>
          </cell>
          <cell r="H15">
            <v>0</v>
          </cell>
        </row>
        <row r="16">
          <cell r="F16">
            <v>77.900000000000006</v>
          </cell>
          <cell r="G16">
            <v>77.900000000000006</v>
          </cell>
          <cell r="H16">
            <v>0</v>
          </cell>
        </row>
        <row r="17">
          <cell r="E17">
            <v>39.75</v>
          </cell>
        </row>
        <row r="18">
          <cell r="E18">
            <v>17.149999999999999</v>
          </cell>
        </row>
        <row r="19">
          <cell r="E19">
            <v>8</v>
          </cell>
        </row>
        <row r="20">
          <cell r="E20">
            <v>13</v>
          </cell>
        </row>
        <row r="21">
          <cell r="F21">
            <v>19.38</v>
          </cell>
          <cell r="G21">
            <v>19.38</v>
          </cell>
          <cell r="H21">
            <v>0</v>
          </cell>
        </row>
        <row r="22">
          <cell r="E22">
            <v>19.38</v>
          </cell>
        </row>
        <row r="23">
          <cell r="E23">
            <v>0</v>
          </cell>
        </row>
        <row r="24">
          <cell r="F24">
            <v>1</v>
          </cell>
          <cell r="G24">
            <v>1</v>
          </cell>
          <cell r="H24">
            <v>0</v>
          </cell>
        </row>
        <row r="25">
          <cell r="F25">
            <v>13</v>
          </cell>
          <cell r="G25">
            <v>13</v>
          </cell>
          <cell r="H25">
            <v>0</v>
          </cell>
        </row>
        <row r="26">
          <cell r="F26">
            <v>12</v>
          </cell>
          <cell r="G26">
            <v>12</v>
          </cell>
          <cell r="H26">
            <v>0</v>
          </cell>
        </row>
        <row r="27">
          <cell r="F27">
            <v>13.772941621140765</v>
          </cell>
          <cell r="G27">
            <v>13.772941621140765</v>
          </cell>
          <cell r="H27">
            <v>0</v>
          </cell>
        </row>
        <row r="28">
          <cell r="F28">
            <v>10.564209124880641</v>
          </cell>
          <cell r="G28">
            <v>10.564209124880641</v>
          </cell>
          <cell r="H28">
            <v>0</v>
          </cell>
        </row>
        <row r="29">
          <cell r="F29">
            <v>12.169842531095279</v>
          </cell>
          <cell r="G29">
            <v>12.169842531095279</v>
          </cell>
          <cell r="H29">
            <v>0</v>
          </cell>
        </row>
        <row r="30">
          <cell r="F30">
            <v>0</v>
          </cell>
          <cell r="G30">
            <v>0</v>
          </cell>
          <cell r="H30">
            <v>0</v>
          </cell>
        </row>
        <row r="31">
          <cell r="F31">
            <v>5.8736097983135007</v>
          </cell>
          <cell r="G31">
            <v>5.8736097983135007</v>
          </cell>
          <cell r="H31">
            <v>0</v>
          </cell>
        </row>
        <row r="32">
          <cell r="F32">
            <v>201.6606030754302</v>
          </cell>
          <cell r="G32">
            <v>201.6606030754302</v>
          </cell>
          <cell r="H32">
            <v>0</v>
          </cell>
        </row>
        <row r="35">
          <cell r="F35">
            <v>4.25</v>
          </cell>
          <cell r="G35">
            <v>4.25</v>
          </cell>
          <cell r="H35">
            <v>0</v>
          </cell>
        </row>
        <row r="36">
          <cell r="F36">
            <v>14.306653314023379</v>
          </cell>
          <cell r="G36">
            <v>14.306653314023379</v>
          </cell>
          <cell r="H36">
            <v>0</v>
          </cell>
        </row>
        <row r="37">
          <cell r="F37">
            <v>17.776766132218697</v>
          </cell>
          <cell r="G37">
            <v>17.776766132218697</v>
          </cell>
          <cell r="H37">
            <v>0</v>
          </cell>
        </row>
        <row r="38">
          <cell r="F38">
            <v>140</v>
          </cell>
          <cell r="G38">
            <v>0</v>
          </cell>
          <cell r="H38">
            <v>140</v>
          </cell>
        </row>
        <row r="39">
          <cell r="F39">
            <v>176.33341944624209</v>
          </cell>
          <cell r="G39">
            <v>36.333419446242075</v>
          </cell>
          <cell r="H39">
            <v>140</v>
          </cell>
        </row>
        <row r="41">
          <cell r="F41">
            <v>377.99402252167226</v>
          </cell>
          <cell r="G41">
            <v>237.99402252167226</v>
          </cell>
          <cell r="H41">
            <v>140</v>
          </cell>
        </row>
        <row r="43">
          <cell r="F43">
            <v>89.839396924569797</v>
          </cell>
          <cell r="G43">
            <v>89.839396924569797</v>
          </cell>
          <cell r="H43">
            <v>0</v>
          </cell>
        </row>
        <row r="44">
          <cell r="F44">
            <v>-86.494022521672264</v>
          </cell>
          <cell r="G44">
            <v>53.505977478327736</v>
          </cell>
          <cell r="H44">
            <v>-140</v>
          </cell>
        </row>
        <row r="46">
          <cell r="D46" t="str">
            <v>Operating costs per bushel</v>
          </cell>
          <cell r="F46">
            <v>3.6665564195532765</v>
          </cell>
          <cell r="G46">
            <v>3.6665564195532765</v>
          </cell>
          <cell r="H46" t="e">
            <v>#DIV/0!</v>
          </cell>
        </row>
        <row r="47">
          <cell r="D47" t="str">
            <v>Ownership costs per bushel</v>
          </cell>
          <cell r="F47">
            <v>3.2060621717498563</v>
          </cell>
          <cell r="G47">
            <v>0.66060762629531045</v>
          </cell>
          <cell r="H47" t="e">
            <v>#DIV/0!</v>
          </cell>
        </row>
        <row r="48">
          <cell r="D48" t="str">
            <v>Total costs per bushel</v>
          </cell>
          <cell r="F48">
            <v>6.8726185913031319</v>
          </cell>
          <cell r="G48">
            <v>4.3271640458485869</v>
          </cell>
          <cell r="H48" t="e">
            <v>#DIV/0!</v>
          </cell>
        </row>
        <row r="51">
          <cell r="B51" t="str">
            <v>Detailed Report</v>
          </cell>
          <cell r="C51" t="str">
            <v>Wheat</v>
          </cell>
          <cell r="F51" t="str">
            <v>2015 SRW</v>
          </cell>
        </row>
        <row r="53">
          <cell r="B53" t="str">
            <v>Selected input quantities</v>
          </cell>
          <cell r="C53" t="str">
            <v>per acre</v>
          </cell>
          <cell r="F53" t="str">
            <v>Selected input prices</v>
          </cell>
        </row>
        <row r="54">
          <cell r="B54" t="str">
            <v>Yield, bushels</v>
          </cell>
          <cell r="C54">
            <v>55</v>
          </cell>
          <cell r="F54" t="str">
            <v>Farm diesel, per gallon</v>
          </cell>
        </row>
        <row r="55">
          <cell r="B55" t="str">
            <v>Seeding rate, count</v>
          </cell>
          <cell r="C55">
            <v>100</v>
          </cell>
          <cell r="F55" t="str">
            <v>Operating interest, %</v>
          </cell>
        </row>
        <row r="56">
          <cell r="B56" t="str">
            <v>Nitrogen rate, lbs</v>
          </cell>
          <cell r="C56">
            <v>75</v>
          </cell>
          <cell r="F56" t="str">
            <v>Nitrogen, per lb</v>
          </cell>
        </row>
        <row r="57">
          <cell r="B57" t="str">
            <v>Phosphorus rate, lbs</v>
          </cell>
          <cell r="C57">
            <v>35</v>
          </cell>
          <cell r="F57" t="str">
            <v>Phosphorus, per lb</v>
          </cell>
        </row>
        <row r="58">
          <cell r="B58" t="str">
            <v>Potassium rate, lbs</v>
          </cell>
          <cell r="C58">
            <v>20</v>
          </cell>
          <cell r="F58" t="str">
            <v>Potassium, per lb</v>
          </cell>
        </row>
        <row r="59">
          <cell r="B59" t="str">
            <v>Lime rate, tons</v>
          </cell>
          <cell r="C59">
            <v>0.5</v>
          </cell>
          <cell r="F59" t="str">
            <v>Lime, per ton</v>
          </cell>
        </row>
        <row r="60">
          <cell r="B60" t="str">
            <v>Sum of allocated labor, hours</v>
          </cell>
          <cell r="C60">
            <v>0.8155445397093749</v>
          </cell>
          <cell r="F60" t="str">
            <v>Skilled labor, per hour</v>
          </cell>
        </row>
        <row r="61">
          <cell r="B61" t="str">
            <v>Irrigation, inches</v>
          </cell>
          <cell r="C61">
            <v>0</v>
          </cell>
          <cell r="F61" t="str">
            <v>Land value, per acre</v>
          </cell>
        </row>
        <row r="68">
          <cell r="B68" t="str">
            <v>No-till drill (20 ft); 200 MFWD</v>
          </cell>
          <cell r="C68">
            <v>0.11785714285714287</v>
          </cell>
          <cell r="D68">
            <v>1.0371428571428571</v>
          </cell>
          <cell r="E68">
            <v>8.8440812804509861</v>
          </cell>
          <cell r="F68">
            <v>12.466857734277623</v>
          </cell>
          <cell r="G68">
            <v>21.310939014728611</v>
          </cell>
        </row>
        <row r="69">
          <cell r="B69" t="str">
            <v>Boom sprayer (30 ft); 130 MFWD</v>
          </cell>
          <cell r="C69">
            <v>6.5088757396449703E-2</v>
          </cell>
          <cell r="D69">
            <v>0.37230769230769228</v>
          </cell>
          <cell r="E69">
            <v>3.3417888540143723</v>
          </cell>
          <cell r="F69">
            <v>3.1492959305098358</v>
          </cell>
          <cell r="G69">
            <v>6.4910847845242081</v>
          </cell>
        </row>
        <row r="70">
          <cell r="B70" t="str">
            <v>Combine, fixed grain head (30 ft); 275 HP Comb.</v>
          </cell>
          <cell r="C70">
            <v>7.4829931972789115E-2</v>
          </cell>
          <cell r="D70">
            <v>0.90544217687074835</v>
          </cell>
          <cell r="E70">
            <v>8.5786626603383969</v>
          </cell>
          <cell r="F70">
            <v>8.8641254045838682</v>
          </cell>
          <cell r="G70">
            <v>17.442788064922265</v>
          </cell>
        </row>
        <row r="71">
          <cell r="B71" t="str">
            <v>Grain cart (500 bushel); 200 MFWD</v>
          </cell>
          <cell r="C71">
            <v>4.6768707482993194E-2</v>
          </cell>
          <cell r="D71">
            <v>0.41156462585034009</v>
          </cell>
          <cell r="E71">
            <v>2.741955782312925</v>
          </cell>
          <cell r="F71">
            <v>2.5384838435374149</v>
          </cell>
          <cell r="G71">
            <v>5.2804396258503399</v>
          </cell>
        </row>
        <row r="72">
          <cell r="B72" t="str">
            <v>Grain auger 10 in- 5000 bu/hr (70 ft); 130 MFWD</v>
          </cell>
          <cell r="C72">
            <v>1.1000000000000001E-2</v>
          </cell>
          <cell r="D72">
            <v>6.2920000000000004E-2</v>
          </cell>
          <cell r="E72">
            <v>0.46670469999999997</v>
          </cell>
          <cell r="F72">
            <v>0.3875982</v>
          </cell>
          <cell r="G72">
            <v>0.85430289999999998</v>
          </cell>
        </row>
        <row r="73">
          <cell r="B73" t="str">
            <v>Semi, tractor and trailer</v>
          </cell>
          <cell r="C73"/>
          <cell r="D73">
            <v>0.48571428571428577</v>
          </cell>
          <cell r="E73">
            <v>3.1238000000000001</v>
          </cell>
          <cell r="F73">
            <v>2.0147333333333335</v>
          </cell>
          <cell r="G73">
            <v>5.1385333333333332</v>
          </cell>
        </row>
        <row r="74">
          <cell r="B74" t="str">
            <v>Pickup truck</v>
          </cell>
          <cell r="C74"/>
          <cell r="D74">
            <v>0.57692307692307698</v>
          </cell>
          <cell r="E74">
            <v>2.66</v>
          </cell>
          <cell r="F74">
            <v>2.6623250000000001</v>
          </cell>
          <cell r="G74">
            <v>5.3223250000000002</v>
          </cell>
        </row>
        <row r="75">
          <cell r="B75"/>
          <cell r="C75"/>
          <cell r="D75"/>
          <cell r="E75"/>
          <cell r="F75"/>
          <cell r="G75"/>
        </row>
        <row r="76">
          <cell r="B76"/>
          <cell r="C76"/>
          <cell r="D76"/>
          <cell r="E76"/>
          <cell r="F76"/>
          <cell r="G76"/>
        </row>
        <row r="77">
          <cell r="B77"/>
          <cell r="C77"/>
          <cell r="D77"/>
          <cell r="E77"/>
          <cell r="F77"/>
          <cell r="G77"/>
        </row>
        <row r="78">
          <cell r="B78"/>
          <cell r="C78"/>
          <cell r="D78"/>
          <cell r="E78"/>
          <cell r="F78"/>
          <cell r="G78"/>
        </row>
        <row r="79">
          <cell r="B79"/>
          <cell r="C79"/>
          <cell r="D79"/>
          <cell r="E79"/>
          <cell r="F79"/>
          <cell r="G79"/>
        </row>
        <row r="80">
          <cell r="B80"/>
          <cell r="C80"/>
          <cell r="D80"/>
          <cell r="E80"/>
          <cell r="F80"/>
          <cell r="G80"/>
        </row>
        <row r="81">
          <cell r="B81"/>
          <cell r="C81"/>
          <cell r="D81"/>
          <cell r="E81"/>
          <cell r="F81"/>
          <cell r="G81"/>
        </row>
        <row r="82">
          <cell r="B82"/>
          <cell r="C82"/>
          <cell r="D82"/>
          <cell r="E82"/>
          <cell r="F82"/>
          <cell r="G82"/>
        </row>
        <row r="83">
          <cell r="B83"/>
          <cell r="C83"/>
          <cell r="D83"/>
          <cell r="E83"/>
          <cell r="F83"/>
          <cell r="G83"/>
        </row>
        <row r="84">
          <cell r="B84"/>
          <cell r="C84"/>
          <cell r="D84"/>
          <cell r="E84"/>
          <cell r="F84"/>
          <cell r="G84"/>
        </row>
        <row r="85">
          <cell r="B85"/>
          <cell r="C85"/>
          <cell r="D85"/>
          <cell r="E85"/>
          <cell r="F85"/>
          <cell r="G85"/>
        </row>
        <row r="86">
          <cell r="B86"/>
          <cell r="C86"/>
          <cell r="D86"/>
          <cell r="E86"/>
          <cell r="F86"/>
          <cell r="G86"/>
        </row>
        <row r="87">
          <cell r="B87"/>
          <cell r="C87"/>
          <cell r="D87"/>
          <cell r="E87"/>
          <cell r="F87"/>
          <cell r="G87"/>
        </row>
        <row r="88">
          <cell r="B88"/>
          <cell r="C88"/>
          <cell r="D88"/>
          <cell r="E88"/>
          <cell r="F88"/>
          <cell r="G88"/>
        </row>
        <row r="89">
          <cell r="B89"/>
          <cell r="C89"/>
          <cell r="D89"/>
          <cell r="E89"/>
          <cell r="F89"/>
          <cell r="G89"/>
        </row>
        <row r="90">
          <cell r="B90"/>
          <cell r="C90"/>
          <cell r="D90"/>
          <cell r="E90"/>
          <cell r="F90"/>
          <cell r="G90"/>
        </row>
        <row r="91">
          <cell r="B91"/>
          <cell r="C91"/>
          <cell r="D91"/>
          <cell r="E91"/>
          <cell r="F91"/>
          <cell r="G91"/>
        </row>
        <row r="92">
          <cell r="B92"/>
          <cell r="C92"/>
          <cell r="D92"/>
          <cell r="E92"/>
          <cell r="F92"/>
          <cell r="G92"/>
        </row>
        <row r="93">
          <cell r="B93"/>
          <cell r="C93"/>
          <cell r="D93"/>
          <cell r="E93"/>
          <cell r="F93"/>
          <cell r="G93"/>
        </row>
        <row r="94">
          <cell r="B94"/>
          <cell r="C94"/>
          <cell r="D94"/>
          <cell r="E94"/>
          <cell r="F94"/>
          <cell r="G94"/>
        </row>
        <row r="95">
          <cell r="B95"/>
          <cell r="C95"/>
          <cell r="D95"/>
          <cell r="E95"/>
          <cell r="F95"/>
          <cell r="G95"/>
        </row>
        <row r="96">
          <cell r="B96"/>
          <cell r="C96"/>
          <cell r="D96"/>
          <cell r="E96"/>
          <cell r="F96"/>
          <cell r="G96"/>
        </row>
        <row r="97">
          <cell r="B97"/>
          <cell r="C97"/>
          <cell r="D97"/>
          <cell r="E97"/>
          <cell r="F97"/>
          <cell r="G97"/>
        </row>
        <row r="98">
          <cell r="B98"/>
          <cell r="C98"/>
          <cell r="D98"/>
          <cell r="E98"/>
          <cell r="F98"/>
          <cell r="G98"/>
        </row>
        <row r="101">
          <cell r="B101" t="str">
            <v>1 Farm business overhead includes liability insurance, utilities, accounting, etc. Machinery overhead is the sum of opportunity interest,</v>
          </cell>
        </row>
        <row r="102">
          <cell r="B102" t="str">
            <v xml:space="preserve">   property taxes, insurance, and housing. Machinery depreciation is a market value decline due to aging and usage. Thus, a portion of</v>
          </cell>
        </row>
        <row r="103">
          <cell r="B103" t="str">
            <v xml:space="preserve">   depreciation should be considered an operating costs for some decisions. Real estate charge includes land, improvements, taxes.</v>
          </cell>
        </row>
        <row r="104">
          <cell r="B104" t="str">
            <v xml:space="preserve">   Economic costs may differ from rental rates.</v>
          </cell>
        </row>
      </sheetData>
      <sheetData sheetId="15"/>
      <sheetData sheetId="16">
        <row r="4">
          <cell r="H4" t="str">
            <v>130 MFWD</v>
          </cell>
        </row>
        <row r="5">
          <cell r="H5" t="str">
            <v>200 MFWD</v>
          </cell>
        </row>
        <row r="24">
          <cell r="B24" t="str">
            <v>100 HP Comb.</v>
          </cell>
        </row>
        <row r="25">
          <cell r="B25" t="str">
            <v>220 HP Comb.</v>
          </cell>
        </row>
        <row r="26">
          <cell r="B26" t="str">
            <v>275 HP Comb.</v>
          </cell>
        </row>
        <row r="27">
          <cell r="B27" t="str">
            <v>340 HP Comb.</v>
          </cell>
        </row>
        <row r="31">
          <cell r="A31">
            <v>1</v>
          </cell>
        </row>
        <row r="32">
          <cell r="A32" t="str">
            <v>500 bushel</v>
          </cell>
        </row>
        <row r="33">
          <cell r="A33" t="str">
            <v>1000 bushel</v>
          </cell>
        </row>
        <row r="34">
          <cell r="A34" t="str">
            <v>70 ft</v>
          </cell>
        </row>
        <row r="39">
          <cell r="A39" t="str">
            <v>15 ft</v>
          </cell>
        </row>
        <row r="40">
          <cell r="A40" t="str">
            <v>23 ft</v>
          </cell>
        </row>
        <row r="41">
          <cell r="A41" t="str">
            <v>37 ft</v>
          </cell>
        </row>
        <row r="42">
          <cell r="A42" t="str">
            <v>57 ft</v>
          </cell>
        </row>
        <row r="43">
          <cell r="A43" t="str">
            <v>16.3 ft</v>
          </cell>
        </row>
        <row r="44">
          <cell r="A44" t="str">
            <v>21.3 ft</v>
          </cell>
        </row>
        <row r="45">
          <cell r="A45" t="str">
            <v>6 ft</v>
          </cell>
        </row>
        <row r="46">
          <cell r="A46" t="str">
            <v>7.5 ft</v>
          </cell>
        </row>
        <row r="47">
          <cell r="A47" t="str">
            <v>9 ft</v>
          </cell>
        </row>
        <row r="48">
          <cell r="A48" t="str">
            <v>12 ft</v>
          </cell>
        </row>
        <row r="49">
          <cell r="A49" t="str">
            <v>18 ft</v>
          </cell>
        </row>
        <row r="50">
          <cell r="A50" t="str">
            <v>23 ft</v>
          </cell>
        </row>
        <row r="51">
          <cell r="A51" t="str">
            <v>30 ft</v>
          </cell>
        </row>
        <row r="52">
          <cell r="A52" t="str">
            <v>35 ft</v>
          </cell>
        </row>
        <row r="53">
          <cell r="A53" t="str">
            <v>47 ft</v>
          </cell>
        </row>
        <row r="54">
          <cell r="A54" t="str">
            <v>60 ft</v>
          </cell>
        </row>
        <row r="55">
          <cell r="A55" t="str">
            <v>11 ft</v>
          </cell>
        </row>
        <row r="56">
          <cell r="A56" t="str">
            <v>21 ft</v>
          </cell>
        </row>
        <row r="57">
          <cell r="A57" t="str">
            <v>25 ft</v>
          </cell>
        </row>
        <row r="58">
          <cell r="A58" t="str">
            <v>30 ft</v>
          </cell>
        </row>
        <row r="59">
          <cell r="A59" t="str">
            <v>25" O.C., 10 ft</v>
          </cell>
        </row>
        <row r="60">
          <cell r="A60" t="str">
            <v>25" O.C., 18 ft</v>
          </cell>
        </row>
        <row r="61">
          <cell r="A61" t="str">
            <v>30" O.C., 17 ft</v>
          </cell>
        </row>
        <row r="62">
          <cell r="A62" t="str">
            <v>30" O.C., 22.5 ft</v>
          </cell>
        </row>
        <row r="63">
          <cell r="A63" t="str">
            <v>16 ft</v>
          </cell>
        </row>
        <row r="64">
          <cell r="A64" t="str">
            <v>25 ft</v>
          </cell>
        </row>
        <row r="65">
          <cell r="A65" t="str">
            <v>33 ft</v>
          </cell>
        </row>
        <row r="66">
          <cell r="A66" t="str">
            <v>17.5 ft</v>
          </cell>
        </row>
        <row r="67">
          <cell r="A67" t="str">
            <v>22.5 ft</v>
          </cell>
        </row>
        <row r="68">
          <cell r="A68" t="str">
            <v>22 ft</v>
          </cell>
        </row>
        <row r="69">
          <cell r="A69" t="str">
            <v>38 ft</v>
          </cell>
        </row>
        <row r="70">
          <cell r="A70" t="str">
            <v>12 ft</v>
          </cell>
        </row>
        <row r="71">
          <cell r="A71" t="str">
            <v>28 ft</v>
          </cell>
        </row>
        <row r="72">
          <cell r="A72" t="str">
            <v>6 row</v>
          </cell>
        </row>
        <row r="73">
          <cell r="A73" t="str">
            <v>8 row</v>
          </cell>
        </row>
        <row r="74">
          <cell r="A74" t="str">
            <v>12 row</v>
          </cell>
        </row>
        <row r="75">
          <cell r="A75" t="str">
            <v>16 row</v>
          </cell>
        </row>
        <row r="76">
          <cell r="A76" t="str">
            <v>(6/11 row 30/15")</v>
          </cell>
        </row>
        <row r="77">
          <cell r="A77" t="str">
            <v>(8/15 row 30/15")</v>
          </cell>
        </row>
        <row r="78">
          <cell r="A78" t="str">
            <v>(12/23 row 30/15")</v>
          </cell>
        </row>
        <row r="79">
          <cell r="A79" t="str">
            <v>(16/31 row 30/15")</v>
          </cell>
        </row>
        <row r="80">
          <cell r="A80" t="str">
            <v>6 row</v>
          </cell>
        </row>
        <row r="81">
          <cell r="A81" t="str">
            <v>8 row</v>
          </cell>
        </row>
        <row r="82">
          <cell r="A82" t="str">
            <v>12 row</v>
          </cell>
        </row>
        <row r="83">
          <cell r="A83" t="str">
            <v>16 row</v>
          </cell>
        </row>
        <row r="84">
          <cell r="A84" t="str">
            <v>16 ft</v>
          </cell>
        </row>
        <row r="85">
          <cell r="A85" t="str">
            <v>20 ft</v>
          </cell>
        </row>
        <row r="86">
          <cell r="A86" t="str">
            <v>25 ft</v>
          </cell>
        </row>
        <row r="87">
          <cell r="A87" t="str">
            <v>30 ft</v>
          </cell>
        </row>
        <row r="88">
          <cell r="A88" t="str">
            <v>15 ft</v>
          </cell>
        </row>
        <row r="89">
          <cell r="A89" t="str">
            <v>20 ft</v>
          </cell>
        </row>
        <row r="90">
          <cell r="A90" t="str">
            <v>30 ft</v>
          </cell>
        </row>
        <row r="91">
          <cell r="A91" t="str">
            <v>6 row</v>
          </cell>
        </row>
        <row r="92">
          <cell r="A92" t="str">
            <v>8 row</v>
          </cell>
        </row>
        <row r="93">
          <cell r="A93" t="str">
            <v>12 row</v>
          </cell>
        </row>
        <row r="94">
          <cell r="A94" t="str">
            <v>16 row</v>
          </cell>
        </row>
        <row r="95">
          <cell r="A95" t="str">
            <v>6 row</v>
          </cell>
        </row>
        <row r="96">
          <cell r="A96" t="str">
            <v>8 row</v>
          </cell>
        </row>
        <row r="97">
          <cell r="A97" t="str">
            <v>12 row</v>
          </cell>
        </row>
        <row r="99">
          <cell r="A99" t="str">
            <v>60 ft</v>
          </cell>
        </row>
        <row r="100">
          <cell r="A100" t="str">
            <v>30 ft</v>
          </cell>
        </row>
        <row r="101">
          <cell r="A101" t="str">
            <v>50 ft</v>
          </cell>
        </row>
        <row r="104">
          <cell r="A104" t="str">
            <v>7 ft swath</v>
          </cell>
        </row>
        <row r="105">
          <cell r="A105" t="str">
            <v>8 ft swath</v>
          </cell>
        </row>
        <row r="106">
          <cell r="A106" t="str">
            <v>9 ft swath</v>
          </cell>
        </row>
        <row r="107">
          <cell r="A107" t="str">
            <v>10 ft swath</v>
          </cell>
        </row>
        <row r="108">
          <cell r="A108" t="str">
            <v>6 ft</v>
          </cell>
        </row>
        <row r="109">
          <cell r="A109" t="str">
            <v>9 ft</v>
          </cell>
        </row>
        <row r="110">
          <cell r="A110" t="str">
            <v>8.5 ft</v>
          </cell>
        </row>
        <row r="111">
          <cell r="A111" t="str">
            <v>9.5 ft</v>
          </cell>
        </row>
        <row r="112">
          <cell r="A112" t="str">
            <v>tandem, 24 ft</v>
          </cell>
        </row>
        <row r="113">
          <cell r="A113" t="str">
            <v>7 ft swath</v>
          </cell>
        </row>
        <row r="114">
          <cell r="A114" t="str">
            <v>9 ft swath</v>
          </cell>
        </row>
        <row r="115">
          <cell r="A115" t="str">
            <v>12 ft swath</v>
          </cell>
        </row>
        <row r="118">
          <cell r="A118" t="str">
            <v>750 lb</v>
          </cell>
        </row>
        <row r="119">
          <cell r="A119" t="str">
            <v>1000 lb</v>
          </cell>
        </row>
        <row r="120">
          <cell r="A120" t="str">
            <v>1500 lb</v>
          </cell>
        </row>
        <row r="121">
          <cell r="A121" t="str">
            <v>2000 lb</v>
          </cell>
        </row>
        <row r="125">
          <cell r="A125" t="str">
            <v>15 ft</v>
          </cell>
        </row>
        <row r="126">
          <cell r="A126" t="str">
            <v>20 ft</v>
          </cell>
        </row>
        <row r="127">
          <cell r="A127" t="str">
            <v>30 ft</v>
          </cell>
        </row>
        <row r="128">
          <cell r="A128" t="str">
            <v>15 ft</v>
          </cell>
        </row>
        <row r="129">
          <cell r="A129" t="str">
            <v>18 ft</v>
          </cell>
        </row>
        <row r="130">
          <cell r="A130" t="str">
            <v>20 ft</v>
          </cell>
        </row>
        <row r="131">
          <cell r="A131" t="str">
            <v>25 ft</v>
          </cell>
        </row>
        <row r="132">
          <cell r="A132" t="str">
            <v>30 ft</v>
          </cell>
        </row>
        <row r="133">
          <cell r="A133" t="str">
            <v>6 row</v>
          </cell>
        </row>
        <row r="134">
          <cell r="A134" t="str">
            <v>8 row</v>
          </cell>
        </row>
        <row r="135">
          <cell r="A135" t="str">
            <v>12 row</v>
          </cell>
        </row>
        <row r="136">
          <cell r="A136" t="str">
            <v>8 wheel, 17.5 ft</v>
          </cell>
        </row>
        <row r="137">
          <cell r="A137" t="str">
            <v>10 wheel, 20 ft</v>
          </cell>
        </row>
        <row r="138">
          <cell r="A138" t="str">
            <v>12 wheel, 25 ft</v>
          </cell>
        </row>
        <row r="139">
          <cell r="A139" t="str">
            <v>16 wheel, 31 ft</v>
          </cell>
        </row>
        <row r="140">
          <cell r="A140" t="str">
            <v>20 wheel, 36 ft</v>
          </cell>
        </row>
        <row r="157">
          <cell r="G157" t="str">
            <v>Irrigated</v>
          </cell>
          <cell r="I157" t="str">
            <v>Corn, grain</v>
          </cell>
          <cell r="L157" t="str">
            <v>Bushel</v>
          </cell>
        </row>
        <row r="158">
          <cell r="C158">
            <v>6</v>
          </cell>
          <cell r="G158" t="str">
            <v>Dryland</v>
          </cell>
          <cell r="I158" t="str">
            <v>Corn, silage</v>
          </cell>
          <cell r="L158" t="str">
            <v>Ton</v>
          </cell>
        </row>
        <row r="159">
          <cell r="C159">
            <v>1</v>
          </cell>
          <cell r="I159" t="str">
            <v>Grain sorghum</v>
          </cell>
          <cell r="L159" t="str">
            <v>Cwt</v>
          </cell>
        </row>
        <row r="160">
          <cell r="C160">
            <v>1</v>
          </cell>
          <cell r="G160" t="str">
            <v>Owned land</v>
          </cell>
          <cell r="I160" t="str">
            <v>Soybeans</v>
          </cell>
          <cell r="L160" t="str">
            <v>Bale</v>
          </cell>
        </row>
        <row r="161">
          <cell r="C161">
            <v>2</v>
          </cell>
          <cell r="G161" t="str">
            <v>Cash rent</v>
          </cell>
          <cell r="I161" t="str">
            <v>Soybeans, double crop</v>
          </cell>
        </row>
        <row r="162">
          <cell r="C162">
            <v>1</v>
          </cell>
          <cell r="G162" t="str">
            <v>Share lease</v>
          </cell>
          <cell r="I162" t="str">
            <v>Wheat</v>
          </cell>
        </row>
        <row r="163">
          <cell r="I163" t="str">
            <v>Wheat &amp; straw</v>
          </cell>
        </row>
        <row r="164">
          <cell r="C164" t="str">
            <v>Wheat</v>
          </cell>
        </row>
      </sheetData>
      <sheetData sheetId="17">
        <row r="3">
          <cell r="E3" t="str">
            <v>cropnum-22706</v>
          </cell>
          <cell r="F3">
            <v>6</v>
          </cell>
        </row>
        <row r="4">
          <cell r="E4" t="str">
            <v>primyieldtype-22706</v>
          </cell>
          <cell r="F4">
            <v>1</v>
          </cell>
        </row>
        <row r="5">
          <cell r="E5" t="str">
            <v>byyieldtype-22706</v>
          </cell>
          <cell r="F5">
            <v>1</v>
          </cell>
        </row>
        <row r="6">
          <cell r="E6" t="str">
            <v>irrigation2-22706</v>
          </cell>
          <cell r="F6">
            <v>2</v>
          </cell>
        </row>
        <row r="7">
          <cell r="E7" t="str">
            <v>leasenum-22706</v>
          </cell>
          <cell r="F7">
            <v>1</v>
          </cell>
        </row>
        <row r="8">
          <cell r="E8" t="str">
            <v>40hp-22706</v>
          </cell>
          <cell r="F8">
            <v>0</v>
          </cell>
        </row>
        <row r="9">
          <cell r="E9" t="str">
            <v>60hp-22706</v>
          </cell>
          <cell r="F9">
            <v>0</v>
          </cell>
        </row>
        <row r="10">
          <cell r="E10" t="str">
            <v>75hp-22706</v>
          </cell>
          <cell r="F10">
            <v>0</v>
          </cell>
        </row>
        <row r="11">
          <cell r="E11" t="str">
            <v>105twd-22706</v>
          </cell>
          <cell r="F11">
            <v>0</v>
          </cell>
        </row>
        <row r="12">
          <cell r="E12" t="str">
            <v>140twd-22706</v>
          </cell>
          <cell r="F12">
            <v>0</v>
          </cell>
        </row>
        <row r="13">
          <cell r="E13" t="str">
            <v>105mfwd-22706</v>
          </cell>
          <cell r="F13">
            <v>0</v>
          </cell>
        </row>
        <row r="14">
          <cell r="E14" t="str">
            <v>130mfwd-22706</v>
          </cell>
          <cell r="F14" t="b">
            <v>1</v>
          </cell>
        </row>
        <row r="15">
          <cell r="E15" t="str">
            <v>160mfwd-22706</v>
          </cell>
          <cell r="F15">
            <v>0</v>
          </cell>
        </row>
        <row r="16">
          <cell r="E16" t="str">
            <v>200mfwd-22706</v>
          </cell>
          <cell r="F16" t="b">
            <v>1</v>
          </cell>
        </row>
        <row r="17">
          <cell r="E17" t="str">
            <v>225mfwd-22706</v>
          </cell>
          <cell r="F17">
            <v>0</v>
          </cell>
        </row>
        <row r="18">
          <cell r="E18" t="str">
            <v>2604wd-22706</v>
          </cell>
          <cell r="F18">
            <v>0</v>
          </cell>
        </row>
        <row r="19">
          <cell r="E19" t="str">
            <v>3104wd-22706</v>
          </cell>
          <cell r="F19">
            <v>0</v>
          </cell>
        </row>
        <row r="20">
          <cell r="E20" t="str">
            <v>360 4wd-22706</v>
          </cell>
          <cell r="F20">
            <v>0</v>
          </cell>
        </row>
        <row r="21">
          <cell r="E21" t="str">
            <v>4254wd-22706</v>
          </cell>
          <cell r="F21">
            <v>0</v>
          </cell>
        </row>
        <row r="22">
          <cell r="E22" t="str">
            <v>225tt-22706</v>
          </cell>
          <cell r="F22">
            <v>0</v>
          </cell>
        </row>
        <row r="23">
          <cell r="E23" t="str">
            <v>425tt-22706</v>
          </cell>
          <cell r="F23">
            <v>0</v>
          </cell>
        </row>
        <row r="24">
          <cell r="E24" t="str">
            <v>description-1-22706</v>
          </cell>
          <cell r="F24" t="str">
            <v>2014 SRW</v>
          </cell>
        </row>
        <row r="25">
          <cell r="E25" t="str">
            <v>acres-1-22706</v>
          </cell>
          <cell r="F25">
            <v>100</v>
          </cell>
        </row>
        <row r="26">
          <cell r="E26" t="str">
            <v>receipts-1-22706</v>
          </cell>
          <cell r="F26">
            <v>55</v>
          </cell>
        </row>
        <row r="27">
          <cell r="E27" t="str">
            <v>receipts-2-22706</v>
          </cell>
          <cell r="F27">
            <v>6.75</v>
          </cell>
        </row>
        <row r="28">
          <cell r="E28" t="str">
            <v>receipts-3-22706</v>
          </cell>
          <cell r="F28">
            <v>0</v>
          </cell>
        </row>
        <row r="29">
          <cell r="E29" t="str">
            <v>receipts-4-22706</v>
          </cell>
          <cell r="F29">
            <v>0</v>
          </cell>
        </row>
        <row r="30">
          <cell r="E30" t="str">
            <v>receipts-5-22706</v>
          </cell>
          <cell r="F30">
            <v>0</v>
          </cell>
        </row>
        <row r="31">
          <cell r="E31" t="str">
            <v>receipts-6-22706</v>
          </cell>
          <cell r="F31">
            <v>0</v>
          </cell>
        </row>
        <row r="32">
          <cell r="E32" t="str">
            <v>seed1-1-22706</v>
          </cell>
          <cell r="F32">
            <v>0</v>
          </cell>
        </row>
        <row r="33">
          <cell r="E33" t="str">
            <v>seed1-2-22706</v>
          </cell>
          <cell r="F33">
            <v>0</v>
          </cell>
        </row>
        <row r="34">
          <cell r="E34" t="str">
            <v>seed1-3-22706</v>
          </cell>
          <cell r="F34">
            <v>0</v>
          </cell>
        </row>
        <row r="35">
          <cell r="E35" t="str">
            <v>seed1-4-22706</v>
          </cell>
          <cell r="F35">
            <v>18</v>
          </cell>
        </row>
        <row r="36">
          <cell r="E36" t="str">
            <v>seed1-5-22706</v>
          </cell>
          <cell r="F36">
            <v>0</v>
          </cell>
        </row>
        <row r="37">
          <cell r="E37" t="str">
            <v>seed1-6-22706</v>
          </cell>
          <cell r="F37">
            <v>0</v>
          </cell>
        </row>
        <row r="38">
          <cell r="E38" t="str">
            <v>seed2-1-22706</v>
          </cell>
          <cell r="F38">
            <v>0</v>
          </cell>
        </row>
        <row r="39">
          <cell r="E39" t="str">
            <v>seed2-2-22706</v>
          </cell>
          <cell r="F39">
            <v>0</v>
          </cell>
        </row>
        <row r="40">
          <cell r="E40" t="str">
            <v>seed2-3-22706</v>
          </cell>
          <cell r="F40">
            <v>0</v>
          </cell>
        </row>
        <row r="41">
          <cell r="E41" t="str">
            <v>seed2-4-22706</v>
          </cell>
          <cell r="F41">
            <v>100</v>
          </cell>
        </row>
        <row r="42">
          <cell r="E42" t="str">
            <v>seed2-5-22706</v>
          </cell>
          <cell r="F42">
            <v>0</v>
          </cell>
        </row>
        <row r="43">
          <cell r="E43" t="str">
            <v>seed2-6-22706</v>
          </cell>
          <cell r="F43">
            <v>0</v>
          </cell>
        </row>
        <row r="44">
          <cell r="E44" t="str">
            <v>fertilizer1-1-22706</v>
          </cell>
          <cell r="F44">
            <v>0</v>
          </cell>
        </row>
        <row r="45">
          <cell r="E45" t="str">
            <v>fertilizer1-2-22706</v>
          </cell>
          <cell r="F45">
            <v>75</v>
          </cell>
        </row>
        <row r="46">
          <cell r="E46" t="str">
            <v>fertilizer1-3-22706</v>
          </cell>
          <cell r="F46">
            <v>0</v>
          </cell>
        </row>
        <row r="47">
          <cell r="E47" t="str">
            <v>fertilizer1-4-22706</v>
          </cell>
          <cell r="F47">
            <v>35</v>
          </cell>
        </row>
        <row r="48">
          <cell r="E48" t="str">
            <v>fertilizer1-5-22706</v>
          </cell>
          <cell r="F48">
            <v>20</v>
          </cell>
        </row>
        <row r="49">
          <cell r="E49" t="str">
            <v>fertilizer1-6-22706</v>
          </cell>
          <cell r="F49">
            <v>0.5</v>
          </cell>
        </row>
        <row r="50">
          <cell r="E50" t="str">
            <v>fertilizer1-7-22706</v>
          </cell>
          <cell r="F50">
            <v>10</v>
          </cell>
        </row>
        <row r="51">
          <cell r="E51" t="str">
            <v>fertilizer1-8-22706</v>
          </cell>
          <cell r="F51">
            <v>0</v>
          </cell>
        </row>
        <row r="52">
          <cell r="E52" t="str">
            <v>fertilizer2-1-22706</v>
          </cell>
          <cell r="F52">
            <v>0</v>
          </cell>
        </row>
        <row r="53">
          <cell r="E53" t="str">
            <v>fertilizer2-2-22706</v>
          </cell>
          <cell r="F53">
            <v>0.47</v>
          </cell>
        </row>
        <row r="54">
          <cell r="E54" t="str">
            <v>fertilizer2-3-22706</v>
          </cell>
          <cell r="F54">
            <v>0</v>
          </cell>
        </row>
        <row r="55">
          <cell r="E55" t="str">
            <v>fertilizer2-4-22706</v>
          </cell>
          <cell r="F55">
            <v>0.41</v>
          </cell>
        </row>
        <row r="56">
          <cell r="E56" t="str">
            <v>fertilizer2-5-22706</v>
          </cell>
          <cell r="F56">
            <v>0.44</v>
          </cell>
        </row>
        <row r="57">
          <cell r="E57" t="str">
            <v>fertilizer2-6-22706</v>
          </cell>
          <cell r="F57">
            <v>10</v>
          </cell>
        </row>
        <row r="58">
          <cell r="E58" t="str">
            <v>fertilizer2-7-22706</v>
          </cell>
          <cell r="F58">
            <v>0.55000000000000004</v>
          </cell>
        </row>
        <row r="59">
          <cell r="E59" t="str">
            <v>fertilizer2-8-22706</v>
          </cell>
          <cell r="F59">
            <v>0</v>
          </cell>
        </row>
        <row r="60">
          <cell r="E60" t="str">
            <v>herbicide1-1-22706</v>
          </cell>
          <cell r="F60">
            <v>0</v>
          </cell>
        </row>
        <row r="61">
          <cell r="E61" t="str">
            <v>herbicide1-2-22706</v>
          </cell>
          <cell r="F61">
            <v>0</v>
          </cell>
        </row>
        <row r="62">
          <cell r="E62" t="str">
            <v>herbicide1-3-22706</v>
          </cell>
          <cell r="F62">
            <v>0</v>
          </cell>
        </row>
        <row r="63">
          <cell r="E63" t="str">
            <v>herbicide1-4-22706</v>
          </cell>
          <cell r="F63">
            <v>1</v>
          </cell>
        </row>
        <row r="64">
          <cell r="E64" t="str">
            <v>herbicide1-5-22706</v>
          </cell>
          <cell r="F64">
            <v>0</v>
          </cell>
        </row>
        <row r="65">
          <cell r="E65" t="str">
            <v>herbicide1-6-22706</v>
          </cell>
          <cell r="F65">
            <v>0</v>
          </cell>
        </row>
        <row r="66">
          <cell r="E66" t="str">
            <v>herbicide1-7-22706</v>
          </cell>
          <cell r="F66">
            <v>0</v>
          </cell>
        </row>
        <row r="67">
          <cell r="E67" t="str">
            <v>herbicide1-8-22706</v>
          </cell>
          <cell r="F67">
            <v>0</v>
          </cell>
        </row>
        <row r="68">
          <cell r="E68" t="str">
            <v>herbicide2-1-22706</v>
          </cell>
          <cell r="F68">
            <v>0</v>
          </cell>
        </row>
        <row r="69">
          <cell r="E69" t="str">
            <v>herbicide2-2-22706</v>
          </cell>
          <cell r="F69">
            <v>0</v>
          </cell>
        </row>
        <row r="70">
          <cell r="E70" t="str">
            <v>herbicide2-3-22706</v>
          </cell>
          <cell r="F70">
            <v>0</v>
          </cell>
        </row>
        <row r="71">
          <cell r="E71" t="str">
            <v>herbicide2-4-22706</v>
          </cell>
          <cell r="F71">
            <v>19</v>
          </cell>
        </row>
        <row r="72">
          <cell r="E72" t="str">
            <v>herbicide2-5-22706</v>
          </cell>
          <cell r="F72">
            <v>0</v>
          </cell>
        </row>
        <row r="73">
          <cell r="E73" t="str">
            <v>herbicide2-6-22706</v>
          </cell>
          <cell r="F73">
            <v>0</v>
          </cell>
        </row>
        <row r="74">
          <cell r="E74" t="str">
            <v>herbicide2-7-22706</v>
          </cell>
          <cell r="F74">
            <v>0</v>
          </cell>
        </row>
        <row r="75">
          <cell r="E75" t="str">
            <v>herbicide2-8-22706</v>
          </cell>
          <cell r="F75">
            <v>0</v>
          </cell>
        </row>
        <row r="76">
          <cell r="E76" t="str">
            <v>herbicide2-9-22706</v>
          </cell>
          <cell r="F76">
            <v>0</v>
          </cell>
        </row>
        <row r="77">
          <cell r="E77" t="str">
            <v>insecticide1-1-22706</v>
          </cell>
          <cell r="F77">
            <v>0</v>
          </cell>
        </row>
        <row r="78">
          <cell r="E78" t="str">
            <v>insecticide1-2-22706</v>
          </cell>
          <cell r="F78">
            <v>0</v>
          </cell>
        </row>
        <row r="79">
          <cell r="E79" t="str">
            <v>insecticide1-3-22706</v>
          </cell>
          <cell r="F79">
            <v>0</v>
          </cell>
        </row>
        <row r="80">
          <cell r="E80" t="str">
            <v>insecticide1-4-22706</v>
          </cell>
          <cell r="F80">
            <v>0</v>
          </cell>
        </row>
        <row r="81">
          <cell r="E81" t="str">
            <v>insecticide2-1-22706</v>
          </cell>
          <cell r="F81">
            <v>0</v>
          </cell>
        </row>
        <row r="82">
          <cell r="E82" t="str">
            <v>insecticide2-2-22706</v>
          </cell>
          <cell r="F82">
            <v>0</v>
          </cell>
        </row>
        <row r="83">
          <cell r="E83" t="str">
            <v>insecticide2-3-22706</v>
          </cell>
          <cell r="F83">
            <v>0</v>
          </cell>
        </row>
        <row r="84">
          <cell r="E84" t="str">
            <v>insecticide2-4-22706</v>
          </cell>
          <cell r="F84">
            <v>0</v>
          </cell>
        </row>
        <row r="85">
          <cell r="E85" t="str">
            <v>insecticide2-5-22706</v>
          </cell>
          <cell r="F85">
            <v>0</v>
          </cell>
        </row>
        <row r="86">
          <cell r="E86" t="str">
            <v>labor-1-22706</v>
          </cell>
          <cell r="F86">
            <v>0.5</v>
          </cell>
        </row>
        <row r="87">
          <cell r="E87" t="str">
            <v>labor-2-22706</v>
          </cell>
          <cell r="F87">
            <v>12.5</v>
          </cell>
        </row>
        <row r="88">
          <cell r="E88" t="str">
            <v>labor-3-22706</v>
          </cell>
          <cell r="F88">
            <v>18</v>
          </cell>
        </row>
        <row r="89">
          <cell r="E89" t="str">
            <v>irrigation1-1-22706</v>
          </cell>
          <cell r="F89">
            <v>0</v>
          </cell>
        </row>
        <row r="90">
          <cell r="E90" t="str">
            <v>irrigation1-2-22706</v>
          </cell>
          <cell r="F90">
            <v>0</v>
          </cell>
        </row>
        <row r="91">
          <cell r="E91" t="str">
            <v>irrigation1-3-22706</v>
          </cell>
          <cell r="F91">
            <v>0</v>
          </cell>
        </row>
        <row r="92">
          <cell r="E92" t="str">
            <v>land-1-22706</v>
          </cell>
          <cell r="F92">
            <v>3600</v>
          </cell>
        </row>
        <row r="93">
          <cell r="E93" t="str">
            <v>land-2-22706</v>
          </cell>
          <cell r="F93">
            <v>5</v>
          </cell>
        </row>
        <row r="94">
          <cell r="E94" t="str">
            <v>land-3-22706</v>
          </cell>
          <cell r="F94">
            <v>0</v>
          </cell>
        </row>
        <row r="95">
          <cell r="E95" t="str">
            <v>land-3-9106</v>
          </cell>
          <cell r="F95">
            <v>0</v>
          </cell>
        </row>
        <row r="96">
          <cell r="E96" t="str">
            <v>land-4-22706</v>
          </cell>
          <cell r="F96">
            <v>0</v>
          </cell>
        </row>
        <row r="97">
          <cell r="E97" t="str">
            <v>otheritems1-1-22706</v>
          </cell>
          <cell r="F97">
            <v>6</v>
          </cell>
        </row>
        <row r="98">
          <cell r="E98" t="str">
            <v>otheritems1-2-22706</v>
          </cell>
          <cell r="F98">
            <v>3.6</v>
          </cell>
        </row>
        <row r="99">
          <cell r="E99" t="str">
            <v>otheritems1-3-22706</v>
          </cell>
          <cell r="F99">
            <v>3.3</v>
          </cell>
        </row>
        <row r="100">
          <cell r="E100" t="str">
            <v>otheritems1-4-22706</v>
          </cell>
          <cell r="F100">
            <v>1</v>
          </cell>
        </row>
        <row r="101">
          <cell r="E101" t="str">
            <v>otheritems1-5-22706</v>
          </cell>
          <cell r="F101">
            <v>0</v>
          </cell>
        </row>
        <row r="102">
          <cell r="E102" t="str">
            <v>otheritems1-6-22706</v>
          </cell>
          <cell r="F102">
            <v>18</v>
          </cell>
        </row>
        <row r="103">
          <cell r="E103" t="str">
            <v>otheritems1-7-22706</v>
          </cell>
          <cell r="F103">
            <v>0</v>
          </cell>
        </row>
        <row r="104">
          <cell r="E104" t="str">
            <v>postharvest-1-22706</v>
          </cell>
          <cell r="F104">
            <v>0</v>
          </cell>
        </row>
        <row r="105">
          <cell r="E105" t="str">
            <v>postharvest-2-22706</v>
          </cell>
          <cell r="F105">
            <v>0</v>
          </cell>
        </row>
        <row r="106">
          <cell r="E106" t="str">
            <v>postharvest-3-22706</v>
          </cell>
          <cell r="F106">
            <v>0</v>
          </cell>
        </row>
        <row r="107">
          <cell r="E107" t="str">
            <v>postharvest-4-22706</v>
          </cell>
          <cell r="F107">
            <v>0</v>
          </cell>
        </row>
        <row r="108">
          <cell r="E108" t="str">
            <v>postharvest-5-22706</v>
          </cell>
          <cell r="F108">
            <v>0</v>
          </cell>
        </row>
        <row r="109">
          <cell r="E109" t="str">
            <v>postharvest-6-22706</v>
          </cell>
          <cell r="F109">
            <v>5</v>
          </cell>
        </row>
        <row r="110">
          <cell r="E110" t="str">
            <v>postharvest-7-22706</v>
          </cell>
          <cell r="F110">
            <v>0</v>
          </cell>
        </row>
        <row r="111">
          <cell r="E111" t="str">
            <v>postharvest-8-22706</v>
          </cell>
          <cell r="F111">
            <v>0</v>
          </cell>
        </row>
        <row r="112">
          <cell r="E112" t="str">
            <v>postharvest-9-22706</v>
          </cell>
          <cell r="F112">
            <v>0</v>
          </cell>
        </row>
        <row r="113">
          <cell r="E113" t="str">
            <v>postharvest-10-22706</v>
          </cell>
          <cell r="F113">
            <v>6800</v>
          </cell>
        </row>
        <row r="114">
          <cell r="E114" t="str">
            <v>overhead-1-22706</v>
          </cell>
          <cell r="F114">
            <v>0</v>
          </cell>
        </row>
        <row r="115">
          <cell r="E115" t="str">
            <v>overhead-2-22706</v>
          </cell>
          <cell r="F115">
            <v>0</v>
          </cell>
        </row>
        <row r="116">
          <cell r="E116" t="str">
            <v>overhead-3-22706</v>
          </cell>
          <cell r="F116">
            <v>8500</v>
          </cell>
        </row>
        <row r="117">
          <cell r="E117" t="str">
            <v>overhead-4-22706</v>
          </cell>
          <cell r="F117">
            <v>5</v>
          </cell>
        </row>
        <row r="118">
          <cell r="E118" t="str">
            <v>overhead-5-22706</v>
          </cell>
          <cell r="F118">
            <v>15000</v>
          </cell>
        </row>
        <row r="119">
          <cell r="E119" t="str">
            <v>overhead-6-22706</v>
          </cell>
          <cell r="F119">
            <v>5</v>
          </cell>
        </row>
        <row r="120">
          <cell r="E120" t="str">
            <v>landlord_share-1-22706</v>
          </cell>
          <cell r="F120">
            <v>0</v>
          </cell>
        </row>
        <row r="121">
          <cell r="E121" t="str">
            <v>landlord_share-2-22706</v>
          </cell>
          <cell r="F121">
            <v>0</v>
          </cell>
        </row>
        <row r="122">
          <cell r="E122" t="str">
            <v>landlord_share-3-22706</v>
          </cell>
          <cell r="F122">
            <v>0</v>
          </cell>
        </row>
        <row r="123">
          <cell r="E123" t="str">
            <v>landlord_share-4-22706</v>
          </cell>
          <cell r="F123">
            <v>0</v>
          </cell>
        </row>
        <row r="124">
          <cell r="E124" t="str">
            <v>landlord_share-5-22706</v>
          </cell>
          <cell r="F124">
            <v>0</v>
          </cell>
        </row>
        <row r="125">
          <cell r="E125" t="str">
            <v>landlord_share-6-22706</v>
          </cell>
          <cell r="F125">
            <v>0</v>
          </cell>
        </row>
        <row r="126">
          <cell r="E126" t="str">
            <v>landlord_share-7-22706</v>
          </cell>
          <cell r="F126">
            <v>0</v>
          </cell>
        </row>
        <row r="127">
          <cell r="E127" t="str">
            <v>landlord_share-8-22706</v>
          </cell>
          <cell r="F127">
            <v>0</v>
          </cell>
        </row>
        <row r="128">
          <cell r="E128" t="str">
            <v>landlord_share-9-22706</v>
          </cell>
          <cell r="F128">
            <v>0</v>
          </cell>
        </row>
        <row r="129">
          <cell r="E129" t="str">
            <v>landlord_share-10-22706</v>
          </cell>
          <cell r="F129">
            <v>0</v>
          </cell>
        </row>
        <row r="130">
          <cell r="E130" t="str">
            <v>landlord_share-11-22706</v>
          </cell>
          <cell r="F130">
            <v>0</v>
          </cell>
        </row>
        <row r="131">
          <cell r="E131" t="str">
            <v>customhire1-1-22706</v>
          </cell>
          <cell r="F131">
            <v>5.5</v>
          </cell>
        </row>
        <row r="132">
          <cell r="E132" t="str">
            <v>customhire1-2-22706</v>
          </cell>
          <cell r="F132">
            <v>0</v>
          </cell>
        </row>
        <row r="133">
          <cell r="E133" t="str">
            <v>customhire1-3-22706</v>
          </cell>
          <cell r="F133">
            <v>0</v>
          </cell>
        </row>
        <row r="134">
          <cell r="E134" t="str">
            <v>customhire1-4-22706</v>
          </cell>
          <cell r="F134">
            <v>0</v>
          </cell>
        </row>
        <row r="135">
          <cell r="E135" t="str">
            <v>customhire1-5-22706</v>
          </cell>
          <cell r="F135">
            <v>0</v>
          </cell>
        </row>
        <row r="136">
          <cell r="E136" t="str">
            <v>customhire1-6-22706</v>
          </cell>
          <cell r="F136">
            <v>0</v>
          </cell>
        </row>
        <row r="137">
          <cell r="E137" t="str">
            <v>customhire1-7-22706</v>
          </cell>
          <cell r="F137">
            <v>0</v>
          </cell>
        </row>
        <row r="138">
          <cell r="E138" t="str">
            <v>customhire1-8-22706</v>
          </cell>
          <cell r="F138">
            <v>0</v>
          </cell>
        </row>
        <row r="139">
          <cell r="E139" t="str">
            <v>customhire1-9-22706</v>
          </cell>
          <cell r="F139">
            <v>0</v>
          </cell>
        </row>
        <row r="140">
          <cell r="E140" t="str">
            <v>customhire1-10-22706</v>
          </cell>
          <cell r="F140">
            <v>0</v>
          </cell>
        </row>
        <row r="141">
          <cell r="E141" t="str">
            <v>customhire1-11-22706</v>
          </cell>
          <cell r="F141">
            <v>0</v>
          </cell>
        </row>
        <row r="142">
          <cell r="E142" t="str">
            <v>customhire1-12-22706</v>
          </cell>
          <cell r="F142">
            <v>0</v>
          </cell>
        </row>
        <row r="143">
          <cell r="E143" t="str">
            <v>customhire1-13-22706</v>
          </cell>
          <cell r="F143">
            <v>0</v>
          </cell>
        </row>
        <row r="144">
          <cell r="E144" t="str">
            <v>customhire2-1-22706</v>
          </cell>
          <cell r="F144">
            <v>2</v>
          </cell>
        </row>
        <row r="145">
          <cell r="E145" t="str">
            <v>customhire2-2-22706</v>
          </cell>
          <cell r="F145">
            <v>0</v>
          </cell>
        </row>
        <row r="146">
          <cell r="E146" t="str">
            <v>customhire2-3-22706</v>
          </cell>
          <cell r="F146">
            <v>0</v>
          </cell>
        </row>
        <row r="147">
          <cell r="E147" t="str">
            <v>customhire2-4-22706</v>
          </cell>
          <cell r="F147">
            <v>0</v>
          </cell>
        </row>
        <row r="148">
          <cell r="E148" t="str">
            <v>customhire2-5-22706</v>
          </cell>
          <cell r="F148">
            <v>0</v>
          </cell>
        </row>
        <row r="149">
          <cell r="E149" t="str">
            <v>customhire2-6-22706</v>
          </cell>
          <cell r="F149">
            <v>0</v>
          </cell>
        </row>
        <row r="150">
          <cell r="E150" t="str">
            <v>customhire2-7-22706</v>
          </cell>
          <cell r="F150">
            <v>0</v>
          </cell>
        </row>
        <row r="151">
          <cell r="E151" t="str">
            <v>customhire2-8-22706</v>
          </cell>
          <cell r="F151">
            <v>0</v>
          </cell>
        </row>
        <row r="152">
          <cell r="E152" t="str">
            <v>size-1-3806</v>
          </cell>
          <cell r="F152" t="str">
            <v>15 ft</v>
          </cell>
        </row>
        <row r="153">
          <cell r="E153" t="str">
            <v>size-2-3806</v>
          </cell>
          <cell r="F153" t="str">
            <v>16.3 ft</v>
          </cell>
        </row>
        <row r="154">
          <cell r="E154" t="str">
            <v>size-3-3806</v>
          </cell>
          <cell r="F154" t="str">
            <v>6 ft</v>
          </cell>
        </row>
        <row r="155">
          <cell r="E155" t="str">
            <v>size-4-3806</v>
          </cell>
          <cell r="F155" t="str">
            <v>35 ft</v>
          </cell>
        </row>
        <row r="156">
          <cell r="E156" t="str">
            <v>size-5-3806</v>
          </cell>
          <cell r="F156" t="str">
            <v>30 ft</v>
          </cell>
        </row>
        <row r="157">
          <cell r="E157" t="str">
            <v>size-6-3806</v>
          </cell>
          <cell r="F157" t="str">
            <v>30" O.C., 17 ft</v>
          </cell>
        </row>
        <row r="158">
          <cell r="E158" t="str">
            <v>size-7-3806</v>
          </cell>
          <cell r="F158" t="str">
            <v>16 ft</v>
          </cell>
        </row>
        <row r="159">
          <cell r="E159" t="str">
            <v>size-8-3806</v>
          </cell>
          <cell r="F159" t="str">
            <v>17.5 ft</v>
          </cell>
        </row>
        <row r="160">
          <cell r="E160" t="str">
            <v>size-9-3806</v>
          </cell>
          <cell r="F160" t="str">
            <v>22 ft</v>
          </cell>
        </row>
        <row r="161">
          <cell r="E161" t="str">
            <v>size-10-3806</v>
          </cell>
          <cell r="F161" t="str">
            <v>12 ft</v>
          </cell>
        </row>
        <row r="162">
          <cell r="E162" t="str">
            <v>size-11-3806</v>
          </cell>
          <cell r="F162" t="str">
            <v>6 row</v>
          </cell>
        </row>
        <row r="163">
          <cell r="E163" t="str">
            <v>size-12-3806</v>
          </cell>
          <cell r="F163" t="str">
            <v>(16/31 row 30/15")</v>
          </cell>
        </row>
        <row r="164">
          <cell r="E164" t="str">
            <v>size-13-3806</v>
          </cell>
          <cell r="F164" t="str">
            <v>6 row</v>
          </cell>
        </row>
        <row r="165">
          <cell r="E165" t="str">
            <v>size-14-3806</v>
          </cell>
          <cell r="F165" t="str">
            <v>16 ft</v>
          </cell>
        </row>
        <row r="166">
          <cell r="E166" t="str">
            <v>size-15-3806</v>
          </cell>
          <cell r="F166" t="str">
            <v>20 ft</v>
          </cell>
        </row>
        <row r="167">
          <cell r="E167" t="str">
            <v>size-16-3806</v>
          </cell>
          <cell r="F167" t="str">
            <v>6 row</v>
          </cell>
        </row>
        <row r="168">
          <cell r="E168" t="str">
            <v>size-17-3806</v>
          </cell>
          <cell r="F168" t="str">
            <v>6 row</v>
          </cell>
        </row>
        <row r="169">
          <cell r="E169" t="str">
            <v>size-18-3806</v>
          </cell>
          <cell r="F169" t="str">
            <v>30 ft</v>
          </cell>
        </row>
        <row r="170">
          <cell r="E170" t="str">
            <v>size-27-101707</v>
          </cell>
          <cell r="F170" t="str">
            <v>7 ft swath</v>
          </cell>
        </row>
        <row r="171">
          <cell r="E171" t="str">
            <v>size-19-3806</v>
          </cell>
          <cell r="F171" t="str">
            <v>6 ft</v>
          </cell>
        </row>
        <row r="172">
          <cell r="E172" t="str">
            <v>size-28-101707</v>
          </cell>
          <cell r="F172" t="str">
            <v>7 ft swath</v>
          </cell>
        </row>
        <row r="173">
          <cell r="E173" t="str">
            <v>size-25-101707</v>
          </cell>
          <cell r="F173" t="str">
            <v>10 wheel, 20 ft</v>
          </cell>
        </row>
        <row r="174">
          <cell r="E174" t="str">
            <v>size-26-101707</v>
          </cell>
          <cell r="F174" t="str">
            <v>9.5 ft</v>
          </cell>
        </row>
        <row r="175">
          <cell r="E175" t="str">
            <v>size-20-101707</v>
          </cell>
          <cell r="F175" t="str">
            <v>1000 lb</v>
          </cell>
        </row>
        <row r="176">
          <cell r="E176" t="str">
            <v>size-21-3806</v>
          </cell>
          <cell r="F176" t="str">
            <v>30 ft</v>
          </cell>
        </row>
        <row r="177">
          <cell r="E177" t="str">
            <v>size-22-3806</v>
          </cell>
          <cell r="F177" t="str">
            <v>30 ft</v>
          </cell>
        </row>
        <row r="178">
          <cell r="E178" t="str">
            <v>size-23-3806</v>
          </cell>
          <cell r="F178" t="str">
            <v>8 row</v>
          </cell>
        </row>
        <row r="179">
          <cell r="E179" t="str">
            <v>size-24-3806</v>
          </cell>
          <cell r="F179" t="str">
            <v>500 bushel</v>
          </cell>
        </row>
        <row r="180">
          <cell r="E180" t="str">
            <v>power-1-22706</v>
          </cell>
          <cell r="F180">
            <v>0</v>
          </cell>
        </row>
        <row r="181">
          <cell r="E181" t="str">
            <v>power-2-22706</v>
          </cell>
          <cell r="F181">
            <v>0</v>
          </cell>
        </row>
        <row r="182">
          <cell r="E182" t="str">
            <v>power-3-22706</v>
          </cell>
          <cell r="F182">
            <v>0</v>
          </cell>
        </row>
        <row r="183">
          <cell r="E183" t="str">
            <v>power-4-22706</v>
          </cell>
          <cell r="F183">
            <v>0</v>
          </cell>
        </row>
        <row r="184">
          <cell r="E184" t="str">
            <v>power-5-22706</v>
          </cell>
          <cell r="F184">
            <v>0</v>
          </cell>
        </row>
        <row r="185">
          <cell r="E185" t="str">
            <v>power-6-22706</v>
          </cell>
          <cell r="F185">
            <v>0</v>
          </cell>
        </row>
        <row r="186">
          <cell r="E186" t="str">
            <v>power-7-22706</v>
          </cell>
          <cell r="F186">
            <v>0</v>
          </cell>
        </row>
        <row r="187">
          <cell r="E187" t="str">
            <v>power-8-22706</v>
          </cell>
          <cell r="F187">
            <v>0</v>
          </cell>
        </row>
        <row r="188">
          <cell r="E188" t="str">
            <v>power-9-22706</v>
          </cell>
          <cell r="F188">
            <v>0</v>
          </cell>
        </row>
        <row r="189">
          <cell r="E189" t="str">
            <v>power-10-22706</v>
          </cell>
          <cell r="F189">
            <v>0</v>
          </cell>
        </row>
        <row r="190">
          <cell r="E190" t="str">
            <v>power-11-22706</v>
          </cell>
          <cell r="F190">
            <v>0</v>
          </cell>
        </row>
        <row r="191">
          <cell r="E191" t="str">
            <v>power-12-22706</v>
          </cell>
          <cell r="F191">
            <v>0</v>
          </cell>
        </row>
        <row r="192">
          <cell r="E192" t="str">
            <v>power-13-22706</v>
          </cell>
          <cell r="F192">
            <v>0</v>
          </cell>
        </row>
        <row r="193">
          <cell r="E193" t="str">
            <v>power-14-22706</v>
          </cell>
          <cell r="F193">
            <v>0</v>
          </cell>
        </row>
        <row r="194">
          <cell r="E194" t="str">
            <v>power-15-22706</v>
          </cell>
          <cell r="F194" t="str">
            <v>200 MFWD</v>
          </cell>
        </row>
        <row r="195">
          <cell r="E195" t="str">
            <v>power-16-22706</v>
          </cell>
          <cell r="F195">
            <v>0</v>
          </cell>
        </row>
        <row r="196">
          <cell r="E196" t="str">
            <v>power-17-22706</v>
          </cell>
          <cell r="F196">
            <v>0</v>
          </cell>
        </row>
        <row r="197">
          <cell r="E197" t="str">
            <v>power-18-22706</v>
          </cell>
          <cell r="F197">
            <v>0</v>
          </cell>
        </row>
        <row r="198">
          <cell r="E198" t="str">
            <v>power-19-22706</v>
          </cell>
          <cell r="F198">
            <v>0</v>
          </cell>
        </row>
        <row r="199">
          <cell r="E199" t="str">
            <v>power-20-22706</v>
          </cell>
          <cell r="F199" t="str">
            <v>130 MFWD</v>
          </cell>
        </row>
        <row r="200">
          <cell r="E200" t="str">
            <v>power-21-22706</v>
          </cell>
          <cell r="F200">
            <v>0</v>
          </cell>
        </row>
        <row r="201">
          <cell r="E201" t="str">
            <v>power-22-22706</v>
          </cell>
          <cell r="F201">
            <v>0</v>
          </cell>
        </row>
        <row r="202">
          <cell r="E202" t="str">
            <v>power-23-22706</v>
          </cell>
          <cell r="F202">
            <v>0</v>
          </cell>
        </row>
        <row r="203">
          <cell r="E203" t="str">
            <v>power-24-22706</v>
          </cell>
          <cell r="F203">
            <v>0</v>
          </cell>
        </row>
        <row r="204">
          <cell r="E204" t="str">
            <v>power-25-22706</v>
          </cell>
          <cell r="F204">
            <v>0</v>
          </cell>
        </row>
        <row r="205">
          <cell r="E205" t="str">
            <v>power-26-22706</v>
          </cell>
          <cell r="F205">
            <v>0</v>
          </cell>
        </row>
        <row r="206">
          <cell r="E206" t="str">
            <v>power-27-22706</v>
          </cell>
          <cell r="F206">
            <v>0</v>
          </cell>
        </row>
        <row r="207">
          <cell r="E207" t="str">
            <v>power-28-22706</v>
          </cell>
          <cell r="F207">
            <v>0</v>
          </cell>
        </row>
        <row r="208">
          <cell r="E208" t="str">
            <v>power-29-22706</v>
          </cell>
          <cell r="F208">
            <v>0</v>
          </cell>
        </row>
        <row r="209">
          <cell r="E209" t="str">
            <v>power-30-22706</v>
          </cell>
          <cell r="F209">
            <v>0</v>
          </cell>
        </row>
        <row r="210">
          <cell r="E210" t="str">
            <v>power-31-22706</v>
          </cell>
          <cell r="F210">
            <v>0</v>
          </cell>
        </row>
        <row r="211">
          <cell r="E211" t="str">
            <v>power-32-22706</v>
          </cell>
          <cell r="F211">
            <v>0</v>
          </cell>
        </row>
        <row r="212">
          <cell r="E212" t="str">
            <v>power-33-22706</v>
          </cell>
          <cell r="F212">
            <v>0</v>
          </cell>
        </row>
        <row r="213">
          <cell r="E213" t="str">
            <v>power-34-22706</v>
          </cell>
          <cell r="F213">
            <v>0</v>
          </cell>
        </row>
        <row r="214">
          <cell r="E214" t="str">
            <v>power-35-22706</v>
          </cell>
          <cell r="F214">
            <v>0</v>
          </cell>
        </row>
        <row r="215">
          <cell r="E215" t="str">
            <v>power-36-22706</v>
          </cell>
          <cell r="F215">
            <v>0</v>
          </cell>
        </row>
        <row r="216">
          <cell r="E216" t="str">
            <v>power-37-22706</v>
          </cell>
          <cell r="F216" t="str">
            <v>200 MFWD</v>
          </cell>
        </row>
        <row r="217">
          <cell r="E217" t="str">
            <v>power-38-22706</v>
          </cell>
          <cell r="F217" t="str">
            <v>130 MFWD</v>
          </cell>
        </row>
        <row r="218">
          <cell r="E218" t="str">
            <v>passes-1-22706</v>
          </cell>
          <cell r="F218">
            <v>0</v>
          </cell>
        </row>
        <row r="219">
          <cell r="E219" t="str">
            <v>passes-2-22706</v>
          </cell>
          <cell r="F219">
            <v>0</v>
          </cell>
        </row>
        <row r="220">
          <cell r="E220" t="str">
            <v>passes-3-22706</v>
          </cell>
          <cell r="F220">
            <v>0</v>
          </cell>
        </row>
        <row r="221">
          <cell r="E221" t="str">
            <v>passes-4-22706</v>
          </cell>
          <cell r="F221">
            <v>0</v>
          </cell>
        </row>
        <row r="222">
          <cell r="E222" t="str">
            <v>passes-5-22706</v>
          </cell>
          <cell r="F222">
            <v>0</v>
          </cell>
        </row>
        <row r="223">
          <cell r="E223" t="str">
            <v>passes-6-22706</v>
          </cell>
          <cell r="F223">
            <v>0</v>
          </cell>
        </row>
        <row r="224">
          <cell r="E224" t="str">
            <v>passes-7-22706</v>
          </cell>
          <cell r="F224">
            <v>0</v>
          </cell>
        </row>
        <row r="225">
          <cell r="E225" t="str">
            <v>passes-8-22706</v>
          </cell>
          <cell r="F225">
            <v>0</v>
          </cell>
        </row>
        <row r="226">
          <cell r="E226" t="str">
            <v>passes-9-22706</v>
          </cell>
          <cell r="F226">
            <v>0</v>
          </cell>
        </row>
        <row r="227">
          <cell r="E227" t="str">
            <v>passes-10-22706</v>
          </cell>
          <cell r="F227">
            <v>0</v>
          </cell>
        </row>
        <row r="228">
          <cell r="E228" t="str">
            <v>passes-11-22706</v>
          </cell>
          <cell r="F228">
            <v>0</v>
          </cell>
        </row>
        <row r="229">
          <cell r="E229" t="str">
            <v>passes-12-22706</v>
          </cell>
          <cell r="F229">
            <v>0</v>
          </cell>
        </row>
        <row r="230">
          <cell r="E230" t="str">
            <v>passes-13-22706</v>
          </cell>
          <cell r="F230">
            <v>0</v>
          </cell>
        </row>
        <row r="231">
          <cell r="E231" t="str">
            <v>passes-14-22706</v>
          </cell>
          <cell r="F231">
            <v>0</v>
          </cell>
        </row>
        <row r="232">
          <cell r="E232" t="str">
            <v>passes-15-22706</v>
          </cell>
          <cell r="F232">
            <v>1</v>
          </cell>
        </row>
        <row r="233">
          <cell r="E233" t="str">
            <v>passes-16-22706</v>
          </cell>
          <cell r="F233">
            <v>0</v>
          </cell>
        </row>
        <row r="234">
          <cell r="E234" t="str">
            <v>passes-17-22706</v>
          </cell>
          <cell r="F234">
            <v>0</v>
          </cell>
        </row>
        <row r="235">
          <cell r="E235" t="str">
            <v>passes-18-22706</v>
          </cell>
          <cell r="F235">
            <v>0</v>
          </cell>
        </row>
        <row r="236">
          <cell r="E236" t="str">
            <v>passes-19-22706</v>
          </cell>
          <cell r="F236">
            <v>0</v>
          </cell>
        </row>
        <row r="237">
          <cell r="E237" t="str">
            <v>passes-20-22706</v>
          </cell>
          <cell r="F237">
            <v>1</v>
          </cell>
        </row>
        <row r="238">
          <cell r="E238" t="str">
            <v>passes-21-22706</v>
          </cell>
          <cell r="F238">
            <v>0</v>
          </cell>
        </row>
        <row r="239">
          <cell r="E239" t="str">
            <v>passes-22-22706</v>
          </cell>
          <cell r="F239">
            <v>0</v>
          </cell>
        </row>
        <row r="240">
          <cell r="E240" t="str">
            <v>passes-23-22706</v>
          </cell>
          <cell r="F240">
            <v>0</v>
          </cell>
        </row>
        <row r="241">
          <cell r="E241" t="str">
            <v>passes-24-22706</v>
          </cell>
          <cell r="F241">
            <v>0</v>
          </cell>
        </row>
        <row r="242">
          <cell r="E242" t="str">
            <v>passes-25-22706</v>
          </cell>
          <cell r="F242">
            <v>0</v>
          </cell>
        </row>
        <row r="243">
          <cell r="E243" t="str">
            <v>passes-26-22706</v>
          </cell>
          <cell r="F243">
            <v>0</v>
          </cell>
        </row>
        <row r="244">
          <cell r="E244" t="str">
            <v>passes-27-22706</v>
          </cell>
          <cell r="F244">
            <v>0</v>
          </cell>
        </row>
        <row r="245">
          <cell r="E245" t="str">
            <v>passes-28-22706</v>
          </cell>
          <cell r="F245">
            <v>0</v>
          </cell>
        </row>
        <row r="246">
          <cell r="E246" t="str">
            <v>passes-29-22706</v>
          </cell>
          <cell r="F246">
            <v>0</v>
          </cell>
        </row>
        <row r="247">
          <cell r="E247" t="str">
            <v>passes-30-22706</v>
          </cell>
          <cell r="F247">
            <v>0</v>
          </cell>
        </row>
        <row r="248">
          <cell r="E248" t="str">
            <v>passes-31-22706</v>
          </cell>
          <cell r="F248">
            <v>0</v>
          </cell>
        </row>
        <row r="249">
          <cell r="E249" t="str">
            <v>passes-32-22706</v>
          </cell>
          <cell r="F249">
            <v>0</v>
          </cell>
        </row>
        <row r="250">
          <cell r="E250" t="str">
            <v>passes-33-22706</v>
          </cell>
          <cell r="F250">
            <v>0</v>
          </cell>
        </row>
        <row r="251">
          <cell r="E251" t="str">
            <v>passes-34-22706</v>
          </cell>
          <cell r="F251">
            <v>0</v>
          </cell>
        </row>
        <row r="252">
          <cell r="E252" t="str">
            <v>passes-35-22706</v>
          </cell>
          <cell r="F252">
            <v>0</v>
          </cell>
        </row>
        <row r="253">
          <cell r="E253" t="str">
            <v>passes-36-22706</v>
          </cell>
          <cell r="F253">
            <v>0</v>
          </cell>
        </row>
        <row r="254">
          <cell r="E254" t="str">
            <v>passes-37-22706</v>
          </cell>
          <cell r="F254">
            <v>0</v>
          </cell>
        </row>
        <row r="255">
          <cell r="E255" t="str">
            <v>passes-38-22706</v>
          </cell>
          <cell r="F255">
            <v>1</v>
          </cell>
        </row>
        <row r="256">
          <cell r="E256" t="str">
            <v>passes-39-22706</v>
          </cell>
          <cell r="F256">
            <v>0</v>
          </cell>
        </row>
        <row r="257">
          <cell r="E257" t="str">
            <v>passes-40-22706</v>
          </cell>
          <cell r="F257">
            <v>0</v>
          </cell>
        </row>
        <row r="258">
          <cell r="E258" t="str">
            <v>rent-1-82906</v>
          </cell>
          <cell r="F258">
            <v>0</v>
          </cell>
        </row>
        <row r="259">
          <cell r="E259" t="str">
            <v>rent-2-82906</v>
          </cell>
          <cell r="F259">
            <v>0</v>
          </cell>
        </row>
        <row r="260">
          <cell r="E260" t="str">
            <v>rent-3-82906</v>
          </cell>
          <cell r="F260">
            <v>0</v>
          </cell>
        </row>
        <row r="261">
          <cell r="E261" t="str">
            <v>rent-4-82906</v>
          </cell>
          <cell r="F261">
            <v>0</v>
          </cell>
        </row>
        <row r="262">
          <cell r="E262" t="str">
            <v>rent-5-82906</v>
          </cell>
          <cell r="F262">
            <v>0</v>
          </cell>
        </row>
        <row r="263">
          <cell r="E263" t="str">
            <v>rent-6-82906</v>
          </cell>
          <cell r="F263">
            <v>0</v>
          </cell>
        </row>
        <row r="264">
          <cell r="E264" t="str">
            <v>rent-7-82906</v>
          </cell>
          <cell r="F264">
            <v>0</v>
          </cell>
        </row>
        <row r="265">
          <cell r="E265" t="str">
            <v>rent-8-82906</v>
          </cell>
          <cell r="F265">
            <v>0</v>
          </cell>
        </row>
        <row r="266">
          <cell r="E266" t="str">
            <v>rent-9-82906</v>
          </cell>
          <cell r="F266">
            <v>0</v>
          </cell>
        </row>
        <row r="267">
          <cell r="E267" t="str">
            <v>rent-10-82906</v>
          </cell>
          <cell r="F267">
            <v>0</v>
          </cell>
        </row>
        <row r="268">
          <cell r="E268" t="str">
            <v>rent-11-82906</v>
          </cell>
          <cell r="F268">
            <v>0</v>
          </cell>
        </row>
        <row r="269">
          <cell r="E269" t="str">
            <v>rent-12-82906</v>
          </cell>
          <cell r="F269">
            <v>0</v>
          </cell>
        </row>
        <row r="270">
          <cell r="E270" t="str">
            <v>rent-13-82906</v>
          </cell>
          <cell r="F270">
            <v>0</v>
          </cell>
        </row>
        <row r="271">
          <cell r="E271" t="str">
            <v>rent-14-82906</v>
          </cell>
          <cell r="F271">
            <v>0</v>
          </cell>
        </row>
        <row r="272">
          <cell r="E272" t="str">
            <v>rent-15-82906</v>
          </cell>
          <cell r="F272">
            <v>0</v>
          </cell>
        </row>
        <row r="273">
          <cell r="E273" t="str">
            <v>rent-16-82906</v>
          </cell>
          <cell r="F273">
            <v>0</v>
          </cell>
        </row>
        <row r="274">
          <cell r="E274" t="str">
            <v>rent-17-82906</v>
          </cell>
          <cell r="F274">
            <v>0</v>
          </cell>
        </row>
        <row r="275">
          <cell r="E275" t="str">
            <v>rent-18-82906</v>
          </cell>
          <cell r="F275">
            <v>0</v>
          </cell>
        </row>
        <row r="276">
          <cell r="E276" t="str">
            <v>rent-19-82906</v>
          </cell>
          <cell r="F276">
            <v>0</v>
          </cell>
        </row>
        <row r="277">
          <cell r="E277" t="str">
            <v>rent-20-82906</v>
          </cell>
          <cell r="F277">
            <v>0</v>
          </cell>
        </row>
        <row r="278">
          <cell r="E278" t="str">
            <v>rent-21-82906</v>
          </cell>
          <cell r="F278">
            <v>0</v>
          </cell>
        </row>
        <row r="279">
          <cell r="E279" t="str">
            <v>rent-22-82906</v>
          </cell>
          <cell r="F279">
            <v>0</v>
          </cell>
        </row>
        <row r="280">
          <cell r="E280" t="str">
            <v>rent-23-82906</v>
          </cell>
          <cell r="F280">
            <v>0</v>
          </cell>
        </row>
        <row r="281">
          <cell r="E281" t="str">
            <v>rent-24-82906</v>
          </cell>
          <cell r="F281">
            <v>0</v>
          </cell>
        </row>
        <row r="282">
          <cell r="E282" t="str">
            <v>rent-25-82906</v>
          </cell>
          <cell r="F282">
            <v>0</v>
          </cell>
        </row>
        <row r="283">
          <cell r="E283" t="str">
            <v>rent-26-82906</v>
          </cell>
          <cell r="F283">
            <v>0</v>
          </cell>
        </row>
        <row r="284">
          <cell r="E284" t="str">
            <v>rent-27-82906</v>
          </cell>
          <cell r="F284">
            <v>0</v>
          </cell>
        </row>
        <row r="285">
          <cell r="E285" t="str">
            <v>rent-28-82906</v>
          </cell>
          <cell r="F285">
            <v>0</v>
          </cell>
        </row>
        <row r="286">
          <cell r="E286" t="str">
            <v>rent-29-82906</v>
          </cell>
          <cell r="F286">
            <v>0</v>
          </cell>
        </row>
        <row r="287">
          <cell r="E287" t="str">
            <v>rent-30-82906</v>
          </cell>
          <cell r="F287">
            <v>0</v>
          </cell>
        </row>
        <row r="288">
          <cell r="E288" t="str">
            <v>rent-31-82906</v>
          </cell>
          <cell r="F288">
            <v>0</v>
          </cell>
        </row>
        <row r="289">
          <cell r="E289" t="str">
            <v>rent-32-82906</v>
          </cell>
          <cell r="F289">
            <v>0</v>
          </cell>
        </row>
        <row r="290">
          <cell r="E290" t="str">
            <v>rent-33-82906</v>
          </cell>
          <cell r="F290">
            <v>0</v>
          </cell>
        </row>
        <row r="291">
          <cell r="E291" t="str">
            <v>rent-34-82906</v>
          </cell>
          <cell r="F291">
            <v>0</v>
          </cell>
        </row>
        <row r="292">
          <cell r="E292" t="str">
            <v>rent-35-82906</v>
          </cell>
          <cell r="F292">
            <v>0</v>
          </cell>
        </row>
        <row r="293">
          <cell r="E293" t="str">
            <v>rent-36-82906</v>
          </cell>
          <cell r="F293">
            <v>0</v>
          </cell>
        </row>
        <row r="294">
          <cell r="E294" t="str">
            <v>rent-37-82906</v>
          </cell>
          <cell r="F294">
            <v>0</v>
          </cell>
        </row>
        <row r="295">
          <cell r="E295" t="str">
            <v>rent-38-82906</v>
          </cell>
          <cell r="F295">
            <v>0</v>
          </cell>
        </row>
        <row r="296">
          <cell r="E296" t="str">
            <v>rent-39-82906</v>
          </cell>
          <cell r="F296">
            <v>0</v>
          </cell>
        </row>
        <row r="297">
          <cell r="E297" t="str">
            <v>rent-40-82906</v>
          </cell>
          <cell r="F297">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Hemp for Fiber"/>
      <sheetName val="Activity list"/>
      <sheetName val="Notes"/>
      <sheetName val="2022 Industrial Fiber Hemp Budg"/>
    </sheetNames>
    <sheetDataSet>
      <sheetData sheetId="0"/>
      <sheetData sheetId="1"/>
      <sheetData sheetId="2">
        <row r="4">
          <cell r="W4" t="str">
            <v>Implement</v>
          </cell>
          <cell r="X4" t="str">
            <v>Cost/unit</v>
          </cell>
          <cell r="Y4" t="str">
            <v>Unit</v>
          </cell>
          <cell r="Z4" t="str">
            <v>Hours/acre</v>
          </cell>
          <cell r="AA4" t="str">
            <v>Something Else</v>
          </cell>
        </row>
        <row r="5">
          <cell r="W5" t="str">
            <v>Moving Large Square Bales</v>
          </cell>
          <cell r="X5">
            <v>0.24</v>
          </cell>
          <cell r="Y5" t="str">
            <v>$/bale/loaded mile</v>
          </cell>
        </row>
        <row r="6">
          <cell r="W6" t="str">
            <v>Hauling Hay</v>
          </cell>
          <cell r="X6">
            <v>55</v>
          </cell>
        </row>
        <row r="7">
          <cell r="W7" t="str">
            <v>Fertilizer application</v>
          </cell>
          <cell r="X7">
            <v>6</v>
          </cell>
          <cell r="Y7" t="str">
            <v>acre</v>
          </cell>
        </row>
        <row r="8">
          <cell r="W8" t="str">
            <v>Drying Plant</v>
          </cell>
          <cell r="X8">
            <v>1</v>
          </cell>
        </row>
        <row r="9">
          <cell r="W9" t="str">
            <v>Hauling Grain to bin</v>
          </cell>
          <cell r="X9">
            <v>0.25</v>
          </cell>
          <cell r="Y9" t="str">
            <v>cwt hauled</v>
          </cell>
        </row>
        <row r="10">
          <cell r="W10" t="str">
            <v>Grain Drying</v>
          </cell>
          <cell r="X10">
            <v>0.12</v>
          </cell>
          <cell r="Y10" t="str">
            <v>cwt dried/% moisture</v>
          </cell>
        </row>
        <row r="11">
          <cell r="W11" t="str">
            <v>Hauling grain to market</v>
          </cell>
          <cell r="X11">
            <v>0.45</v>
          </cell>
          <cell r="Y11" t="str">
            <v>cwt hauled</v>
          </cell>
        </row>
        <row r="12">
          <cell r="W12" t="str">
            <v>Hauling hemp for CBD to processor</v>
          </cell>
          <cell r="X12">
            <v>0.2</v>
          </cell>
          <cell r="Y12" t="str">
            <v>$/cwt/loaded mile</v>
          </cell>
        </row>
        <row r="13">
          <cell r="W13" t="str">
            <v>Seed cleaning</v>
          </cell>
          <cell r="X13">
            <v>0.04</v>
          </cell>
          <cell r="Y13" t="str">
            <v>pound cleaned</v>
          </cell>
        </row>
        <row r="14">
          <cell r="W14" t="str">
            <v>Large Square bales</v>
          </cell>
          <cell r="X14">
            <v>20</v>
          </cell>
          <cell r="Y14" t="str">
            <v>one ton bale</v>
          </cell>
        </row>
      </sheetData>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Prices"/>
      <sheetName val="Feed"/>
      <sheetName val="Farrow-Finish"/>
      <sheetName val="Farrow-Wean"/>
      <sheetName val="Wean-Finish"/>
      <sheetName val="Nursery"/>
      <sheetName val="Finishing"/>
      <sheetName val="Feed (2)_IDOtherIngValues"/>
    </sheetNames>
    <sheetDataSet>
      <sheetData sheetId="0"/>
      <sheetData sheetId="1">
        <row r="1">
          <cell r="A1" t="str">
            <v>Current Prices</v>
          </cell>
        </row>
        <row r="2">
          <cell r="A2" t="str">
            <v>One Year Out Prices</v>
          </cell>
        </row>
        <row r="3">
          <cell r="A3" t="str">
            <v>Five Years Out Prices</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Aptos Blac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xtension.missouri.edu/publications/g689" TargetMode="External"/><Relationship Id="rId2" Type="http://schemas.openxmlformats.org/officeDocument/2006/relationships/hyperlink" Target="https://extension.missouri.edu/publications/g687" TargetMode="External"/><Relationship Id="rId1" Type="http://schemas.openxmlformats.org/officeDocument/2006/relationships/hyperlink" Target="https://extension.missouri.edu/publications/g688"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5D7AF-9953-4846-885A-563E8C6EFF79}">
  <dimension ref="A1:M36"/>
  <sheetViews>
    <sheetView showGridLines="0" tabSelected="1" zoomScale="130" zoomScaleNormal="130" workbookViewId="0"/>
  </sheetViews>
  <sheetFormatPr defaultColWidth="0" defaultRowHeight="16.5" customHeight="1" zeroHeight="1"/>
  <cols>
    <col min="1" max="1" width="3.125" style="28" customWidth="1"/>
    <col min="2" max="2" width="8.625" style="28" customWidth="1"/>
    <col min="3" max="3" width="100.625" style="28" customWidth="1"/>
    <col min="4" max="4" width="9" style="28" customWidth="1"/>
    <col min="5" max="5" width="3.125" style="28" customWidth="1"/>
    <col min="6" max="8" width="9" style="28" hidden="1" customWidth="1"/>
    <col min="9" max="13" width="0" style="28" hidden="1" customWidth="1"/>
    <col min="14" max="16384" width="9" style="28" hidden="1"/>
  </cols>
  <sheetData>
    <row r="1" spans="1:13" ht="12" customHeight="1" thickBot="1">
      <c r="A1" s="27"/>
      <c r="B1" s="27"/>
      <c r="C1" s="27"/>
      <c r="D1" s="27"/>
      <c r="E1" s="27"/>
      <c r="F1" s="27"/>
      <c r="G1" s="27"/>
      <c r="H1" s="27"/>
      <c r="I1" s="27"/>
      <c r="J1" s="27"/>
      <c r="K1" s="27"/>
      <c r="L1" s="27"/>
      <c r="M1" s="27"/>
    </row>
    <row r="2" spans="1:13" ht="21.75" customHeight="1" thickBot="1">
      <c r="A2" s="27"/>
      <c r="B2" s="222" t="s">
        <v>500</v>
      </c>
      <c r="C2" s="223"/>
      <c r="D2" s="224"/>
      <c r="E2" s="27"/>
      <c r="F2" s="27"/>
      <c r="G2" s="27"/>
      <c r="H2" s="27"/>
    </row>
    <row r="3" spans="1:13">
      <c r="A3" s="27"/>
      <c r="B3" s="225" t="s">
        <v>501</v>
      </c>
      <c r="C3" s="225"/>
      <c r="D3" s="225"/>
      <c r="E3" s="27"/>
      <c r="F3" s="27"/>
      <c r="G3" s="27"/>
      <c r="H3" s="27"/>
    </row>
    <row r="4" spans="1:13">
      <c r="A4" s="27"/>
      <c r="B4" s="226"/>
      <c r="C4" s="226"/>
      <c r="D4" s="226"/>
      <c r="E4" s="27"/>
      <c r="F4" s="27"/>
      <c r="G4" s="27"/>
      <c r="H4" s="27"/>
    </row>
    <row r="5" spans="1:13">
      <c r="A5" s="27"/>
      <c r="C5" s="30" t="s">
        <v>412</v>
      </c>
      <c r="D5" s="29"/>
      <c r="E5" s="27"/>
      <c r="F5" s="27"/>
      <c r="G5" s="27"/>
      <c r="H5" s="27"/>
    </row>
    <row r="6" spans="1:13">
      <c r="A6" s="27"/>
      <c r="C6" s="30" t="s">
        <v>575</v>
      </c>
      <c r="D6" s="29"/>
      <c r="E6" s="27"/>
      <c r="F6" s="27"/>
      <c r="G6" s="27"/>
      <c r="H6" s="27"/>
    </row>
    <row r="7" spans="1:13">
      <c r="A7" s="27"/>
      <c r="C7" s="30" t="s">
        <v>0</v>
      </c>
      <c r="D7" s="29"/>
      <c r="E7" s="27"/>
      <c r="F7" s="27"/>
      <c r="G7" s="27"/>
      <c r="H7" s="27"/>
    </row>
    <row r="8" spans="1:13">
      <c r="A8" s="27"/>
      <c r="B8" s="31"/>
      <c r="C8" s="1"/>
      <c r="D8" s="29"/>
      <c r="E8" s="27"/>
      <c r="F8" s="27"/>
      <c r="G8" s="27"/>
      <c r="H8" s="27"/>
    </row>
    <row r="9" spans="1:13" ht="95.25">
      <c r="A9" s="27"/>
      <c r="B9" s="31"/>
      <c r="C9" s="174" t="s">
        <v>507</v>
      </c>
      <c r="D9" s="29"/>
      <c r="E9" s="27"/>
      <c r="F9" s="27"/>
      <c r="G9" s="27"/>
      <c r="H9" s="27"/>
    </row>
    <row r="10" spans="1:13">
      <c r="A10" s="27"/>
      <c r="B10" s="31"/>
      <c r="C10" s="174"/>
      <c r="D10" s="29"/>
      <c r="E10" s="27"/>
      <c r="F10" s="27"/>
      <c r="G10" s="27"/>
      <c r="H10" s="27"/>
    </row>
    <row r="11" spans="1:13">
      <c r="A11" s="27"/>
      <c r="B11" s="31"/>
      <c r="C11" s="175" t="s">
        <v>502</v>
      </c>
      <c r="D11" s="29"/>
      <c r="E11" s="27"/>
      <c r="F11" s="27"/>
      <c r="G11" s="27"/>
      <c r="H11" s="27"/>
    </row>
    <row r="12" spans="1:13">
      <c r="A12" s="27"/>
      <c r="B12" s="31"/>
      <c r="C12" s="175" t="s">
        <v>503</v>
      </c>
      <c r="D12" s="29"/>
      <c r="E12" s="27"/>
      <c r="F12" s="27"/>
      <c r="G12" s="27"/>
      <c r="H12" s="27"/>
    </row>
    <row r="13" spans="1:13" ht="31.5">
      <c r="A13" s="27"/>
      <c r="B13" s="31"/>
      <c r="C13" s="175" t="s">
        <v>504</v>
      </c>
      <c r="D13" s="29"/>
      <c r="E13" s="27"/>
      <c r="F13" s="27"/>
      <c r="G13" s="27"/>
      <c r="H13" s="27"/>
    </row>
    <row r="14" spans="1:13" ht="33" customHeight="1">
      <c r="A14" s="27"/>
      <c r="B14" s="31"/>
      <c r="C14" s="174" t="s">
        <v>505</v>
      </c>
      <c r="D14" s="29"/>
      <c r="E14" s="27"/>
      <c r="F14" s="27"/>
      <c r="G14" s="27"/>
      <c r="H14" s="27"/>
    </row>
    <row r="15" spans="1:13" ht="31.5">
      <c r="A15" s="27"/>
      <c r="B15" s="31"/>
      <c r="C15" s="175" t="s">
        <v>506</v>
      </c>
      <c r="D15" s="29"/>
      <c r="E15" s="27"/>
      <c r="F15" s="27"/>
      <c r="G15" s="27"/>
      <c r="H15" s="27"/>
    </row>
    <row r="16" spans="1:13" ht="16.5" customHeight="1">
      <c r="A16" s="27"/>
      <c r="B16" s="29"/>
      <c r="C16" s="31"/>
      <c r="D16" s="29"/>
      <c r="E16" s="27"/>
      <c r="F16" s="27"/>
      <c r="G16" s="27"/>
      <c r="H16" s="27"/>
    </row>
    <row r="17" spans="1:8" ht="16.5" customHeight="1">
      <c r="A17" s="27"/>
      <c r="B17" s="176"/>
      <c r="C17" s="177" t="s">
        <v>508</v>
      </c>
      <c r="D17" s="176"/>
      <c r="E17" s="27"/>
      <c r="F17" s="27"/>
      <c r="G17" s="27"/>
      <c r="H17" s="27"/>
    </row>
    <row r="18" spans="1:8" ht="16.5" customHeight="1">
      <c r="A18" s="27"/>
      <c r="B18" s="32"/>
      <c r="C18" s="221" t="s">
        <v>518</v>
      </c>
      <c r="D18" s="221"/>
      <c r="E18" s="27"/>
      <c r="F18" s="27"/>
      <c r="G18" s="27"/>
      <c r="H18" s="27"/>
    </row>
    <row r="19" spans="1:8" ht="16.5" customHeight="1">
      <c r="A19" s="27"/>
      <c r="B19" s="32"/>
      <c r="C19" s="221" t="s">
        <v>509</v>
      </c>
      <c r="D19" s="221"/>
      <c r="E19" s="27"/>
      <c r="F19" s="27"/>
      <c r="G19" s="27"/>
      <c r="H19" s="27"/>
    </row>
    <row r="20" spans="1:8" ht="16.5" customHeight="1">
      <c r="A20" s="27"/>
      <c r="B20" s="32"/>
      <c r="C20" s="221" t="s">
        <v>510</v>
      </c>
      <c r="D20" s="221"/>
      <c r="E20" s="27"/>
      <c r="F20" s="27"/>
      <c r="G20" s="27"/>
      <c r="H20" s="27"/>
    </row>
    <row r="21" spans="1:8" ht="16.5" customHeight="1">
      <c r="A21" s="27"/>
      <c r="B21" s="33"/>
      <c r="C21" s="33"/>
      <c r="D21" s="29"/>
      <c r="E21" s="27"/>
      <c r="F21" s="27"/>
      <c r="G21" s="27"/>
      <c r="H21" s="27"/>
    </row>
    <row r="22" spans="1:8" ht="33" customHeight="1">
      <c r="A22" s="27"/>
      <c r="B22" s="178"/>
      <c r="C22" s="179" t="s">
        <v>517</v>
      </c>
      <c r="D22" s="178"/>
      <c r="E22" s="27"/>
      <c r="F22" s="27"/>
      <c r="G22" s="27"/>
      <c r="H22" s="27"/>
    </row>
    <row r="23" spans="1:8" ht="17.25" thickBot="1">
      <c r="A23" s="27"/>
      <c r="B23" s="27"/>
      <c r="C23" s="27"/>
      <c r="D23" s="27"/>
      <c r="E23" s="27"/>
      <c r="F23" s="27"/>
      <c r="G23" s="27"/>
      <c r="H23" s="27"/>
    </row>
    <row r="24" spans="1:8" ht="21" thickBot="1">
      <c r="A24" s="27"/>
      <c r="B24" s="219"/>
      <c r="C24" s="220"/>
      <c r="D24" s="220"/>
      <c r="E24" s="27"/>
      <c r="F24" s="27"/>
      <c r="G24" s="27"/>
      <c r="H24" s="27"/>
    </row>
    <row r="25" spans="1:8" hidden="1">
      <c r="A25" s="27"/>
      <c r="B25" s="27"/>
      <c r="C25" s="27"/>
      <c r="D25" s="27"/>
      <c r="E25" s="27"/>
      <c r="F25" s="27"/>
      <c r="G25" s="27"/>
      <c r="H25" s="27"/>
    </row>
    <row r="26" spans="1:8" hidden="1">
      <c r="A26" s="27"/>
      <c r="B26" s="27"/>
      <c r="C26" s="27"/>
      <c r="D26" s="27"/>
      <c r="E26" s="27"/>
      <c r="F26" s="27"/>
      <c r="G26" s="27"/>
      <c r="H26" s="27"/>
    </row>
    <row r="27" spans="1:8" hidden="1">
      <c r="A27" s="27"/>
      <c r="B27" s="27"/>
      <c r="C27" s="27"/>
      <c r="D27" s="27"/>
      <c r="E27" s="27"/>
      <c r="F27" s="27"/>
      <c r="G27" s="27"/>
      <c r="H27" s="27"/>
    </row>
    <row r="28" spans="1:8" hidden="1">
      <c r="A28" s="27"/>
      <c r="B28" s="27"/>
      <c r="C28" s="27"/>
      <c r="D28" s="27"/>
      <c r="E28" s="27"/>
      <c r="F28" s="27"/>
      <c r="G28" s="27"/>
      <c r="H28" s="27"/>
    </row>
    <row r="29" spans="1:8" hidden="1">
      <c r="A29" s="27"/>
      <c r="B29" s="27"/>
      <c r="C29" s="27"/>
      <c r="D29" s="27"/>
      <c r="E29" s="27"/>
      <c r="F29" s="27"/>
      <c r="G29" s="27"/>
      <c r="H29" s="27"/>
    </row>
    <row r="30" spans="1:8" hidden="1">
      <c r="A30" s="27"/>
      <c r="B30" s="27"/>
      <c r="C30" s="27"/>
      <c r="D30" s="27"/>
      <c r="E30" s="27"/>
      <c r="F30" s="27"/>
      <c r="G30" s="27"/>
      <c r="H30" s="27"/>
    </row>
    <row r="31" spans="1:8" hidden="1">
      <c r="A31" s="27"/>
      <c r="B31" s="27"/>
      <c r="C31" s="27"/>
      <c r="D31" s="27"/>
      <c r="E31" s="27"/>
      <c r="F31" s="27"/>
      <c r="G31" s="27"/>
      <c r="H31" s="27"/>
    </row>
    <row r="32" spans="1:8" hidden="1">
      <c r="A32" s="27"/>
      <c r="B32" s="27"/>
      <c r="C32" s="27"/>
      <c r="D32" s="27"/>
      <c r="E32" s="27"/>
      <c r="F32" s="27"/>
      <c r="G32" s="27"/>
      <c r="H32" s="27"/>
    </row>
    <row r="33" spans="1:8" hidden="1">
      <c r="A33" s="27"/>
      <c r="B33" s="27"/>
      <c r="C33" s="27"/>
      <c r="D33" s="27"/>
      <c r="E33" s="27"/>
      <c r="F33" s="27"/>
      <c r="G33" s="27"/>
      <c r="H33" s="27"/>
    </row>
    <row r="34" spans="1:8" hidden="1">
      <c r="A34" s="27"/>
    </row>
    <row r="35" spans="1:8" hidden="1">
      <c r="A35" s="27"/>
    </row>
    <row r="36" spans="1:8" hidden="1">
      <c r="A36" s="27"/>
    </row>
  </sheetData>
  <sheetProtection sheet="1" objects="1" scenarios="1"/>
  <mergeCells count="7">
    <mergeCell ref="B24:D24"/>
    <mergeCell ref="C18:D18"/>
    <mergeCell ref="C19:D19"/>
    <mergeCell ref="C20:D20"/>
    <mergeCell ref="B2:D2"/>
    <mergeCell ref="B3:D3"/>
    <mergeCell ref="B4:D4"/>
  </mergeCells>
  <hyperlinks>
    <hyperlink ref="C18:D18" r:id="rId1" display="MU Extension publication G688, Farrow-to-Finish Planning Budget (extension.missouri.edu/publications/g688)" xr:uid="{F873AC59-7689-4AE1-9F9F-DAE211F2FB9D}"/>
    <hyperlink ref="C19:D19" r:id="rId2" display="MU Extension publication G687, Feeder Pigs Planning Budget (extension.missouri.edu/publications/g687)" xr:uid="{878C70C9-CFBD-4E85-BD25-01C74E3AF51A}"/>
    <hyperlink ref="C20:D20" r:id="rId3" display="MU Extension publication G689, Hog Finishing Planning Budget (extension.missouri.edu/publications/g689)" xr:uid="{8D1EE32F-48F6-4948-AFFE-0D570AAFA0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3DC77-234D-4B02-8F54-142F60E069FE}">
  <dimension ref="A1:L70"/>
  <sheetViews>
    <sheetView showGridLines="0" zoomScaleNormal="100" workbookViewId="0">
      <selection activeCell="J30" sqref="J30"/>
    </sheetView>
  </sheetViews>
  <sheetFormatPr defaultColWidth="0" defaultRowHeight="15" zeroHeight="1"/>
  <cols>
    <col min="1" max="1" width="3.125" customWidth="1"/>
    <col min="2" max="2" width="25.875" customWidth="1"/>
    <col min="3" max="3" width="14.75" customWidth="1"/>
    <col min="4" max="4" width="8.25" customWidth="1"/>
    <col min="5" max="5" width="3.625" customWidth="1"/>
    <col min="6" max="6" width="36.125" customWidth="1"/>
    <col min="7" max="7" width="16.625" customWidth="1"/>
    <col min="8" max="8" width="11.25" customWidth="1"/>
    <col min="9" max="9" width="16.875" customWidth="1"/>
    <col min="10" max="10" width="17.375" customWidth="1"/>
    <col min="11" max="11" width="16.125" customWidth="1"/>
    <col min="12" max="12" width="3.125" customWidth="1"/>
    <col min="13" max="16384" width="9" hidden="1"/>
  </cols>
  <sheetData>
    <row r="1" spans="1:12" ht="21.75" thickBot="1">
      <c r="A1" s="17"/>
      <c r="B1" s="108" t="s">
        <v>414</v>
      </c>
      <c r="C1" s="109"/>
      <c r="D1" s="109"/>
      <c r="E1" s="141"/>
      <c r="F1" s="142"/>
      <c r="G1" s="142"/>
      <c r="H1" s="142"/>
      <c r="I1" s="142"/>
      <c r="J1" s="142"/>
      <c r="K1" s="143"/>
      <c r="L1" s="17"/>
    </row>
    <row r="2" spans="1:12">
      <c r="A2" s="17"/>
      <c r="B2" s="17"/>
      <c r="C2" s="17"/>
      <c r="D2" s="17"/>
      <c r="E2" s="17"/>
      <c r="F2" s="17"/>
      <c r="G2" s="17"/>
      <c r="H2" s="17"/>
      <c r="I2" s="17"/>
      <c r="J2" s="17"/>
      <c r="K2" s="17"/>
      <c r="L2" s="17"/>
    </row>
    <row r="3" spans="1:12" ht="15.75">
      <c r="A3" s="17"/>
      <c r="B3" s="34" t="s">
        <v>1</v>
      </c>
      <c r="C3" s="110" t="s">
        <v>2</v>
      </c>
      <c r="D3" s="111" t="s">
        <v>3</v>
      </c>
      <c r="E3" s="112"/>
      <c r="F3" s="110" t="s">
        <v>4</v>
      </c>
      <c r="G3" s="110" t="s">
        <v>2</v>
      </c>
      <c r="H3" s="113" t="s">
        <v>5</v>
      </c>
      <c r="I3" s="113" t="s">
        <v>6</v>
      </c>
      <c r="J3" s="113" t="s">
        <v>7</v>
      </c>
      <c r="K3" s="113" t="s">
        <v>8</v>
      </c>
      <c r="L3" s="17"/>
    </row>
    <row r="4" spans="1:12" ht="15.75">
      <c r="A4" s="17"/>
      <c r="B4" s="114" t="s">
        <v>9</v>
      </c>
      <c r="C4" s="18" t="s">
        <v>421</v>
      </c>
      <c r="D4" s="199">
        <v>2.2000000000000002</v>
      </c>
      <c r="E4" s="17"/>
      <c r="F4" s="149" t="s">
        <v>459</v>
      </c>
      <c r="G4" s="18" t="s">
        <v>484</v>
      </c>
      <c r="H4" s="75">
        <v>64</v>
      </c>
      <c r="I4" s="115"/>
      <c r="J4" s="17"/>
      <c r="K4" s="17"/>
      <c r="L4" s="17"/>
    </row>
    <row r="5" spans="1:12" ht="15.75">
      <c r="A5" s="17"/>
      <c r="B5" s="114" t="s">
        <v>11</v>
      </c>
      <c r="C5" s="18" t="s">
        <v>422</v>
      </c>
      <c r="D5" s="199">
        <v>11.75</v>
      </c>
      <c r="E5" s="17"/>
      <c r="F5" s="149" t="s">
        <v>467</v>
      </c>
      <c r="G5" s="18" t="s">
        <v>481</v>
      </c>
      <c r="H5" s="75">
        <v>55.89</v>
      </c>
      <c r="I5" s="115"/>
      <c r="J5" s="17"/>
      <c r="K5" s="21"/>
      <c r="L5" s="17"/>
    </row>
    <row r="6" spans="1:12" ht="15.75">
      <c r="A6" s="17"/>
      <c r="B6" s="114" t="s">
        <v>13</v>
      </c>
      <c r="C6" s="18" t="s">
        <v>423</v>
      </c>
      <c r="D6" s="199">
        <v>3</v>
      </c>
      <c r="E6" s="17"/>
      <c r="F6" s="36" t="s">
        <v>460</v>
      </c>
      <c r="G6" s="19" t="s">
        <v>482</v>
      </c>
      <c r="H6" s="75">
        <v>110</v>
      </c>
      <c r="I6" s="115"/>
      <c r="J6" s="17"/>
      <c r="K6" s="21"/>
      <c r="L6" s="17"/>
    </row>
    <row r="7" spans="1:12" ht="15.75">
      <c r="A7" s="17"/>
      <c r="B7" s="114" t="s">
        <v>14</v>
      </c>
      <c r="C7" s="18" t="s">
        <v>424</v>
      </c>
      <c r="D7" s="116">
        <f>D5*D4</f>
        <v>25.85</v>
      </c>
      <c r="E7" s="17"/>
      <c r="F7" s="114" t="s">
        <v>24</v>
      </c>
      <c r="G7" s="20" t="s">
        <v>481</v>
      </c>
      <c r="H7" s="40">
        <f>Phogs*D16/100+H6</f>
        <v>289.2</v>
      </c>
      <c r="L7" s="17"/>
    </row>
    <row r="8" spans="1:12" ht="15.75">
      <c r="A8" s="17"/>
      <c r="B8" s="114" t="s">
        <v>16</v>
      </c>
      <c r="C8" s="17"/>
      <c r="D8" s="114"/>
      <c r="E8" s="17"/>
      <c r="F8" s="35" t="s">
        <v>511</v>
      </c>
      <c r="H8" s="38">
        <v>0.98</v>
      </c>
      <c r="L8" s="17"/>
    </row>
    <row r="9" spans="1:12" ht="15.75">
      <c r="A9" s="17"/>
      <c r="B9" s="35" t="s">
        <v>417</v>
      </c>
      <c r="C9" s="18" t="s">
        <v>485</v>
      </c>
      <c r="D9" s="38">
        <v>0.08</v>
      </c>
      <c r="E9" s="117"/>
      <c r="F9" s="114" t="s">
        <v>25</v>
      </c>
      <c r="G9" s="18" t="s">
        <v>484</v>
      </c>
      <c r="H9" s="40">
        <f>H8*H4</f>
        <v>62.72</v>
      </c>
      <c r="L9" s="17"/>
    </row>
    <row r="10" spans="1:12" ht="15.75">
      <c r="A10" s="17"/>
      <c r="B10" s="35" t="s">
        <v>418</v>
      </c>
      <c r="C10" s="18" t="s">
        <v>485</v>
      </c>
      <c r="D10" s="38">
        <v>0.08</v>
      </c>
      <c r="E10" s="17"/>
      <c r="L10" s="17"/>
    </row>
    <row r="11" spans="1:12" ht="15.75">
      <c r="A11" s="17"/>
      <c r="B11" s="35" t="s">
        <v>419</v>
      </c>
      <c r="C11" s="18" t="s">
        <v>485</v>
      </c>
      <c r="D11" s="198">
        <v>0.04</v>
      </c>
      <c r="E11" s="117"/>
      <c r="F11" s="36" t="s">
        <v>10</v>
      </c>
      <c r="G11" s="19" t="s">
        <v>483</v>
      </c>
      <c r="H11" s="75">
        <v>5.05</v>
      </c>
      <c r="I11" s="115"/>
      <c r="J11" s="17"/>
      <c r="K11" s="21"/>
      <c r="L11" s="17"/>
    </row>
    <row r="12" spans="1:12" ht="15.75">
      <c r="A12" s="17"/>
      <c r="B12" s="35" t="s">
        <v>420</v>
      </c>
      <c r="C12" s="18" t="s">
        <v>485</v>
      </c>
      <c r="D12" s="198">
        <v>0.04</v>
      </c>
      <c r="E12" s="117"/>
      <c r="F12" s="35" t="s">
        <v>12</v>
      </c>
      <c r="G12" s="20" t="s">
        <v>473</v>
      </c>
      <c r="H12" s="75">
        <v>385</v>
      </c>
      <c r="I12" s="115"/>
      <c r="J12" s="17"/>
      <c r="K12" s="21"/>
      <c r="L12" s="17"/>
    </row>
    <row r="13" spans="1:12" ht="15.75">
      <c r="A13" s="17"/>
      <c r="B13" s="114" t="s">
        <v>20</v>
      </c>
      <c r="C13" s="17"/>
      <c r="D13" s="114"/>
      <c r="E13" s="17"/>
      <c r="F13" s="35" t="s">
        <v>409</v>
      </c>
      <c r="G13" s="20" t="s">
        <v>473</v>
      </c>
      <c r="H13" s="75">
        <v>190</v>
      </c>
      <c r="I13" s="115"/>
      <c r="J13" s="17"/>
      <c r="K13" s="21"/>
      <c r="L13" s="17"/>
    </row>
    <row r="14" spans="1:12" ht="15.75">
      <c r="A14" s="17"/>
      <c r="B14" s="35" t="s">
        <v>21</v>
      </c>
      <c r="C14" s="18" t="s">
        <v>486</v>
      </c>
      <c r="D14" s="37">
        <v>50</v>
      </c>
      <c r="E14" s="115"/>
      <c r="F14" s="35" t="s">
        <v>15</v>
      </c>
      <c r="G14" s="17"/>
      <c r="H14" s="40"/>
      <c r="I14" s="115"/>
      <c r="J14" s="17"/>
      <c r="K14" s="21"/>
      <c r="L14" s="17"/>
    </row>
    <row r="15" spans="1:12" ht="15.75">
      <c r="A15" s="17"/>
      <c r="B15" s="35" t="s">
        <v>23</v>
      </c>
      <c r="C15" s="18" t="s">
        <v>486</v>
      </c>
      <c r="D15" s="37">
        <v>280</v>
      </c>
      <c r="E15" s="115"/>
      <c r="F15" s="35" t="s">
        <v>427</v>
      </c>
      <c r="G15" s="20" t="s">
        <v>474</v>
      </c>
      <c r="H15" s="75">
        <v>0.55000000000000004</v>
      </c>
      <c r="I15" s="115"/>
      <c r="J15" s="17"/>
      <c r="K15" s="21"/>
      <c r="L15" s="17"/>
    </row>
    <row r="16" spans="1:12" ht="15.75">
      <c r="A16" s="17"/>
      <c r="B16" s="35" t="s">
        <v>415</v>
      </c>
      <c r="C16" s="18" t="s">
        <v>486</v>
      </c>
      <c r="D16" s="37">
        <v>280</v>
      </c>
      <c r="E16" s="115"/>
      <c r="F16" s="35" t="s">
        <v>428</v>
      </c>
      <c r="G16" s="20" t="s">
        <v>474</v>
      </c>
      <c r="H16" s="75">
        <v>0.45</v>
      </c>
      <c r="I16" s="115"/>
      <c r="J16" s="17"/>
      <c r="K16" s="21"/>
      <c r="L16" s="17"/>
    </row>
    <row r="17" spans="1:12" ht="15.75">
      <c r="A17" s="17"/>
      <c r="B17" s="35" t="s">
        <v>416</v>
      </c>
      <c r="C17" s="18" t="s">
        <v>486</v>
      </c>
      <c r="D17" s="37">
        <v>400</v>
      </c>
      <c r="E17" s="115"/>
      <c r="F17" s="35" t="s">
        <v>17</v>
      </c>
      <c r="G17" s="20" t="s">
        <v>474</v>
      </c>
      <c r="H17" s="75">
        <v>0.5</v>
      </c>
      <c r="I17" s="17"/>
      <c r="J17" s="17"/>
      <c r="K17" s="21"/>
      <c r="L17" s="17"/>
    </row>
    <row r="18" spans="1:12" ht="15.75">
      <c r="A18" s="17"/>
      <c r="B18" s="36" t="s">
        <v>19</v>
      </c>
      <c r="C18" s="17"/>
      <c r="D18" s="36"/>
      <c r="E18" s="17"/>
      <c r="F18" s="35" t="s">
        <v>18</v>
      </c>
      <c r="G18" s="20" t="s">
        <v>473</v>
      </c>
      <c r="H18" s="75">
        <v>20</v>
      </c>
      <c r="I18" s="115"/>
      <c r="J18" s="17"/>
      <c r="K18" s="21"/>
      <c r="L18" s="17"/>
    </row>
    <row r="19" spans="1:12" ht="15.75">
      <c r="A19" s="17"/>
      <c r="B19" s="35" t="s">
        <v>489</v>
      </c>
      <c r="C19" s="19" t="s">
        <v>487</v>
      </c>
      <c r="D19" s="39">
        <v>3</v>
      </c>
      <c r="E19" s="17"/>
      <c r="F19" s="36" t="s">
        <v>19</v>
      </c>
      <c r="G19" s="20" t="s">
        <v>475</v>
      </c>
      <c r="H19" s="75">
        <v>23.5</v>
      </c>
      <c r="I19" s="40"/>
      <c r="J19" s="17"/>
      <c r="K19" s="21"/>
      <c r="L19" s="17"/>
    </row>
    <row r="20" spans="1:12" ht="15.75">
      <c r="A20" s="17"/>
      <c r="B20" s="35" t="s">
        <v>490</v>
      </c>
      <c r="C20" s="19" t="s">
        <v>487</v>
      </c>
      <c r="D20" s="37">
        <v>2.75</v>
      </c>
      <c r="E20" s="115"/>
      <c r="F20" s="35" t="s">
        <v>43</v>
      </c>
      <c r="G20" s="20" t="s">
        <v>476</v>
      </c>
      <c r="H20" s="75">
        <v>13</v>
      </c>
      <c r="I20" s="18"/>
      <c r="J20" s="17"/>
      <c r="K20" s="118"/>
      <c r="L20" s="17"/>
    </row>
    <row r="21" spans="1:12" ht="15.75">
      <c r="A21" s="17"/>
      <c r="B21" s="157" t="s">
        <v>521</v>
      </c>
      <c r="C21" s="122" t="s">
        <v>488</v>
      </c>
      <c r="D21" s="106">
        <v>0.17</v>
      </c>
      <c r="E21" s="115"/>
      <c r="F21" s="35" t="s">
        <v>22</v>
      </c>
      <c r="G21" s="20" t="s">
        <v>425</v>
      </c>
      <c r="H21" s="155">
        <v>7.4999999999999997E-2</v>
      </c>
      <c r="I21" s="115"/>
      <c r="J21" s="119"/>
      <c r="K21" s="21"/>
      <c r="L21" s="17"/>
    </row>
    <row r="22" spans="1:12" ht="15.75">
      <c r="A22" s="17"/>
      <c r="B22" s="151"/>
      <c r="C22" s="151"/>
      <c r="D22" s="151"/>
      <c r="E22" s="17"/>
      <c r="F22" s="35" t="s">
        <v>516</v>
      </c>
      <c r="G22" s="20" t="s">
        <v>425</v>
      </c>
      <c r="H22" s="155">
        <v>7.0000000000000007E-2</v>
      </c>
      <c r="L22" s="17"/>
    </row>
    <row r="23" spans="1:12" ht="15.75">
      <c r="A23" s="17"/>
      <c r="B23" s="156" t="s">
        <v>28</v>
      </c>
      <c r="C23" s="156"/>
      <c r="D23" s="156"/>
      <c r="E23" s="17"/>
      <c r="F23" s="36" t="s">
        <v>26</v>
      </c>
      <c r="G23" s="20" t="s">
        <v>477</v>
      </c>
      <c r="H23" s="36"/>
      <c r="I23" s="75">
        <v>12.678870532642666</v>
      </c>
      <c r="J23" s="75">
        <v>3.7171507499999996</v>
      </c>
      <c r="K23" s="75">
        <v>3.8564099999999994</v>
      </c>
      <c r="L23" s="17"/>
    </row>
    <row r="24" spans="1:12" ht="15.75">
      <c r="A24" s="17"/>
      <c r="B24" s="152" t="s">
        <v>471</v>
      </c>
      <c r="C24" s="153" t="s">
        <v>472</v>
      </c>
      <c r="D24" s="161">
        <v>2000</v>
      </c>
      <c r="E24" s="17"/>
      <c r="F24" s="120" t="s">
        <v>27</v>
      </c>
      <c r="G24" s="20" t="s">
        <v>477</v>
      </c>
      <c r="H24" s="120"/>
      <c r="I24" s="75">
        <v>4.666347196034466</v>
      </c>
      <c r="J24" s="75">
        <v>2.8708829999999996</v>
      </c>
      <c r="K24" s="75">
        <v>1.8103702499999996</v>
      </c>
      <c r="L24" s="17"/>
    </row>
    <row r="25" spans="1:12" ht="15.75">
      <c r="A25" s="17"/>
      <c r="B25" s="121" t="s">
        <v>10</v>
      </c>
      <c r="C25" s="150" t="s">
        <v>455</v>
      </c>
      <c r="D25" s="106">
        <v>56</v>
      </c>
      <c r="E25" s="17"/>
      <c r="F25" s="35" t="s">
        <v>564</v>
      </c>
      <c r="G25" s="20" t="s">
        <v>477</v>
      </c>
      <c r="H25" s="35"/>
      <c r="I25" s="75">
        <v>4.4441401866994914</v>
      </c>
      <c r="J25" s="75">
        <v>3.1386892499999992</v>
      </c>
      <c r="K25" s="75">
        <v>3.0529912499999998</v>
      </c>
      <c r="L25" s="17"/>
    </row>
    <row r="26" spans="1:12" ht="15.75">
      <c r="A26" s="17"/>
      <c r="B26" s="197" t="s">
        <v>468</v>
      </c>
      <c r="C26" s="1"/>
      <c r="D26" s="2"/>
      <c r="E26" s="17"/>
      <c r="F26" s="35" t="s">
        <v>563</v>
      </c>
      <c r="G26" s="20" t="s">
        <v>477</v>
      </c>
      <c r="H26" s="35"/>
      <c r="I26" s="75">
        <v>3.7383061570472198</v>
      </c>
      <c r="J26" s="75">
        <v>3.0101422499999999</v>
      </c>
      <c r="K26" s="75">
        <v>1.7568089999999998</v>
      </c>
      <c r="L26" s="22"/>
    </row>
    <row r="27" spans="1:12" ht="15.75" customHeight="1">
      <c r="A27" s="17"/>
      <c r="B27" s="194" t="s">
        <v>459</v>
      </c>
      <c r="C27" s="153" t="s">
        <v>520</v>
      </c>
      <c r="D27" s="195">
        <v>2</v>
      </c>
      <c r="E27" s="17"/>
      <c r="F27" s="35" t="s">
        <v>570</v>
      </c>
      <c r="G27" s="20" t="s">
        <v>448</v>
      </c>
      <c r="I27" s="75">
        <v>2.2599999999999998</v>
      </c>
      <c r="J27" s="75">
        <v>1</v>
      </c>
      <c r="K27" s="75">
        <v>1.1599999999999999</v>
      </c>
      <c r="L27" s="22"/>
    </row>
    <row r="28" spans="1:12" ht="15.75">
      <c r="A28" s="17"/>
      <c r="B28" s="157" t="s">
        <v>469</v>
      </c>
      <c r="C28" s="150" t="s">
        <v>519</v>
      </c>
      <c r="D28" s="196">
        <v>0.5</v>
      </c>
      <c r="E28" s="17"/>
      <c r="F28" s="66" t="s">
        <v>571</v>
      </c>
      <c r="G28" s="192" t="s">
        <v>448</v>
      </c>
      <c r="H28" s="193"/>
      <c r="I28" s="154">
        <v>43.15</v>
      </c>
      <c r="J28" s="154">
        <v>17.93</v>
      </c>
      <c r="K28" s="154">
        <v>9.65</v>
      </c>
      <c r="L28" s="22"/>
    </row>
    <row r="29" spans="1:12">
      <c r="A29" s="17"/>
      <c r="E29" s="17"/>
      <c r="L29" s="22"/>
    </row>
    <row r="30" spans="1:12" ht="71.45" customHeight="1">
      <c r="B30" s="227" t="s">
        <v>493</v>
      </c>
      <c r="C30" s="227"/>
      <c r="D30" s="227"/>
      <c r="E30" s="227"/>
      <c r="F30" s="227"/>
      <c r="G30" s="227"/>
      <c r="H30" s="227"/>
      <c r="I30" s="17"/>
      <c r="J30" s="17"/>
      <c r="K30" s="17"/>
      <c r="L30" s="17"/>
    </row>
    <row r="31" spans="1:12" ht="15.75">
      <c r="B31" s="1" t="s">
        <v>496</v>
      </c>
      <c r="C31" s="2"/>
      <c r="D31" s="1"/>
      <c r="G31" s="2"/>
      <c r="H31" s="1"/>
    </row>
    <row r="32" spans="1:12" ht="15.75">
      <c r="B32" s="1" t="s">
        <v>463</v>
      </c>
    </row>
    <row r="33" spans="2:8" ht="15.75" customHeight="1">
      <c r="B33" s="123" t="s">
        <v>464</v>
      </c>
      <c r="C33" s="19" t="s">
        <v>478</v>
      </c>
      <c r="D33" s="146">
        <v>0.54</v>
      </c>
    </row>
    <row r="34" spans="2:8" ht="15.75" customHeight="1">
      <c r="B34" s="123" t="s">
        <v>466</v>
      </c>
      <c r="C34" s="17" t="s">
        <v>479</v>
      </c>
      <c r="D34" s="146">
        <v>0.67</v>
      </c>
    </row>
    <row r="35" spans="2:8" ht="15.75" customHeight="1">
      <c r="B35" s="147" t="s">
        <v>465</v>
      </c>
      <c r="C35" s="148" t="s">
        <v>480</v>
      </c>
      <c r="D35" s="146">
        <v>0.4</v>
      </c>
    </row>
    <row r="36" spans="2:8" ht="15.75" customHeight="1">
      <c r="B36" s="35" t="s">
        <v>461</v>
      </c>
      <c r="C36" s="20" t="s">
        <v>462</v>
      </c>
      <c r="D36" s="146">
        <v>18.149999999999999</v>
      </c>
    </row>
    <row r="38" spans="2:8" ht="15.75" hidden="1">
      <c r="G38" s="2"/>
      <c r="H38" s="1"/>
    </row>
    <row r="39" spans="2:8" ht="15.75" hidden="1">
      <c r="G39" s="2"/>
      <c r="H39" s="1"/>
    </row>
    <row r="40" spans="2:8" ht="15.75" hidden="1">
      <c r="G40" s="2"/>
      <c r="H40" s="1"/>
    </row>
    <row r="41" spans="2:8" ht="15.75" hidden="1">
      <c r="H41" s="1"/>
    </row>
    <row r="42" spans="2:8" ht="15.75" hidden="1">
      <c r="H42" s="1"/>
    </row>
    <row r="43" spans="2:8" ht="15.75" hidden="1">
      <c r="H43" s="1"/>
    </row>
    <row r="44" spans="2:8" ht="15.75" hidden="1">
      <c r="H44" s="1"/>
    </row>
    <row r="45" spans="2:8" ht="15.75" hidden="1">
      <c r="H45" s="1"/>
    </row>
    <row r="49" customFormat="1" hidden="1"/>
    <row r="50" customFormat="1" hidden="1"/>
    <row r="51" customFormat="1" hidden="1"/>
    <row r="52" customFormat="1" hidden="1"/>
    <row r="53" customFormat="1" hidden="1"/>
    <row r="54" customFormat="1" hidden="1"/>
    <row r="55" customFormat="1" hidden="1"/>
    <row r="56" customFormat="1" hidden="1"/>
    <row r="57" customFormat="1" hidden="1"/>
    <row r="58" customFormat="1" hidden="1"/>
    <row r="59" customFormat="1" hidden="1"/>
    <row r="60" customFormat="1" hidden="1"/>
    <row r="61" customFormat="1" hidden="1"/>
    <row r="62" customFormat="1" hidden="1"/>
    <row r="63" customFormat="1" hidden="1"/>
    <row r="64" customFormat="1" hidden="1"/>
    <row r="65" customFormat="1" hidden="1"/>
    <row r="66" customFormat="1" hidden="1"/>
    <row r="67" customFormat="1" hidden="1"/>
    <row r="68" customFormat="1" hidden="1"/>
    <row r="69" customFormat="1" hidden="1"/>
    <row r="70" customFormat="1" hidden="1"/>
  </sheetData>
  <sheetProtection sheet="1" objects="1" scenarios="1"/>
  <mergeCells count="1">
    <mergeCell ref="B30:H30"/>
  </mergeCells>
  <pageMargins left="0.25" right="0.25" top="0.75" bottom="0.75" header="0.3" footer="0.3"/>
  <pageSetup paperSize="6" scale="58" fitToHeight="0" orientation="landscape" r:id="rId1"/>
  <ignoredErrors>
    <ignoredError sqref="D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DB7F-3A7C-4575-9B85-9AC50387D477}">
  <dimension ref="A1:Q57"/>
  <sheetViews>
    <sheetView showGridLines="0" zoomScale="130" zoomScaleNormal="130" workbookViewId="0">
      <selection activeCell="M23" sqref="M23"/>
    </sheetView>
  </sheetViews>
  <sheetFormatPr defaultColWidth="0" defaultRowHeight="12.75" zeroHeight="1"/>
  <cols>
    <col min="1" max="1" width="3.125" style="3" customWidth="1"/>
    <col min="2" max="2" width="40.625" style="3" customWidth="1"/>
    <col min="3" max="3" width="15.375" style="3" customWidth="1"/>
    <col min="4" max="5" width="12.5" style="3" customWidth="1"/>
    <col min="6" max="6" width="11.625" style="3" customWidth="1"/>
    <col min="7" max="7" width="3.125" style="3" customWidth="1"/>
    <col min="8" max="8" width="2.625" style="3" customWidth="1"/>
    <col min="9" max="9" width="9" style="3" customWidth="1"/>
    <col min="10" max="10" width="4.125" style="3" customWidth="1"/>
    <col min="11" max="11" width="9.125" style="3" bestFit="1" customWidth="1"/>
    <col min="12" max="16" width="9.125" style="3" customWidth="1"/>
    <col min="17" max="17" width="3.75" style="3" customWidth="1"/>
    <col min="18" max="16384" width="9" style="3" hidden="1"/>
  </cols>
  <sheetData>
    <row r="1" spans="2:16" ht="20.25" customHeight="1">
      <c r="B1" s="228" t="s">
        <v>512</v>
      </c>
      <c r="C1" s="229"/>
      <c r="D1" s="229"/>
      <c r="E1" s="229"/>
      <c r="F1" s="229"/>
      <c r="G1" s="43"/>
      <c r="H1" s="42"/>
      <c r="I1" s="42"/>
      <c r="J1" s="162"/>
      <c r="K1" s="163" t="s">
        <v>494</v>
      </c>
      <c r="L1" s="36"/>
      <c r="M1" s="36"/>
      <c r="N1" s="36"/>
      <c r="O1" s="36"/>
      <c r="P1" s="36"/>
    </row>
    <row r="2" spans="2:16" ht="16.5" customHeight="1">
      <c r="B2" s="232"/>
      <c r="C2" s="232"/>
      <c r="D2" s="19"/>
      <c r="E2" s="21"/>
      <c r="F2" s="19"/>
      <c r="G2" s="19"/>
      <c r="I2" s="7"/>
      <c r="J2" s="36"/>
      <c r="K2" s="36"/>
      <c r="L2" s="214" t="s">
        <v>459</v>
      </c>
      <c r="M2" s="214"/>
      <c r="N2" s="214"/>
      <c r="O2" s="214"/>
      <c r="P2" s="214"/>
    </row>
    <row r="3" spans="2:16" ht="16.5" customHeight="1">
      <c r="B3" s="34" t="s">
        <v>30</v>
      </c>
      <c r="C3" s="34" t="s">
        <v>2</v>
      </c>
      <c r="D3" s="48" t="s">
        <v>29</v>
      </c>
      <c r="E3" s="49" t="s">
        <v>451</v>
      </c>
      <c r="F3" s="49" t="s">
        <v>452</v>
      </c>
      <c r="G3" s="44"/>
      <c r="I3" s="7"/>
      <c r="J3" s="36"/>
      <c r="K3" s="164"/>
      <c r="L3" s="165">
        <f>M3-Inputs!$D$27</f>
        <v>60</v>
      </c>
      <c r="M3" s="165">
        <f>N3-Inputs!$D$27</f>
        <v>62</v>
      </c>
      <c r="N3" s="165">
        <f>F41</f>
        <v>64</v>
      </c>
      <c r="O3" s="165">
        <f>N3+Inputs!$D$27</f>
        <v>66</v>
      </c>
      <c r="P3" s="166">
        <f>O3+Inputs!$D$27</f>
        <v>68</v>
      </c>
    </row>
    <row r="4" spans="2:16" ht="16.5" customHeight="1">
      <c r="B4" s="51" t="s">
        <v>31</v>
      </c>
      <c r="C4" s="18" t="s">
        <v>432</v>
      </c>
      <c r="D4" s="116">
        <f>Inputs!D7*(1-Inputs!D10)*Inputs!D15/100</f>
        <v>66.589600000000004</v>
      </c>
      <c r="E4" s="52">
        <f>F41</f>
        <v>64</v>
      </c>
      <c r="F4" s="52">
        <f>D4*E4</f>
        <v>4261.7344000000003</v>
      </c>
      <c r="G4" s="45"/>
      <c r="I4" s="5"/>
      <c r="J4" s="215" t="s">
        <v>469</v>
      </c>
      <c r="K4" s="167">
        <f>K5-Inputs!$D$28</f>
        <v>4.05</v>
      </c>
      <c r="L4" s="168">
        <f>ProfitFtF-$D$4*($F$41-L3)+$D$11*($F$46-$K4)/CornWt</f>
        <v>445.02147051583211</v>
      </c>
      <c r="M4" s="168">
        <f>ProfitFtF-$D$4*($F$41-M3)+$D$11*($F$46-$K4)/CornWt</f>
        <v>578.20067051583214</v>
      </c>
      <c r="N4" s="168">
        <f>ProfitFtF-$D$4*($F$41-N3)+$D$11*($F$46-$K4)/CornWt</f>
        <v>711.37987051583218</v>
      </c>
      <c r="O4" s="168">
        <f>ProfitFtF-$D$4*($F$41-O3)+$D$11*($F$46-$K4)/CornWt</f>
        <v>844.55907051583222</v>
      </c>
      <c r="P4" s="168">
        <f>ProfitFtF-$D$4*($F$41-P3)+$D$11*($F$46-$K4)/CornWt</f>
        <v>977.73827051583226</v>
      </c>
    </row>
    <row r="5" spans="2:16" ht="16.5" customHeight="1">
      <c r="B5" s="51" t="s">
        <v>33</v>
      </c>
      <c r="C5" s="18" t="s">
        <v>432</v>
      </c>
      <c r="D5" s="116">
        <f>D19*Inputs!D17/100*(1-Inputs!D9)</f>
        <v>2.698666666666667</v>
      </c>
      <c r="E5" s="52">
        <f>Inputs!H9</f>
        <v>62.72</v>
      </c>
      <c r="F5" s="52">
        <f>D5*E5</f>
        <v>169.26037333333335</v>
      </c>
      <c r="G5" s="45"/>
      <c r="I5" s="5"/>
      <c r="J5" s="215"/>
      <c r="K5" s="167">
        <f>K6-Inputs!$D$28</f>
        <v>4.55</v>
      </c>
      <c r="L5" s="168">
        <f>ProfitFtF-$D$4*($F$41-L3)+$D$11*($F$46-$K5)/CornWt</f>
        <v>329.84289908726072</v>
      </c>
      <c r="M5" s="168">
        <f>ProfitFtF-$D$4*($F$41-M3)+$D$11*($F$46-$K5)/CornWt</f>
        <v>463.0220990872607</v>
      </c>
      <c r="N5" s="168">
        <f>ProfitFtF-$D$4*($F$41-N3)+$D$11*($F$46-$K5)/CornWt</f>
        <v>596.20129908726074</v>
      </c>
      <c r="O5" s="168">
        <f>ProfitFtF-$D$4*($F$41-O3)+$D$11*($F$46-$K5)/CornWt</f>
        <v>729.38049908726077</v>
      </c>
      <c r="P5" s="168">
        <f>ProfitFtF-$D$4*($F$41-P3)+$D$11*($F$46-$K5)/CornWt</f>
        <v>862.55969908726081</v>
      </c>
    </row>
    <row r="6" spans="2:16" ht="16.5" customHeight="1">
      <c r="B6" s="53" t="s">
        <v>391</v>
      </c>
      <c r="C6" s="20" t="s">
        <v>394</v>
      </c>
      <c r="D6" s="160">
        <v>4.8</v>
      </c>
      <c r="E6" s="54">
        <v>18.579999999999998</v>
      </c>
      <c r="F6" s="124">
        <f>D6*E6</f>
        <v>89.183999999999983</v>
      </c>
      <c r="G6" s="45"/>
      <c r="I6" s="5"/>
      <c r="J6" s="215"/>
      <c r="K6" s="167">
        <f>F46</f>
        <v>5.05</v>
      </c>
      <c r="L6" s="168">
        <f>ProfitFtF-$D$4*($F$41-L3)+$D$11*($F$46-$K6)/CornWt</f>
        <v>214.66432765868927</v>
      </c>
      <c r="M6" s="168">
        <f>ProfitFtF-$D$4*($F$41-M3)+$D$11*($F$46-$K6)/CornWt</f>
        <v>347.84352765868925</v>
      </c>
      <c r="N6" s="168">
        <f>ProfitFtF-$D$4*($F$41-N3)+$D$11*($F$46-$K6)/CornWt</f>
        <v>481.02272765868929</v>
      </c>
      <c r="O6" s="168">
        <f>ProfitFtF-$D$4*($F$41-O3)+$D$11*($F$46-$K6)/CornWt</f>
        <v>614.20192765868933</v>
      </c>
      <c r="P6" s="168">
        <f>ProfitFtF-$D$4*($F$41-P3)+$D$11*($F$46-$K6)/CornWt</f>
        <v>747.38112765868937</v>
      </c>
    </row>
    <row r="7" spans="2:16" ht="16.5" customHeight="1">
      <c r="B7" s="50" t="s">
        <v>34</v>
      </c>
      <c r="C7" s="41"/>
      <c r="D7" s="55"/>
      <c r="F7" s="56">
        <f>SUM(F4:F6)</f>
        <v>4520.178773333334</v>
      </c>
      <c r="G7" s="45"/>
      <c r="I7" s="8"/>
      <c r="J7" s="215"/>
      <c r="K7" s="167">
        <f>K6+Inputs!$D$28</f>
        <v>5.55</v>
      </c>
      <c r="L7" s="168">
        <f>ProfitFtF-$D$4*($F$41-L3)+$D$11*($F$46-$K7)/CornWt</f>
        <v>99.485756230117843</v>
      </c>
      <c r="M7" s="168">
        <f>ProfitFtF-$D$4*($F$41-M3)+$D$11*($F$46-$K7)/CornWt</f>
        <v>232.66495623011781</v>
      </c>
      <c r="N7" s="168">
        <f>ProfitFtF-$D$4*($F$41-N3)+$D$11*($F$46-$K7)/CornWt</f>
        <v>365.84415623011785</v>
      </c>
      <c r="O7" s="168">
        <f>ProfitFtF-$D$4*($F$41-O3)+$D$11*($F$46-$K7)/CornWt</f>
        <v>499.02335623011788</v>
      </c>
      <c r="P7" s="168">
        <f>ProfitFtF-$D$4*($F$41-P3)+$D$11*($F$46-$K7)/CornWt</f>
        <v>632.20255623011792</v>
      </c>
    </row>
    <row r="8" spans="2:16" ht="16.5" customHeight="1">
      <c r="B8" s="35"/>
      <c r="C8" s="41"/>
      <c r="D8" s="55"/>
      <c r="E8" s="41"/>
      <c r="F8" s="41"/>
      <c r="G8" s="125"/>
      <c r="I8" s="8"/>
      <c r="J8" s="215"/>
      <c r="K8" s="169">
        <f>K7+Inputs!$D$28</f>
        <v>6.05</v>
      </c>
      <c r="L8" s="168">
        <f>ProfitFtF-$D$4*($F$41-L3)+$D$11*($F$46-$K8)/CornWt</f>
        <v>-15.692815198453587</v>
      </c>
      <c r="M8" s="168">
        <f>ProfitFtF-$D$4*($F$41-M3)+$D$11*($F$46-$K8)/CornWt</f>
        <v>117.48638480154639</v>
      </c>
      <c r="N8" s="168">
        <f>ProfitFtF-$D$4*($F$41-N3)+$D$11*($F$46-$K8)/CornWt</f>
        <v>250.66558480154643</v>
      </c>
      <c r="O8" s="168">
        <f>ProfitFtF-$D$4*($F$41-O3)+$D$11*($F$46-$K8)/CornWt</f>
        <v>383.84478480154644</v>
      </c>
      <c r="P8" s="168">
        <f>ProfitFtF-$D$4*($F$41-P3)+$D$11*($F$46-$K8)/CornWt</f>
        <v>517.02398480154648</v>
      </c>
    </row>
    <row r="9" spans="2:16" ht="16.5" customHeight="1">
      <c r="B9" s="57" t="s">
        <v>35</v>
      </c>
      <c r="C9" s="34" t="s">
        <v>2</v>
      </c>
      <c r="D9" s="48" t="s">
        <v>29</v>
      </c>
      <c r="E9" s="49" t="s">
        <v>451</v>
      </c>
      <c r="F9" s="49" t="s">
        <v>452</v>
      </c>
      <c r="G9" s="125"/>
      <c r="I9" s="5"/>
    </row>
    <row r="10" spans="2:16" ht="16.5" customHeight="1">
      <c r="B10" s="53" t="s">
        <v>36</v>
      </c>
      <c r="C10" s="41"/>
      <c r="D10" s="55"/>
      <c r="E10" s="40"/>
      <c r="F10" s="52">
        <f>SUMPRODUCT(E11:E16,D11:D16)</f>
        <v>1639.328271428571</v>
      </c>
      <c r="G10" s="45"/>
      <c r="I10" s="5"/>
    </row>
    <row r="11" spans="2:16" ht="16.5" customHeight="1">
      <c r="B11" s="58" t="s">
        <v>37</v>
      </c>
      <c r="C11" s="20" t="s">
        <v>433</v>
      </c>
      <c r="D11" s="59">
        <v>12900</v>
      </c>
      <c r="E11" s="173">
        <f>F46/Inputs!D25</f>
        <v>9.0178571428571427E-2</v>
      </c>
      <c r="F11" s="126"/>
      <c r="G11" s="45"/>
      <c r="I11" s="172"/>
      <c r="K11" s="181"/>
    </row>
    <row r="12" spans="2:16" ht="16.5" customHeight="1">
      <c r="B12" s="58" t="s">
        <v>38</v>
      </c>
      <c r="C12" s="20" t="s">
        <v>433</v>
      </c>
      <c r="D12" s="59">
        <v>1020</v>
      </c>
      <c r="E12" s="173">
        <f>Inputs!H12/Inputs!D24</f>
        <v>0.1925</v>
      </c>
      <c r="F12" s="126"/>
      <c r="G12" s="45"/>
      <c r="I12" s="172"/>
    </row>
    <row r="13" spans="2:16" ht="16.5" customHeight="1">
      <c r="B13" s="58" t="s">
        <v>402</v>
      </c>
      <c r="C13" s="20" t="s">
        <v>433</v>
      </c>
      <c r="D13" s="59">
        <v>300</v>
      </c>
      <c r="E13" s="173">
        <f>Inputs!H13/Inputs!D24</f>
        <v>9.5000000000000001E-2</v>
      </c>
      <c r="F13" s="126"/>
      <c r="G13" s="45"/>
      <c r="I13" s="172"/>
    </row>
    <row r="14" spans="2:16" ht="16.5" customHeight="1">
      <c r="B14" s="58" t="s">
        <v>39</v>
      </c>
      <c r="C14" s="20" t="s">
        <v>433</v>
      </c>
      <c r="D14" s="59">
        <v>150</v>
      </c>
      <c r="E14" s="173">
        <f>Inputs!H15</f>
        <v>0.55000000000000004</v>
      </c>
      <c r="F14" s="126"/>
      <c r="G14" s="45"/>
      <c r="I14" s="172"/>
    </row>
    <row r="15" spans="2:16" ht="16.5" customHeight="1">
      <c r="B15" s="58" t="s">
        <v>40</v>
      </c>
      <c r="C15" s="20" t="s">
        <v>433</v>
      </c>
      <c r="D15" s="59">
        <v>48.97</v>
      </c>
      <c r="E15" s="173">
        <f>Inputs!H17</f>
        <v>0.5</v>
      </c>
      <c r="F15" s="126"/>
      <c r="G15" s="45"/>
      <c r="I15" s="172"/>
    </row>
    <row r="16" spans="2:16" ht="16.5" customHeight="1">
      <c r="B16" s="58" t="s">
        <v>41</v>
      </c>
      <c r="C16" s="20" t="s">
        <v>434</v>
      </c>
      <c r="D16" s="127">
        <f>SUM(D11:D15)/Inputs!D24</f>
        <v>7.2094849999999999</v>
      </c>
      <c r="E16" s="74">
        <f>Inputs!H18</f>
        <v>20</v>
      </c>
      <c r="F16" s="126"/>
      <c r="G16" s="45"/>
      <c r="I16" s="172"/>
    </row>
    <row r="17" spans="2:14" ht="16.5" customHeight="1">
      <c r="B17" s="53" t="s">
        <v>19</v>
      </c>
      <c r="C17" s="20" t="s">
        <v>439</v>
      </c>
      <c r="D17" s="116">
        <f>Inputs!D19*Inputs!D4</f>
        <v>6.6000000000000005</v>
      </c>
      <c r="E17" s="74">
        <f>Inputs!H19</f>
        <v>23.5</v>
      </c>
      <c r="F17" s="52">
        <f t="shared" ref="F17" si="0">E17*D17</f>
        <v>155.10000000000002</v>
      </c>
      <c r="G17" s="45"/>
    </row>
    <row r="18" spans="2:14" ht="16.5" customHeight="1">
      <c r="B18" s="53" t="s">
        <v>42</v>
      </c>
      <c r="C18" s="20" t="s">
        <v>435</v>
      </c>
      <c r="D18" s="116">
        <f>D4</f>
        <v>66.589600000000004</v>
      </c>
      <c r="E18" s="74">
        <f>Inputs!J23</f>
        <v>3.7171507499999996</v>
      </c>
      <c r="F18" s="128">
        <f>E18*$D$18</f>
        <v>247.52358158219999</v>
      </c>
      <c r="G18" s="45"/>
      <c r="J18" s="9"/>
    </row>
    <row r="19" spans="2:14" ht="16.5" customHeight="1">
      <c r="B19" s="53" t="s">
        <v>375</v>
      </c>
      <c r="C19" s="20" t="s">
        <v>436</v>
      </c>
      <c r="D19" s="129">
        <f>Inputs!D4/Inputs!D6</f>
        <v>0.73333333333333339</v>
      </c>
      <c r="E19" s="74">
        <f>Inputs!H7</f>
        <v>289.2</v>
      </c>
      <c r="F19" s="52">
        <f>E19*D19</f>
        <v>212.08</v>
      </c>
      <c r="G19" s="45"/>
      <c r="J19" s="9"/>
      <c r="K19" s="10"/>
      <c r="N19" s="36"/>
    </row>
    <row r="20" spans="2:14" ht="16.5" customHeight="1">
      <c r="B20" s="53" t="s">
        <v>498</v>
      </c>
      <c r="C20" s="20" t="s">
        <v>437</v>
      </c>
      <c r="D20" s="116">
        <f>Inputs!D4</f>
        <v>2.2000000000000002</v>
      </c>
      <c r="E20" s="74">
        <f>IF(Inputs!J17&gt;0,Inputs!J17,Inputs!H20)</f>
        <v>13</v>
      </c>
      <c r="F20" s="52">
        <f>E20*D20</f>
        <v>28.6</v>
      </c>
      <c r="G20" s="47"/>
      <c r="J20" s="9"/>
      <c r="K20" s="10"/>
    </row>
    <row r="21" spans="2:14" ht="16.5" customHeight="1">
      <c r="B21" s="130" t="s">
        <v>44</v>
      </c>
      <c r="C21" s="20" t="s">
        <v>435</v>
      </c>
      <c r="D21" s="116">
        <f>D4</f>
        <v>66.589600000000004</v>
      </c>
      <c r="E21" s="74">
        <f>Inputs!J24</f>
        <v>2.8708829999999996</v>
      </c>
      <c r="F21" s="128">
        <f>E21*$D$4</f>
        <v>191.17095061679998</v>
      </c>
      <c r="G21" s="47"/>
      <c r="J21" s="9"/>
    </row>
    <row r="22" spans="2:14" ht="16.5" customHeight="1">
      <c r="B22" s="53" t="s">
        <v>45</v>
      </c>
      <c r="C22" s="20" t="s">
        <v>435</v>
      </c>
      <c r="D22" s="116">
        <f>D4</f>
        <v>66.589600000000004</v>
      </c>
      <c r="E22" s="74">
        <f>Inputs!J25</f>
        <v>3.1386892499999992</v>
      </c>
      <c r="F22" s="128">
        <f>E22*$D$4</f>
        <v>209.00406168179995</v>
      </c>
      <c r="G22" s="45"/>
      <c r="J22" s="9"/>
    </row>
    <row r="23" spans="2:14" ht="16.5" customHeight="1">
      <c r="B23" s="53" t="s">
        <v>46</v>
      </c>
      <c r="C23" s="20" t="s">
        <v>435</v>
      </c>
      <c r="D23" s="116">
        <f>D4</f>
        <v>66.589600000000004</v>
      </c>
      <c r="E23" s="74">
        <f>Inputs!J26</f>
        <v>3.0101422499999999</v>
      </c>
      <c r="F23" s="128">
        <f>E23*$D$4</f>
        <v>200.44416837060001</v>
      </c>
      <c r="G23" s="45"/>
      <c r="J23" s="9"/>
    </row>
    <row r="24" spans="2:14" ht="16.5" customHeight="1">
      <c r="B24" s="53" t="s">
        <v>22</v>
      </c>
      <c r="C24" s="20" t="s">
        <v>438</v>
      </c>
      <c r="D24" s="131">
        <v>6</v>
      </c>
      <c r="E24" s="61">
        <f>(1+Inputs!H21)^(1/12) - 1</f>
        <v>6.0449190242917172E-3</v>
      </c>
      <c r="F24" s="132">
        <f>SUM(F10:F23)*(1+E24)^D24 - SUM(F10:F23)</f>
        <v>106.1672646613406</v>
      </c>
      <c r="G24" s="45"/>
      <c r="I24" s="5"/>
    </row>
    <row r="25" spans="2:14" ht="16.5" customHeight="1">
      <c r="B25" s="50" t="s">
        <v>47</v>
      </c>
      <c r="C25" s="41"/>
      <c r="D25" s="55"/>
      <c r="F25" s="56">
        <f>SUM(F10:F24)</f>
        <v>2989.4182983413116</v>
      </c>
      <c r="G25" s="45"/>
      <c r="H25" s="11"/>
      <c r="I25" s="5"/>
    </row>
    <row r="26" spans="2:14" ht="16.5" customHeight="1">
      <c r="B26" s="35"/>
      <c r="C26" s="41"/>
      <c r="D26" s="55"/>
      <c r="E26" s="41"/>
      <c r="F26" s="35"/>
      <c r="G26" s="20"/>
      <c r="I26" s="8"/>
    </row>
    <row r="27" spans="2:14" ht="16.5" customHeight="1">
      <c r="B27" s="57" t="s">
        <v>48</v>
      </c>
      <c r="C27" s="34" t="s">
        <v>2</v>
      </c>
      <c r="D27" s="48" t="s">
        <v>29</v>
      </c>
      <c r="E27" s="49" t="s">
        <v>451</v>
      </c>
      <c r="F27" s="49" t="s">
        <v>452</v>
      </c>
      <c r="G27" s="133"/>
      <c r="I27" s="4"/>
    </row>
    <row r="28" spans="2:14" ht="16.5" customHeight="1">
      <c r="B28" s="53" t="s">
        <v>49</v>
      </c>
      <c r="C28" s="20" t="s">
        <v>448</v>
      </c>
      <c r="D28" s="116">
        <f>Inputs!D7*(1-Inputs!D10)*Inputs!D15/100-Inputs!D7*Inputs!D14/100+(1-D19)*D5</f>
        <v>54.384244444444448</v>
      </c>
      <c r="E28" s="52">
        <f>Inputs!J27</f>
        <v>1</v>
      </c>
      <c r="F28" s="128">
        <f>E28*$D$28</f>
        <v>54.384244444444448</v>
      </c>
      <c r="G28" s="45"/>
      <c r="I28" s="5"/>
      <c r="J28" s="9"/>
    </row>
    <row r="29" spans="2:14" ht="16.5" customHeight="1">
      <c r="B29" s="53" t="s">
        <v>572</v>
      </c>
      <c r="C29" s="20" t="s">
        <v>448</v>
      </c>
      <c r="D29" s="116">
        <f>Inputs!D7*(1-Inputs!D10)*Inputs!D15/100-Inputs!D7*Inputs!D14/100+(1-D19)*D5</f>
        <v>54.384244444444448</v>
      </c>
      <c r="E29" s="52">
        <f>Inputs!J28</f>
        <v>17.93</v>
      </c>
      <c r="F29" s="128">
        <f>E29*$D$29</f>
        <v>975.10950288888898</v>
      </c>
      <c r="G29" s="45"/>
      <c r="I29" s="5"/>
      <c r="J29" s="9"/>
    </row>
    <row r="30" spans="2:14" ht="16.5" customHeight="1">
      <c r="B30" s="53" t="s">
        <v>401</v>
      </c>
      <c r="C30" s="53"/>
      <c r="D30" s="53"/>
      <c r="E30" s="63"/>
      <c r="F30" s="132">
        <f>Inputs!H22*Inputs!H7</f>
        <v>20.244</v>
      </c>
      <c r="G30" s="45"/>
      <c r="I30" s="5"/>
    </row>
    <row r="31" spans="2:14" ht="16.5" customHeight="1">
      <c r="B31" s="50" t="s">
        <v>50</v>
      </c>
      <c r="C31" s="41"/>
      <c r="D31" s="36"/>
      <c r="F31" s="56">
        <f>SUM(F28:F30)</f>
        <v>1049.7377473333333</v>
      </c>
      <c r="G31" s="45"/>
      <c r="H31" s="11"/>
      <c r="I31" s="5"/>
    </row>
    <row r="32" spans="2:14" ht="16.5" customHeight="1">
      <c r="B32" s="134"/>
      <c r="C32" s="41"/>
      <c r="D32" s="36"/>
      <c r="E32" s="36"/>
      <c r="F32" s="56"/>
      <c r="G32" s="45"/>
      <c r="I32" s="5"/>
    </row>
    <row r="33" spans="2:9" ht="16.5" customHeight="1">
      <c r="B33" s="134" t="s">
        <v>51</v>
      </c>
      <c r="C33" s="41"/>
      <c r="D33" s="36"/>
      <c r="F33" s="56">
        <f>F31+F25</f>
        <v>4039.1560456746447</v>
      </c>
      <c r="G33" s="45"/>
      <c r="I33" s="5"/>
    </row>
    <row r="34" spans="2:9" ht="16.5" customHeight="1">
      <c r="B34" s="66"/>
      <c r="C34" s="67"/>
      <c r="D34" s="68"/>
      <c r="E34" s="67"/>
      <c r="F34" s="67"/>
      <c r="G34" s="45"/>
      <c r="I34" s="8"/>
    </row>
    <row r="35" spans="2:9" ht="16.5" customHeight="1">
      <c r="B35" s="135" t="s">
        <v>430</v>
      </c>
      <c r="C35" s="136"/>
      <c r="D35" s="36"/>
      <c r="E35" s="41"/>
      <c r="F35" s="56">
        <f>F7-F25</f>
        <v>1530.7604749920224</v>
      </c>
      <c r="G35" s="45"/>
      <c r="I35" s="5"/>
    </row>
    <row r="36" spans="2:9" ht="16.5" customHeight="1">
      <c r="B36" s="70" t="s">
        <v>431</v>
      </c>
      <c r="C36" s="137"/>
      <c r="D36" s="138"/>
      <c r="E36" s="67"/>
      <c r="F36" s="69">
        <f>F7-F33</f>
        <v>481.02272765868929</v>
      </c>
      <c r="G36" s="45"/>
      <c r="I36" s="5"/>
    </row>
    <row r="37" spans="2:9" ht="16.5" customHeight="1">
      <c r="B37" s="35"/>
      <c r="C37" s="41"/>
      <c r="D37" s="41"/>
      <c r="E37" s="41"/>
      <c r="F37" s="40"/>
      <c r="G37" s="118"/>
      <c r="I37" s="4"/>
    </row>
    <row r="38" spans="2:9" ht="16.5" customHeight="1">
      <c r="B38" s="23"/>
      <c r="C38" s="20"/>
      <c r="D38" s="20"/>
      <c r="E38" s="21"/>
      <c r="F38" s="24"/>
      <c r="G38" s="24"/>
      <c r="I38" s="5"/>
    </row>
    <row r="39" spans="2:9" ht="16.5" customHeight="1">
      <c r="B39" s="88" t="s">
        <v>513</v>
      </c>
      <c r="C39" s="88"/>
      <c r="D39" s="88"/>
      <c r="E39" s="88"/>
      <c r="F39" s="88"/>
      <c r="G39" s="81"/>
    </row>
    <row r="40" spans="2:9" ht="16.5" customHeight="1">
      <c r="B40" s="87" t="s">
        <v>392</v>
      </c>
      <c r="C40" s="87" t="s">
        <v>29</v>
      </c>
      <c r="D40" s="217" t="s">
        <v>383</v>
      </c>
      <c r="E40" s="217"/>
      <c r="F40" s="105" t="s">
        <v>451</v>
      </c>
      <c r="G40" s="81"/>
    </row>
    <row r="41" spans="2:9" ht="16.5" customHeight="1">
      <c r="B41" s="89" t="s">
        <v>384</v>
      </c>
      <c r="C41" s="89">
        <f>Inputs!D15</f>
        <v>280</v>
      </c>
      <c r="D41" s="213" t="s">
        <v>404</v>
      </c>
      <c r="E41" s="213"/>
      <c r="F41" s="90">
        <f>Inputs!H4</f>
        <v>64</v>
      </c>
      <c r="G41" s="81"/>
    </row>
    <row r="42" spans="2:9" ht="16.5" customHeight="1">
      <c r="B42" s="89" t="s">
        <v>385</v>
      </c>
      <c r="C42" s="89">
        <f>Inputs!D17</f>
        <v>400</v>
      </c>
      <c r="D42" s="213" t="s">
        <v>403</v>
      </c>
      <c r="E42" s="213"/>
      <c r="F42" s="90">
        <f>Inputs!H9</f>
        <v>62.72</v>
      </c>
      <c r="G42" s="81"/>
    </row>
    <row r="43" spans="2:9" ht="16.5" customHeight="1">
      <c r="B43" s="89" t="s">
        <v>386</v>
      </c>
      <c r="C43" s="89">
        <f>Inputs!D16</f>
        <v>280</v>
      </c>
      <c r="D43" s="213" t="s">
        <v>406</v>
      </c>
      <c r="E43" s="213"/>
      <c r="F43" s="90">
        <f>Inputs!H7</f>
        <v>289.2</v>
      </c>
      <c r="G43" s="81"/>
    </row>
    <row r="44" spans="2:9" ht="16.5" customHeight="1">
      <c r="B44" s="89" t="s">
        <v>397</v>
      </c>
      <c r="C44" s="91">
        <f>D17</f>
        <v>6.6000000000000005</v>
      </c>
      <c r="D44" s="213" t="s">
        <v>405</v>
      </c>
      <c r="E44" s="213"/>
      <c r="F44" s="90">
        <f>Inputs!H19</f>
        <v>23.5</v>
      </c>
      <c r="G44" s="81"/>
    </row>
    <row r="45" spans="2:9" ht="16.5" customHeight="1">
      <c r="B45" s="89" t="s">
        <v>14</v>
      </c>
      <c r="C45" s="91">
        <f>Inputs!D7</f>
        <v>25.85</v>
      </c>
      <c r="D45" s="230" t="s">
        <v>388</v>
      </c>
      <c r="E45" s="230"/>
      <c r="F45" s="90">
        <f>Inputs!H18</f>
        <v>20</v>
      </c>
      <c r="G45" s="81"/>
    </row>
    <row r="46" spans="2:9" ht="16.5" customHeight="1">
      <c r="B46" s="89" t="s">
        <v>393</v>
      </c>
      <c r="C46" s="91">
        <f>D6</f>
        <v>4.8</v>
      </c>
      <c r="D46" s="231" t="s">
        <v>470</v>
      </c>
      <c r="E46" s="231"/>
      <c r="F46" s="90">
        <f>Pcorn</f>
        <v>5.05</v>
      </c>
      <c r="G46" s="81"/>
    </row>
    <row r="47" spans="2:9" ht="16.5" customHeight="1">
      <c r="B47" s="94" t="s">
        <v>398</v>
      </c>
      <c r="C47" s="139">
        <f>Inputs!D10</f>
        <v>0.08</v>
      </c>
      <c r="D47" s="93"/>
      <c r="E47" s="94"/>
      <c r="F47" s="96"/>
      <c r="G47" s="36"/>
    </row>
    <row r="48" spans="2:9" ht="16.5" customHeight="1">
      <c r="B48" s="94" t="s">
        <v>399</v>
      </c>
      <c r="C48" s="140">
        <f>Inputs!D9</f>
        <v>0.08</v>
      </c>
      <c r="D48" s="93"/>
      <c r="E48" s="94"/>
      <c r="F48" s="96"/>
      <c r="G48" s="36"/>
    </row>
    <row r="49" spans="2:9" ht="16.5" customHeight="1">
      <c r="B49" s="98" t="s">
        <v>497</v>
      </c>
      <c r="C49" s="170">
        <f>Inputs!H21</f>
        <v>7.4999999999999997E-2</v>
      </c>
      <c r="D49" s="98"/>
      <c r="E49" s="98"/>
      <c r="F49" s="99"/>
      <c r="G49" s="81"/>
    </row>
    <row r="50" spans="2:9" ht="15.95" hidden="1" customHeight="1">
      <c r="B50" s="82"/>
      <c r="C50" s="81"/>
      <c r="D50" s="81"/>
      <c r="E50" s="81"/>
      <c r="F50" s="83"/>
      <c r="G50" s="81"/>
    </row>
    <row r="51" spans="2:9" ht="15.95" hidden="1" customHeight="1">
      <c r="B51" s="82"/>
      <c r="C51" s="81"/>
      <c r="D51" s="81"/>
      <c r="E51" s="81"/>
      <c r="F51" s="81"/>
      <c r="G51" s="81"/>
    </row>
    <row r="52" spans="2:9" ht="15.95" hidden="1" customHeight="1">
      <c r="B52" s="84"/>
      <c r="C52" s="76"/>
      <c r="D52" s="76"/>
      <c r="E52" s="76"/>
      <c r="F52" s="76"/>
      <c r="G52" s="76"/>
    </row>
    <row r="53" spans="2:9" hidden="1">
      <c r="B53" s="15"/>
      <c r="C53" s="15"/>
      <c r="D53" s="15"/>
      <c r="E53" s="15"/>
      <c r="F53" s="15"/>
      <c r="G53" s="15"/>
      <c r="H53" s="14"/>
      <c r="I53" s="14"/>
    </row>
    <row r="54" spans="2:9" hidden="1">
      <c r="B54" s="14"/>
      <c r="C54" s="14"/>
      <c r="D54" s="14"/>
      <c r="E54" s="14"/>
      <c r="F54" s="14"/>
      <c r="G54" s="14"/>
      <c r="H54" s="14"/>
      <c r="I54" s="14"/>
    </row>
    <row r="55" spans="2:9" hidden="1">
      <c r="B55" s="14"/>
      <c r="C55" s="14"/>
      <c r="D55" s="14"/>
      <c r="E55" s="14"/>
      <c r="F55" s="14"/>
      <c r="G55" s="14"/>
      <c r="H55" s="14"/>
      <c r="I55" s="14"/>
    </row>
    <row r="56" spans="2:9" hidden="1">
      <c r="B56" s="14"/>
      <c r="C56" s="14"/>
      <c r="D56" s="14"/>
      <c r="E56" s="14"/>
      <c r="F56" s="14"/>
      <c r="G56" s="14"/>
      <c r="H56" s="14"/>
      <c r="I56" s="14"/>
    </row>
    <row r="57" spans="2:9" hidden="1">
      <c r="B57" s="14"/>
      <c r="C57" s="14"/>
      <c r="D57" s="14"/>
      <c r="E57" s="14"/>
      <c r="F57" s="14"/>
      <c r="G57" s="14"/>
      <c r="H57" s="14"/>
      <c r="I57" s="14"/>
    </row>
  </sheetData>
  <sheetProtection sheet="1" objects="1" scenarios="1"/>
  <mergeCells count="11">
    <mergeCell ref="D46:E46"/>
    <mergeCell ref="B2:C2"/>
    <mergeCell ref="D41:E41"/>
    <mergeCell ref="D42:E42"/>
    <mergeCell ref="D43:E43"/>
    <mergeCell ref="D40:E40"/>
    <mergeCell ref="L2:P2"/>
    <mergeCell ref="J4:J8"/>
    <mergeCell ref="B1:F1"/>
    <mergeCell ref="D44:E44"/>
    <mergeCell ref="D45:E45"/>
  </mergeCells>
  <pageMargins left="0.7" right="0.7" top="0.75" bottom="0.75" header="0.3" footer="0.3"/>
  <pageSetup scale="81" orientation="portrait" r:id="rId1"/>
  <ignoredErrors>
    <ignoredError sqref="E14:E15 E22:F23 E18 F19 E20 E17:F17 E16 F6 D5:E5 E21" unlockedFormula="1"/>
    <ignoredError sqref="F18" formula="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B0A3-51BA-4088-9A94-56AC5912FCFF}">
  <dimension ref="A1:Q63"/>
  <sheetViews>
    <sheetView showGridLines="0" zoomScale="120" zoomScaleNormal="120" workbookViewId="0">
      <selection activeCell="J32" sqref="J32"/>
    </sheetView>
  </sheetViews>
  <sheetFormatPr defaultColWidth="0" defaultRowHeight="12.75" zeroHeight="1"/>
  <cols>
    <col min="1" max="1" width="3.125" style="3" customWidth="1"/>
    <col min="2" max="2" width="40.625" style="3" customWidth="1"/>
    <col min="3" max="3" width="13.875" style="3" customWidth="1"/>
    <col min="4" max="4" width="11.625" style="3" customWidth="1"/>
    <col min="5" max="5" width="15.375" style="3" customWidth="1"/>
    <col min="6" max="6" width="11.625" style="3" customWidth="1"/>
    <col min="7" max="7" width="3.125" style="3" customWidth="1"/>
    <col min="8" max="8" width="2.625" style="3" customWidth="1"/>
    <col min="9" max="9" width="9" style="3" customWidth="1"/>
    <col min="10" max="10" width="5.875" style="3" customWidth="1"/>
    <col min="11" max="16" width="9.125" style="3" customWidth="1"/>
    <col min="17" max="17" width="2.875" style="3" customWidth="1"/>
    <col min="18" max="16384" width="9" style="3" hidden="1"/>
  </cols>
  <sheetData>
    <row r="1" spans="2:16" ht="20.25" customHeight="1">
      <c r="B1" s="216" t="s">
        <v>429</v>
      </c>
      <c r="C1" s="216"/>
      <c r="D1" s="216"/>
      <c r="E1" s="216"/>
      <c r="F1" s="216"/>
      <c r="G1" s="43"/>
      <c r="H1" s="12"/>
      <c r="J1" s="36"/>
      <c r="K1" s="163" t="s">
        <v>494</v>
      </c>
      <c r="L1" s="36"/>
      <c r="M1" s="36"/>
      <c r="N1" s="36"/>
      <c r="O1" s="36"/>
      <c r="P1" s="36"/>
    </row>
    <row r="2" spans="2:16" ht="16.5" customHeight="1">
      <c r="B2" s="203"/>
      <c r="C2" s="203"/>
      <c r="E2" s="5"/>
      <c r="H2" s="7"/>
      <c r="J2" s="36"/>
      <c r="K2" s="36"/>
      <c r="L2" s="214" t="s">
        <v>467</v>
      </c>
      <c r="M2" s="214"/>
      <c r="N2" s="214"/>
      <c r="O2" s="214"/>
      <c r="P2" s="214"/>
    </row>
    <row r="3" spans="2:16" ht="16.5" customHeight="1">
      <c r="B3" s="34" t="s">
        <v>30</v>
      </c>
      <c r="C3" s="34" t="s">
        <v>2</v>
      </c>
      <c r="D3" s="48" t="s">
        <v>29</v>
      </c>
      <c r="E3" s="49" t="s">
        <v>451</v>
      </c>
      <c r="F3" s="49" t="s">
        <v>452</v>
      </c>
      <c r="G3" s="44"/>
      <c r="H3" s="7"/>
      <c r="J3" s="36"/>
      <c r="K3" s="164"/>
      <c r="L3" s="165">
        <f>M3-Inputs!$D$27</f>
        <v>51.89</v>
      </c>
      <c r="M3" s="165">
        <f>N3-Inputs!$D$27</f>
        <v>53.89</v>
      </c>
      <c r="N3" s="165">
        <f>F41</f>
        <v>55.89</v>
      </c>
      <c r="O3" s="165">
        <f>N3+Inputs!$D$27</f>
        <v>57.89</v>
      </c>
      <c r="P3" s="166">
        <f>O3+Inputs!$D$27</f>
        <v>59.89</v>
      </c>
    </row>
    <row r="4" spans="2:16" ht="16.5" customHeight="1">
      <c r="B4" s="51" t="s">
        <v>373</v>
      </c>
      <c r="C4" s="204" t="s">
        <v>440</v>
      </c>
      <c r="D4" s="116">
        <f>Inputs!D7*(1-Inputs!D11)</f>
        <v>24.815999999999999</v>
      </c>
      <c r="E4" s="52">
        <f>F41</f>
        <v>55.89</v>
      </c>
      <c r="F4" s="128">
        <f>D4*E4</f>
        <v>1386.96624</v>
      </c>
      <c r="G4" s="45"/>
      <c r="H4" s="5"/>
      <c r="J4" s="215" t="s">
        <v>469</v>
      </c>
      <c r="K4" s="167">
        <f>K5-Inputs!$D$28</f>
        <v>4.05</v>
      </c>
      <c r="L4" s="168">
        <f>ProfitF2F-$D$4*($F$41-L$3)+$D$11*($F$46-K4)/CornWt</f>
        <v>14.726303046320481</v>
      </c>
      <c r="M4" s="168">
        <f>ProfitF2F-$D$4*($F$41-M3)+$D$11*($F$46-$K4)/CornWt</f>
        <v>64.358303046320486</v>
      </c>
      <c r="N4" s="168">
        <f>ProfitF2F-$D$4*($F$41-N3)+$D$11*($F$46-$K4)/CornWt</f>
        <v>113.99030304632048</v>
      </c>
      <c r="O4" s="168">
        <f>ProfitF2F-$D$4*($F$41-O3)+$D$11*($F$46-$K4)/CornWt</f>
        <v>163.6223030463205</v>
      </c>
      <c r="P4" s="168">
        <f>ProfitF2F-$D$4*($F$41-P3)+$D$11*($F$46-$K4)/CornWt</f>
        <v>213.2543030463205</v>
      </c>
    </row>
    <row r="5" spans="2:16" ht="16.5" customHeight="1">
      <c r="B5" s="53" t="s">
        <v>33</v>
      </c>
      <c r="C5" s="204" t="s">
        <v>432</v>
      </c>
      <c r="D5" s="116">
        <f>Inputs!D17/100*D19*(1-Inputs!D9)</f>
        <v>2.698666666666667</v>
      </c>
      <c r="E5" s="52">
        <f>Inputs!H9</f>
        <v>62.72</v>
      </c>
      <c r="F5" s="52">
        <f>D5*E5</f>
        <v>169.26037333333335</v>
      </c>
      <c r="G5" s="45"/>
      <c r="H5" s="5"/>
      <c r="J5" s="215"/>
      <c r="K5" s="167">
        <f>K6-Inputs!$D$28</f>
        <v>4.55</v>
      </c>
      <c r="L5" s="168">
        <f>ProfitF2F-$D$4*($F$41-L3)+$D$11*($F$46-$K5)/CornWt</f>
        <v>-8.3629826679652339</v>
      </c>
      <c r="M5" s="168">
        <f>ProfitF2F-$D$4*($F$41-M3)+$D$11*($F$46-$K5)/CornWt</f>
        <v>41.269017332034764</v>
      </c>
      <c r="N5" s="168">
        <f>ProfitF2F-$D$4*($F$41-N3)+$D$11*($F$46-$K5)/CornWt</f>
        <v>90.901017332034769</v>
      </c>
      <c r="O5" s="168">
        <f>ProfitF2F-$D$4*($F$41-O3)+$D$11*($F$46-$K5)/CornWt</f>
        <v>140.53301733203477</v>
      </c>
      <c r="P5" s="168">
        <f>ProfitF2F-$D$4*($F$41-P3)+$D$11*($F$46-$K5)/CornWt</f>
        <v>190.16501733203478</v>
      </c>
    </row>
    <row r="6" spans="2:16" ht="16.5" customHeight="1">
      <c r="B6" s="53" t="s">
        <v>391</v>
      </c>
      <c r="C6" s="20" t="s">
        <v>394</v>
      </c>
      <c r="D6" s="160">
        <v>1.47</v>
      </c>
      <c r="E6" s="75">
        <v>9.85</v>
      </c>
      <c r="F6" s="124">
        <f>D6*E6</f>
        <v>14.4795</v>
      </c>
      <c r="G6" s="45"/>
      <c r="H6" s="5"/>
      <c r="J6" s="215"/>
      <c r="K6" s="167">
        <f>F46</f>
        <v>5.05</v>
      </c>
      <c r="L6" s="168">
        <f>ProfitF2F-$D$4*($F$41-L3)+$D$11*($F$46-$K6)/CornWt</f>
        <v>-31.452268382250949</v>
      </c>
      <c r="M6" s="168">
        <f>ProfitF2F-$D$4*($F$41-M3)+$D$11*($F$46-$K6)/CornWt</f>
        <v>18.179731617749049</v>
      </c>
      <c r="N6" s="168">
        <f>ProfitF2F-$D$4*($F$41-N3)+$D$11*($F$46-$K6)/CornWt</f>
        <v>67.811731617749047</v>
      </c>
      <c r="O6" s="168">
        <f>ProfitF2F-$D$4*($F$41-O3)+$D$11*($F$46-$K6)/CornWt</f>
        <v>117.44373161774905</v>
      </c>
      <c r="P6" s="168">
        <f>ProfitF2F-$D$4*($F$41-P3)+$D$11*($F$46-$K6)/CornWt</f>
        <v>167.07573161774906</v>
      </c>
    </row>
    <row r="7" spans="2:16" ht="16.5" customHeight="1">
      <c r="B7" s="50" t="s">
        <v>34</v>
      </c>
      <c r="C7" s="71"/>
      <c r="D7" s="72"/>
      <c r="E7" s="55"/>
      <c r="F7" s="56">
        <f>SUM(F4:F6)</f>
        <v>1570.7061133333332</v>
      </c>
      <c r="G7" s="45"/>
      <c r="H7" s="8"/>
      <c r="J7" s="215"/>
      <c r="K7" s="167">
        <f>K6+Inputs!$D$28</f>
        <v>5.55</v>
      </c>
      <c r="L7" s="168">
        <f>ProfitF2F-$D$4*($F$41-L3)+$D$11*($F$46-$K7)/CornWt</f>
        <v>-54.541554096536665</v>
      </c>
      <c r="M7" s="168">
        <f>ProfitF2F-$D$4*($F$41-M3)+$D$11*($F$46-$K7)/CornWt</f>
        <v>-4.9095540965366666</v>
      </c>
      <c r="N7" s="168">
        <f>ProfitF2F-$D$4*($F$41-N3)+$D$11*($F$46-$K7)/CornWt</f>
        <v>44.722445903463331</v>
      </c>
      <c r="O7" s="168">
        <f>ProfitF2F-$D$4*($F$41-O3)+$D$11*($F$46-$K7)/CornWt</f>
        <v>94.354445903463329</v>
      </c>
      <c r="P7" s="168">
        <f>ProfitF2F-$D$4*($F$41-P3)+$D$11*($F$46-$K7)/CornWt</f>
        <v>143.98644590346333</v>
      </c>
    </row>
    <row r="8" spans="2:16" ht="16.5" customHeight="1">
      <c r="B8" s="35"/>
      <c r="C8" s="20"/>
      <c r="D8" s="35"/>
      <c r="E8" s="41"/>
      <c r="F8" s="41"/>
      <c r="G8" s="19"/>
      <c r="H8" s="8"/>
      <c r="J8" s="215"/>
      <c r="K8" s="169">
        <f>K7+Inputs!$D$28</f>
        <v>6.05</v>
      </c>
      <c r="L8" s="168">
        <f>ProfitF2F-$D$4*($F$41-L3)+$D$11*($F$46-$K8)/CornWt</f>
        <v>-77.63083981082238</v>
      </c>
      <c r="M8" s="168">
        <f>ProfitF2F-$D$4*($F$41-M3)+$D$11*($F$46-$K8)/CornWt</f>
        <v>-27.998839810822382</v>
      </c>
      <c r="N8" s="168">
        <f>ProfitF2F-$D$4*($F$41-N3)+$D$11*($F$46-$K8)/CornWt</f>
        <v>21.633160189177616</v>
      </c>
      <c r="O8" s="168">
        <f>ProfitF2F-$D$4*($F$41-O3)+$D$11*($F$46-$K8)/CornWt</f>
        <v>71.265160189177621</v>
      </c>
      <c r="P8" s="168">
        <f>ProfitF2F-$D$4*($F$41-P3)+$D$11*($F$46-$K8)/CornWt</f>
        <v>120.89716018917763</v>
      </c>
    </row>
    <row r="9" spans="2:16" ht="16.5" customHeight="1">
      <c r="B9" s="57" t="s">
        <v>35</v>
      </c>
      <c r="C9" s="34" t="s">
        <v>2</v>
      </c>
      <c r="D9" s="48" t="s">
        <v>29</v>
      </c>
      <c r="E9" s="49" t="s">
        <v>451</v>
      </c>
      <c r="F9" s="49" t="s">
        <v>452</v>
      </c>
      <c r="G9" s="19"/>
      <c r="H9" s="5"/>
    </row>
    <row r="10" spans="2:16" ht="16.5" customHeight="1">
      <c r="B10" s="53" t="s">
        <v>36</v>
      </c>
      <c r="C10" s="46"/>
      <c r="D10" s="53"/>
      <c r="E10" s="40"/>
      <c r="F10" s="128">
        <f>SUMPRODUCT(D11:D16,E11:E16)</f>
        <v>446.35928571428565</v>
      </c>
      <c r="G10" s="45"/>
      <c r="H10" s="5"/>
    </row>
    <row r="11" spans="2:16" ht="16.5" customHeight="1">
      <c r="B11" s="58" t="s">
        <v>37</v>
      </c>
      <c r="C11" s="20" t="s">
        <v>433</v>
      </c>
      <c r="D11" s="39">
        <v>2586</v>
      </c>
      <c r="E11" s="200">
        <f>F46/Inputs!D25</f>
        <v>9.0178571428571427E-2</v>
      </c>
      <c r="F11" s="126"/>
      <c r="G11" s="45"/>
      <c r="H11" s="5"/>
      <c r="I11" s="11"/>
    </row>
    <row r="12" spans="2:16" ht="16.5" customHeight="1">
      <c r="B12" s="58" t="s">
        <v>38</v>
      </c>
      <c r="C12" s="20" t="s">
        <v>433</v>
      </c>
      <c r="D12" s="39">
        <v>605</v>
      </c>
      <c r="E12" s="200">
        <f>Inputs!H12/poundton</f>
        <v>0.1925</v>
      </c>
      <c r="F12" s="126"/>
      <c r="G12" s="45"/>
      <c r="H12" s="5"/>
      <c r="I12" s="11"/>
    </row>
    <row r="13" spans="2:16" ht="16.5" customHeight="1">
      <c r="B13" s="58" t="s">
        <v>402</v>
      </c>
      <c r="C13" s="20" t="s">
        <v>433</v>
      </c>
      <c r="D13" s="39">
        <v>91</v>
      </c>
      <c r="E13" s="200">
        <f>Inputs!H13/poundton</f>
        <v>9.5000000000000001E-2</v>
      </c>
      <c r="F13" s="126"/>
      <c r="G13" s="45"/>
      <c r="H13" s="5"/>
      <c r="I13" s="11"/>
      <c r="K13" s="11"/>
    </row>
    <row r="14" spans="2:16" ht="16.5" customHeight="1">
      <c r="B14" s="58" t="s">
        <v>39</v>
      </c>
      <c r="C14" s="20" t="s">
        <v>433</v>
      </c>
      <c r="D14" s="39">
        <v>54</v>
      </c>
      <c r="E14" s="200">
        <f>Inputs!H15</f>
        <v>0.55000000000000004</v>
      </c>
      <c r="F14" s="126"/>
      <c r="G14" s="45"/>
      <c r="H14" s="5"/>
      <c r="I14" s="11"/>
    </row>
    <row r="15" spans="2:16" ht="16.5" customHeight="1">
      <c r="B15" s="58" t="s">
        <v>40</v>
      </c>
      <c r="C15" s="20" t="s">
        <v>433</v>
      </c>
      <c r="D15" s="39">
        <v>49</v>
      </c>
      <c r="E15" s="200">
        <f>Inputs!H17</f>
        <v>0.5</v>
      </c>
      <c r="F15" s="126"/>
      <c r="G15" s="45"/>
      <c r="H15" s="5"/>
      <c r="I15" s="11"/>
    </row>
    <row r="16" spans="2:16" ht="16.5" customHeight="1">
      <c r="B16" s="58" t="s">
        <v>41</v>
      </c>
      <c r="C16" s="20" t="s">
        <v>434</v>
      </c>
      <c r="D16" s="55">
        <f>SUM(D11:D15)/poundton</f>
        <v>1.6924999999999999</v>
      </c>
      <c r="E16" s="52">
        <f>Inputs!H18</f>
        <v>20</v>
      </c>
      <c r="F16" s="126"/>
      <c r="G16" s="45"/>
      <c r="H16" s="5"/>
      <c r="I16" s="11"/>
    </row>
    <row r="17" spans="2:12" ht="16.5" customHeight="1">
      <c r="B17" s="53" t="s">
        <v>19</v>
      </c>
      <c r="C17" s="20" t="s">
        <v>441</v>
      </c>
      <c r="D17" s="205">
        <f>Inputs!D20*Inputs!D4</f>
        <v>6.0500000000000007</v>
      </c>
      <c r="E17" s="52">
        <f>Inputs!H19</f>
        <v>23.5</v>
      </c>
      <c r="F17" s="128">
        <f>D17*E17</f>
        <v>142.17500000000001</v>
      </c>
      <c r="G17" s="45"/>
      <c r="H17" s="5"/>
    </row>
    <row r="18" spans="2:12" ht="16.5" customHeight="1">
      <c r="B18" s="53" t="s">
        <v>42</v>
      </c>
      <c r="C18" s="20" t="s">
        <v>374</v>
      </c>
      <c r="D18" s="116">
        <f>$C$46</f>
        <v>12.407999999999999</v>
      </c>
      <c r="E18" s="52">
        <f>Inputs!I23</f>
        <v>12.678870532642666</v>
      </c>
      <c r="F18" s="128">
        <f>D18*E18</f>
        <v>157.31942556903019</v>
      </c>
      <c r="G18" s="45"/>
      <c r="H18" s="13"/>
    </row>
    <row r="19" spans="2:12" ht="16.5" customHeight="1">
      <c r="B19" s="53" t="s">
        <v>375</v>
      </c>
      <c r="C19" s="20" t="s">
        <v>436</v>
      </c>
      <c r="D19" s="129">
        <f>Inputs!D4/Inputs!D6</f>
        <v>0.73333333333333339</v>
      </c>
      <c r="E19" s="52">
        <f>Inputs!H7</f>
        <v>289.2</v>
      </c>
      <c r="F19" s="128">
        <f>E19*D19</f>
        <v>212.08</v>
      </c>
      <c r="G19" s="45"/>
    </row>
    <row r="20" spans="2:12" ht="16.5" customHeight="1">
      <c r="B20" s="53" t="s">
        <v>498</v>
      </c>
      <c r="C20" s="20" t="s">
        <v>437</v>
      </c>
      <c r="D20" s="36">
        <f>Inputs!D4</f>
        <v>2.2000000000000002</v>
      </c>
      <c r="E20" s="52">
        <f>Inputs!H20</f>
        <v>13</v>
      </c>
      <c r="F20" s="128">
        <f>E20*D20</f>
        <v>28.6</v>
      </c>
      <c r="G20" s="47"/>
    </row>
    <row r="21" spans="2:12" ht="16.5" customHeight="1">
      <c r="B21" s="53" t="s">
        <v>44</v>
      </c>
      <c r="C21" s="18" t="s">
        <v>426</v>
      </c>
      <c r="D21" s="116">
        <f t="shared" ref="D21:D23" si="0">$C$46</f>
        <v>12.407999999999999</v>
      </c>
      <c r="E21" s="52">
        <f>Inputs!I24</f>
        <v>4.666347196034466</v>
      </c>
      <c r="F21" s="128">
        <f>E21*D21</f>
        <v>57.900036008395652</v>
      </c>
      <c r="G21" s="47"/>
      <c r="H21" s="5"/>
    </row>
    <row r="22" spans="2:12" ht="16.5" customHeight="1">
      <c r="B22" s="53" t="s">
        <v>45</v>
      </c>
      <c r="C22" s="18" t="s">
        <v>426</v>
      </c>
      <c r="D22" s="116">
        <f t="shared" si="0"/>
        <v>12.407999999999999</v>
      </c>
      <c r="E22" s="52">
        <f>Inputs!I25</f>
        <v>4.4441401866994914</v>
      </c>
      <c r="F22" s="128">
        <f t="shared" ref="F22:F23" si="1">E22*D22</f>
        <v>55.14289143656729</v>
      </c>
      <c r="G22" s="45"/>
      <c r="H22" s="5"/>
    </row>
    <row r="23" spans="2:12" ht="16.5" customHeight="1">
      <c r="B23" s="53" t="s">
        <v>46</v>
      </c>
      <c r="C23" s="18" t="s">
        <v>426</v>
      </c>
      <c r="D23" s="116">
        <f t="shared" si="0"/>
        <v>12.407999999999999</v>
      </c>
      <c r="E23" s="52">
        <f>Inputs!I26</f>
        <v>3.7383061570472198</v>
      </c>
      <c r="F23" s="128">
        <f t="shared" si="1"/>
        <v>46.384902796641903</v>
      </c>
      <c r="G23" s="45"/>
      <c r="H23" s="5"/>
    </row>
    <row r="24" spans="2:12" ht="16.5" customHeight="1">
      <c r="B24" s="53" t="s">
        <v>22</v>
      </c>
      <c r="C24" s="107" t="s">
        <v>438</v>
      </c>
      <c r="D24" s="116">
        <v>3.5</v>
      </c>
      <c r="E24" s="61">
        <f>(1+Inputs!H21)^(1/12) - 1</f>
        <v>6.0449190242917172E-3</v>
      </c>
      <c r="F24" s="132">
        <f>SUM(F10:F23)*(1+E24)^D24 - SUM(F10:F23)</f>
        <v>24.429112190663318</v>
      </c>
      <c r="G24" s="45"/>
      <c r="H24" s="5"/>
    </row>
    <row r="25" spans="2:12" ht="16.5" customHeight="1">
      <c r="B25" s="50" t="s">
        <v>47</v>
      </c>
      <c r="C25" s="20"/>
      <c r="D25" s="72"/>
      <c r="E25" s="41"/>
      <c r="F25" s="56">
        <f>SUM(F10:F24)</f>
        <v>1170.390653715584</v>
      </c>
      <c r="G25" s="45"/>
      <c r="H25" s="5"/>
      <c r="I25" s="11"/>
      <c r="L25" s="13"/>
    </row>
    <row r="26" spans="2:12" ht="16.5" customHeight="1">
      <c r="B26" s="35"/>
      <c r="C26" s="20"/>
      <c r="D26" s="35"/>
      <c r="E26" s="41"/>
      <c r="F26" s="35"/>
      <c r="G26" s="19"/>
      <c r="H26" s="8"/>
      <c r="L26" s="13"/>
    </row>
    <row r="27" spans="2:12" ht="16.5" customHeight="1">
      <c r="B27" s="57" t="s">
        <v>48</v>
      </c>
      <c r="C27" s="34" t="s">
        <v>2</v>
      </c>
      <c r="D27" s="48" t="s">
        <v>29</v>
      </c>
      <c r="E27" s="49" t="s">
        <v>451</v>
      </c>
      <c r="F27" s="49" t="s">
        <v>452</v>
      </c>
      <c r="G27" s="19"/>
      <c r="H27" s="4"/>
      <c r="L27" s="13"/>
    </row>
    <row r="28" spans="2:12" ht="16.5" customHeight="1">
      <c r="B28" s="53" t="s">
        <v>49</v>
      </c>
      <c r="C28" s="18" t="s">
        <v>448</v>
      </c>
      <c r="D28" s="116">
        <f t="shared" ref="D28:D29" si="2">$C$46</f>
        <v>12.407999999999999</v>
      </c>
      <c r="E28" s="52">
        <f>Inputs!I27</f>
        <v>2.2599999999999998</v>
      </c>
      <c r="F28" s="128">
        <f>E28*D28</f>
        <v>28.042079999999995</v>
      </c>
      <c r="G28" s="45"/>
      <c r="H28" s="5"/>
      <c r="L28" s="13"/>
    </row>
    <row r="29" spans="2:12" ht="16.5" customHeight="1">
      <c r="B29" s="53" t="s">
        <v>572</v>
      </c>
      <c r="C29" s="18" t="s">
        <v>448</v>
      </c>
      <c r="D29" s="116">
        <f t="shared" si="2"/>
        <v>12.407999999999999</v>
      </c>
      <c r="E29" s="52">
        <f>Inputs!I28-'Farrow-feeder'!F30</f>
        <v>22.905999999999999</v>
      </c>
      <c r="F29" s="128">
        <f>E29*D29</f>
        <v>284.217648</v>
      </c>
      <c r="G29" s="45"/>
      <c r="H29" s="5"/>
      <c r="K29" s="10"/>
      <c r="L29" s="13"/>
    </row>
    <row r="30" spans="2:12" ht="16.5" customHeight="1">
      <c r="B30" s="53" t="s">
        <v>401</v>
      </c>
      <c r="C30" s="18" t="s">
        <v>574</v>
      </c>
      <c r="D30" s="53"/>
      <c r="E30" s="63"/>
      <c r="F30" s="132">
        <f>Inputs!H22*Inputs!H7</f>
        <v>20.244</v>
      </c>
      <c r="G30" s="45"/>
      <c r="I30" s="5"/>
      <c r="L30" s="13"/>
    </row>
    <row r="31" spans="2:12" ht="16.5" customHeight="1">
      <c r="B31" s="50" t="s">
        <v>50</v>
      </c>
      <c r="C31" s="72"/>
      <c r="D31" s="72"/>
      <c r="E31" s="41"/>
      <c r="F31" s="56">
        <f>SUM(F28:F30)</f>
        <v>332.50372800000002</v>
      </c>
      <c r="G31" s="45"/>
      <c r="H31" s="5"/>
      <c r="L31" s="13"/>
    </row>
    <row r="32" spans="2:12" ht="16.5" customHeight="1">
      <c r="B32" s="50"/>
      <c r="C32" s="72"/>
      <c r="D32" s="72"/>
      <c r="E32" s="41"/>
      <c r="F32" s="56"/>
      <c r="G32" s="19"/>
      <c r="H32" s="5"/>
    </row>
    <row r="33" spans="2:9" ht="16.5" customHeight="1">
      <c r="B33" s="50" t="s">
        <v>51</v>
      </c>
      <c r="C33" s="72"/>
      <c r="D33" s="72"/>
      <c r="E33" s="55"/>
      <c r="F33" s="56">
        <f>F31+F25</f>
        <v>1502.8943817155841</v>
      </c>
      <c r="G33" s="45"/>
      <c r="H33" s="8"/>
      <c r="I33" s="11"/>
    </row>
    <row r="34" spans="2:9" ht="16.5" customHeight="1">
      <c r="B34" s="35"/>
      <c r="C34" s="35"/>
      <c r="D34" s="35"/>
      <c r="E34" s="41"/>
      <c r="F34" s="41"/>
      <c r="G34" s="19"/>
      <c r="H34" s="5"/>
    </row>
    <row r="35" spans="2:9" ht="16.5" customHeight="1">
      <c r="B35" s="85" t="s">
        <v>430</v>
      </c>
      <c r="C35" s="86"/>
      <c r="D35" s="86"/>
      <c r="E35" s="201"/>
      <c r="F35" s="202">
        <f>F7-F25</f>
        <v>400.31545961774918</v>
      </c>
      <c r="G35" s="45"/>
      <c r="H35" s="8"/>
    </row>
    <row r="36" spans="2:9" ht="16.5" customHeight="1">
      <c r="B36" s="70" t="s">
        <v>431</v>
      </c>
      <c r="C36" s="66"/>
      <c r="D36" s="66"/>
      <c r="E36" s="67"/>
      <c r="F36" s="69">
        <f>F7-F33</f>
        <v>67.811731617749047</v>
      </c>
      <c r="G36" s="45"/>
      <c r="H36" s="5"/>
    </row>
    <row r="37" spans="2:9" ht="16.5" customHeight="1">
      <c r="B37" s="19"/>
      <c r="C37" s="19"/>
      <c r="D37" s="19"/>
      <c r="E37" s="19"/>
      <c r="F37" s="19"/>
      <c r="G37" s="19"/>
    </row>
    <row r="38" spans="2:9" ht="15.95" customHeight="1">
      <c r="B38" s="78"/>
      <c r="C38" s="79"/>
      <c r="D38" s="78"/>
      <c r="E38" s="78"/>
      <c r="F38" s="80"/>
      <c r="G38" s="19"/>
    </row>
    <row r="39" spans="2:9" ht="16.5" customHeight="1">
      <c r="B39" s="88" t="s">
        <v>515</v>
      </c>
      <c r="C39" s="88"/>
      <c r="D39" s="88"/>
      <c r="E39" s="88"/>
      <c r="F39" s="88"/>
      <c r="G39" s="25"/>
    </row>
    <row r="40" spans="2:9" ht="16.5" customHeight="1">
      <c r="B40" s="87" t="s">
        <v>454</v>
      </c>
      <c r="C40" s="87" t="s">
        <v>29</v>
      </c>
      <c r="D40" s="217" t="s">
        <v>383</v>
      </c>
      <c r="E40" s="217"/>
      <c r="F40" s="105" t="s">
        <v>451</v>
      </c>
      <c r="G40" s="25"/>
    </row>
    <row r="41" spans="2:9" ht="16.5" customHeight="1">
      <c r="B41" s="89" t="s">
        <v>389</v>
      </c>
      <c r="C41" s="89">
        <f>Inputs!D14</f>
        <v>50</v>
      </c>
      <c r="D41" s="213" t="s">
        <v>411</v>
      </c>
      <c r="E41" s="213"/>
      <c r="F41" s="90">
        <f>Inputs!H5</f>
        <v>55.89</v>
      </c>
      <c r="G41" s="25"/>
    </row>
    <row r="42" spans="2:9" ht="16.5" customHeight="1">
      <c r="B42" s="89" t="s">
        <v>385</v>
      </c>
      <c r="C42" s="89">
        <f>Inputs!D17</f>
        <v>400</v>
      </c>
      <c r="D42" s="213" t="s">
        <v>403</v>
      </c>
      <c r="E42" s="213"/>
      <c r="F42" s="90">
        <f>Inputs!H9</f>
        <v>62.72</v>
      </c>
      <c r="G42" s="25"/>
    </row>
    <row r="43" spans="2:9" ht="16.5" customHeight="1">
      <c r="B43" s="89" t="s">
        <v>386</v>
      </c>
      <c r="C43" s="89">
        <f>Inputs!D16</f>
        <v>280</v>
      </c>
      <c r="D43" s="213" t="s">
        <v>499</v>
      </c>
      <c r="E43" s="213"/>
      <c r="F43" s="90">
        <f>Inputs!H7</f>
        <v>289.2</v>
      </c>
      <c r="G43" s="25"/>
    </row>
    <row r="44" spans="2:9" ht="16.5" customHeight="1">
      <c r="B44" s="89" t="s">
        <v>387</v>
      </c>
      <c r="C44" s="91">
        <f>D17</f>
        <v>6.0500000000000007</v>
      </c>
      <c r="D44" s="213" t="s">
        <v>405</v>
      </c>
      <c r="E44" s="213"/>
      <c r="F44" s="90">
        <f>Inputs!H19</f>
        <v>23.5</v>
      </c>
      <c r="G44" s="25"/>
    </row>
    <row r="45" spans="2:9" ht="16.5" customHeight="1">
      <c r="B45" s="89" t="s">
        <v>491</v>
      </c>
      <c r="C45" s="91">
        <f>Inputs!D7</f>
        <v>25.85</v>
      </c>
      <c r="D45" s="230" t="s">
        <v>388</v>
      </c>
      <c r="E45" s="230"/>
      <c r="F45" s="90">
        <f>Inputs!H18</f>
        <v>20</v>
      </c>
      <c r="G45" s="25"/>
    </row>
    <row r="46" spans="2:9" ht="16.5" customHeight="1">
      <c r="B46" s="89" t="s">
        <v>492</v>
      </c>
      <c r="C46" s="91">
        <f>Inputs!D14*D4/100</f>
        <v>12.407999999999999</v>
      </c>
      <c r="D46" s="231" t="s">
        <v>470</v>
      </c>
      <c r="E46" s="231"/>
      <c r="F46" s="90">
        <f>Pcorn</f>
        <v>5.05</v>
      </c>
      <c r="G46" s="25"/>
    </row>
    <row r="47" spans="2:9" ht="16.5" customHeight="1">
      <c r="B47" s="89" t="s">
        <v>393</v>
      </c>
      <c r="C47" s="91">
        <f>D6</f>
        <v>1.47</v>
      </c>
      <c r="G47" s="25"/>
    </row>
    <row r="48" spans="2:9" ht="16.5" customHeight="1">
      <c r="B48" s="94" t="s">
        <v>400</v>
      </c>
      <c r="C48" s="95">
        <f>Inputs!D11</f>
        <v>0.04</v>
      </c>
      <c r="D48" s="93"/>
      <c r="E48" s="94"/>
      <c r="F48" s="96"/>
      <c r="G48" s="19"/>
    </row>
    <row r="49" spans="2:7" ht="16.5" customHeight="1">
      <c r="B49" s="94" t="s">
        <v>399</v>
      </c>
      <c r="C49" s="97">
        <f>Inputs!D9</f>
        <v>0.08</v>
      </c>
      <c r="D49" s="93"/>
      <c r="E49" s="94"/>
      <c r="F49" s="96"/>
      <c r="G49" s="19"/>
    </row>
    <row r="50" spans="2:7" ht="15">
      <c r="B50" s="98" t="s">
        <v>497</v>
      </c>
      <c r="C50" s="170">
        <f>Inputs!H21</f>
        <v>7.4999999999999997E-2</v>
      </c>
      <c r="D50" s="98"/>
      <c r="E50" s="98"/>
      <c r="F50" s="99"/>
      <c r="G50" s="25"/>
    </row>
    <row r="51" spans="2:7" ht="15.95" hidden="1" customHeight="1">
      <c r="B51" s="82"/>
      <c r="C51" s="81"/>
      <c r="D51" s="81"/>
      <c r="E51" s="81"/>
      <c r="F51" s="83"/>
      <c r="G51" s="25"/>
    </row>
    <row r="52" spans="2:7" ht="15.95" hidden="1" customHeight="1">
      <c r="B52" s="82"/>
      <c r="C52" s="81"/>
      <c r="D52" s="81"/>
      <c r="E52" s="81"/>
      <c r="F52" s="81"/>
      <c r="G52" s="25"/>
    </row>
    <row r="53" spans="2:7" ht="15.95" hidden="1" customHeight="1">
      <c r="B53" s="84"/>
      <c r="C53" s="76"/>
      <c r="D53" s="76"/>
      <c r="E53" s="76"/>
      <c r="F53" s="76"/>
      <c r="G53" s="26"/>
    </row>
    <row r="54" spans="2:7" ht="13.5" hidden="1">
      <c r="B54" s="23"/>
      <c r="C54" s="20"/>
      <c r="D54" s="20"/>
      <c r="E54" s="21"/>
      <c r="F54" s="24"/>
      <c r="G54" s="19"/>
    </row>
    <row r="55" spans="2:7" ht="13.5" hidden="1">
      <c r="B55" s="23"/>
      <c r="C55" s="20"/>
      <c r="D55" s="20"/>
      <c r="E55" s="21"/>
      <c r="F55" s="24"/>
      <c r="G55" s="19"/>
    </row>
    <row r="56" spans="2:7" ht="13.5" hidden="1">
      <c r="B56" s="23"/>
      <c r="C56" s="20"/>
      <c r="D56" s="20"/>
      <c r="E56" s="21"/>
      <c r="F56" s="24"/>
      <c r="G56" s="19"/>
    </row>
    <row r="57" spans="2:7" ht="13.5" hidden="1">
      <c r="B57" s="23"/>
      <c r="C57" s="20"/>
      <c r="D57" s="20"/>
      <c r="E57" s="21"/>
      <c r="F57" s="24"/>
      <c r="G57" s="19"/>
    </row>
    <row r="58" spans="2:7" ht="13.5" hidden="1">
      <c r="B58" s="23"/>
      <c r="C58" s="20"/>
      <c r="D58" s="20"/>
      <c r="E58" s="21"/>
      <c r="F58" s="24"/>
      <c r="G58" s="19"/>
    </row>
    <row r="59" spans="2:7" ht="13.5" hidden="1">
      <c r="B59" s="23"/>
      <c r="C59" s="20"/>
      <c r="D59" s="20"/>
      <c r="E59" s="21"/>
      <c r="F59" s="24"/>
      <c r="G59" s="19"/>
    </row>
    <row r="60" spans="2:7" ht="13.5" hidden="1">
      <c r="B60" s="23"/>
      <c r="C60" s="20"/>
      <c r="D60" s="20"/>
      <c r="E60" s="21"/>
      <c r="F60" s="24"/>
      <c r="G60" s="19"/>
    </row>
    <row r="61" spans="2:7" ht="13.5" hidden="1">
      <c r="B61" s="23"/>
      <c r="C61" s="20"/>
      <c r="D61" s="20"/>
      <c r="E61" s="21"/>
      <c r="F61" s="24"/>
      <c r="G61" s="19"/>
    </row>
    <row r="62" spans="2:7" ht="13.5" hidden="1">
      <c r="B62" s="19"/>
      <c r="C62" s="19"/>
      <c r="D62" s="19"/>
      <c r="E62" s="19"/>
      <c r="F62" s="19"/>
    </row>
    <row r="63" spans="2:7" ht="13.5" hidden="1">
      <c r="B63" s="19"/>
      <c r="C63" s="19"/>
      <c r="D63" s="19"/>
      <c r="E63" s="19"/>
      <c r="F63" s="19"/>
    </row>
  </sheetData>
  <sheetProtection sheet="1" objects="1" scenarios="1"/>
  <mergeCells count="10">
    <mergeCell ref="D46:E46"/>
    <mergeCell ref="D41:E41"/>
    <mergeCell ref="D42:E42"/>
    <mergeCell ref="D43:E43"/>
    <mergeCell ref="D44:E44"/>
    <mergeCell ref="L2:P2"/>
    <mergeCell ref="J4:J8"/>
    <mergeCell ref="B1:F1"/>
    <mergeCell ref="D40:E40"/>
    <mergeCell ref="D45:E45"/>
  </mergeCells>
  <pageMargins left="0.7" right="0.7" top="0.75" bottom="0.75" header="0.3" footer="0.3"/>
  <pageSetup scale="81" orientation="portrait" r:id="rId1"/>
  <ignoredErrors>
    <ignoredError sqref="E5 F19:F20 E21:E23 F22:F23 F28:F2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89F7-33CE-44E3-9D9C-F211D39FE03E}">
  <dimension ref="A1:S1048548"/>
  <sheetViews>
    <sheetView showGridLines="0" zoomScaleNormal="100" workbookViewId="0">
      <selection activeCell="N35" sqref="N35"/>
    </sheetView>
  </sheetViews>
  <sheetFormatPr defaultColWidth="0" defaultRowHeight="15.75" zeroHeight="1"/>
  <cols>
    <col min="1" max="1" width="2.625" style="3" customWidth="1"/>
    <col min="2" max="2" width="40.625" style="3" customWidth="1"/>
    <col min="3" max="3" width="12.625" style="3" customWidth="1"/>
    <col min="4" max="8" width="11.625" style="3" customWidth="1"/>
    <col min="9" max="9" width="3.125" style="3" customWidth="1"/>
    <col min="10" max="10" width="2.625" style="3" customWidth="1"/>
    <col min="11" max="11" width="4.25" style="3" customWidth="1"/>
    <col min="12" max="12" width="4.625" style="36" customWidth="1"/>
    <col min="13" max="18" width="9.125" style="36" customWidth="1"/>
    <col min="19" max="19" width="3.625" style="36" customWidth="1"/>
    <col min="20" max="16384" width="9" style="3" hidden="1"/>
  </cols>
  <sheetData>
    <row r="1" spans="2:18" ht="20.25" customHeight="1">
      <c r="B1" s="216" t="s">
        <v>413</v>
      </c>
      <c r="C1" s="216"/>
      <c r="D1" s="216"/>
      <c r="E1" s="216"/>
      <c r="F1" s="216"/>
      <c r="G1" s="216"/>
      <c r="H1" s="216"/>
      <c r="I1" s="43"/>
      <c r="M1" s="163" t="s">
        <v>495</v>
      </c>
    </row>
    <row r="2" spans="2:18" ht="16.5" customHeight="1">
      <c r="B2" s="211"/>
      <c r="C2" s="212"/>
      <c r="G2" s="5"/>
      <c r="H2" s="12"/>
      <c r="I2" s="4"/>
      <c r="N2" s="214" t="s">
        <v>459</v>
      </c>
      <c r="O2" s="214"/>
      <c r="P2" s="214"/>
      <c r="Q2" s="214"/>
      <c r="R2" s="214"/>
    </row>
    <row r="3" spans="2:18" ht="16.5" customHeight="1">
      <c r="B3" s="34" t="s">
        <v>30</v>
      </c>
      <c r="C3" s="48" t="s">
        <v>376</v>
      </c>
      <c r="D3" s="34" t="s">
        <v>2</v>
      </c>
      <c r="E3" s="48" t="s">
        <v>29</v>
      </c>
      <c r="F3" s="34" t="s">
        <v>2</v>
      </c>
      <c r="G3" s="49" t="s">
        <v>451</v>
      </c>
      <c r="H3" s="49" t="s">
        <v>453</v>
      </c>
      <c r="I3" s="64"/>
      <c r="M3" s="164"/>
      <c r="N3" s="165">
        <f>O3-Inputs!$D$27</f>
        <v>60</v>
      </c>
      <c r="O3" s="165">
        <f>P3-Inputs!$D$27</f>
        <v>62</v>
      </c>
      <c r="P3" s="165">
        <f>F38</f>
        <v>64</v>
      </c>
      <c r="Q3" s="165">
        <f>P3+Inputs!$D$27</f>
        <v>66</v>
      </c>
      <c r="R3" s="166">
        <f>Q3+Inputs!$D$27</f>
        <v>68</v>
      </c>
    </row>
    <row r="4" spans="2:18" ht="16.5" customHeight="1">
      <c r="B4" s="51" t="s">
        <v>377</v>
      </c>
      <c r="C4" s="2">
        <f>Inputs!D15/100</f>
        <v>2.8</v>
      </c>
      <c r="D4" s="18" t="s">
        <v>442</v>
      </c>
      <c r="E4" s="37">
        <v>100</v>
      </c>
      <c r="F4" s="18" t="s">
        <v>443</v>
      </c>
      <c r="G4" s="52">
        <f>Inputs!H4</f>
        <v>64</v>
      </c>
      <c r="H4" s="62">
        <f>C4*E4*G4</f>
        <v>17920</v>
      </c>
      <c r="I4" s="65"/>
      <c r="L4" s="215" t="s">
        <v>469</v>
      </c>
      <c r="M4" s="167">
        <f>M5-Inputs!$D$28</f>
        <v>4.05</v>
      </c>
      <c r="N4" s="168">
        <f>ProfitFin-$C$4*$E$4*($F$38-N3)+$E$11*($F$40-$M4)/CornWt</f>
        <v>-1077.5749585599754</v>
      </c>
      <c r="O4" s="168">
        <f>ProfitFin-$C$4*$E$4*($F$38-O3)+$E$11*($F$40-$M4)/CornWt</f>
        <v>-517.57495855997536</v>
      </c>
      <c r="P4" s="168">
        <f>ProfitFin-$C$4*$E$4*($F$38-P3)+$E$11*($F$40-$M4)/CornWt</f>
        <v>42.425041440024643</v>
      </c>
      <c r="Q4" s="168">
        <f>ProfitFin-$C$4*$E$4*($F$38-Q3)+$E$11*($F$40-$M4)/CornWt</f>
        <v>602.42504144002464</v>
      </c>
      <c r="R4" s="168">
        <f>ProfitFin-$C$4*$E$4*($F$38-R3)+$E$11*($F$40-$M4)/CornWt</f>
        <v>1162.4250414400246</v>
      </c>
    </row>
    <row r="5" spans="2:18" ht="16.5" customHeight="1">
      <c r="B5" s="53" t="s">
        <v>391</v>
      </c>
      <c r="C5" s="41"/>
      <c r="E5" s="160">
        <v>10.23</v>
      </c>
      <c r="F5" s="20" t="s">
        <v>394</v>
      </c>
      <c r="G5" s="54">
        <v>38.700000000000003</v>
      </c>
      <c r="H5" s="124">
        <f>E5*G5</f>
        <v>395.90100000000007</v>
      </c>
      <c r="I5" s="65"/>
      <c r="L5" s="215"/>
      <c r="M5" s="167">
        <f>M6-Inputs!$D$28</f>
        <v>4.55</v>
      </c>
      <c r="N5" s="168">
        <f>ProfitFin-$C$4*$E$4*($F$38-N3)+$E$11*($F$40-$M5)/CornWt</f>
        <v>-1524.0035299885467</v>
      </c>
      <c r="O5" s="168">
        <f>ProfitFin-$C$4*$E$4*($F$38-O3)+$E$11*($F$40-$M5)/CornWt</f>
        <v>-964.0035299885468</v>
      </c>
      <c r="P5" s="168">
        <f>ProfitFin-$C$4*$E$4*($F$38-P3)+$E$11*($F$40-$M5)/CornWt</f>
        <v>-404.0035299885468</v>
      </c>
      <c r="Q5" s="168">
        <f>ProfitFin-$C$4*$E$4*($F$38-Q3)+$E$11*($F$40-$M5)/CornWt</f>
        <v>155.9964700114532</v>
      </c>
      <c r="R5" s="168">
        <f>ProfitFin-$C$4*$E$4*($F$38-R3)+$E$11*($F$40-$M5)/CornWt</f>
        <v>715.9964700114532</v>
      </c>
    </row>
    <row r="6" spans="2:18" ht="16.5" customHeight="1">
      <c r="B6" s="50" t="s">
        <v>378</v>
      </c>
      <c r="C6" s="41"/>
      <c r="D6" s="20"/>
      <c r="E6" s="41"/>
      <c r="F6" s="20"/>
      <c r="G6" s="41"/>
      <c r="H6" s="56">
        <f>SUM(H4:H5)</f>
        <v>18315.901000000002</v>
      </c>
      <c r="I6" s="65"/>
      <c r="L6" s="215"/>
      <c r="M6" s="167">
        <f>F40</f>
        <v>5.05</v>
      </c>
      <c r="N6" s="168">
        <f>ProfitFin-$C$4*$E$4*($F$38-N3)+$E$11*($F$40-$M6)/CornWt</f>
        <v>-1970.4321014171182</v>
      </c>
      <c r="O6" s="168">
        <f>ProfitFin-$C$4*$E$4*($F$38-O3)+$E$11*($F$40-$M6)/CornWt</f>
        <v>-1410.4321014171182</v>
      </c>
      <c r="P6" s="168">
        <f>ProfitFin-$C$4*$E$4*($F$38-P3)+$E$11*($F$40-$M6)/CornWt</f>
        <v>-850.43210141711825</v>
      </c>
      <c r="Q6" s="168">
        <f>ProfitFin-$C$4*$E$4*($F$38-Q3)+$E$11*($F$40-$M6)/CornWt</f>
        <v>-290.43210141711825</v>
      </c>
      <c r="R6" s="168">
        <f>ProfitFin-$C$4*$E$4*($F$38-R3)+$E$11*($F$40-$M6)/CornWt</f>
        <v>269.56789858288175</v>
      </c>
    </row>
    <row r="7" spans="2:18" ht="16.5" customHeight="1">
      <c r="B7" s="35"/>
      <c r="C7" s="41"/>
      <c r="D7" s="20"/>
      <c r="E7" s="55"/>
      <c r="F7" s="20"/>
      <c r="G7" s="41"/>
      <c r="H7" s="41"/>
      <c r="L7" s="215"/>
      <c r="M7" s="167">
        <f>M6+Inputs!$D$28</f>
        <v>5.55</v>
      </c>
      <c r="N7" s="168">
        <f>ProfitFin-$C$4*$E$4*($F$38-N3)+$E$11*($F$40-$M7)/CornWt</f>
        <v>-2416.8606728456898</v>
      </c>
      <c r="O7" s="168">
        <f>ProfitFin-$C$4*$E$4*($F$38-O3)+$E$11*($F$40-$M7)/CornWt</f>
        <v>-1856.8606728456898</v>
      </c>
      <c r="P7" s="168">
        <f>ProfitFin-$C$4*$E$4*($F$38-P3)+$E$11*($F$40-$M7)/CornWt</f>
        <v>-1296.8606728456898</v>
      </c>
      <c r="Q7" s="168">
        <f>ProfitFin-$C$4*$E$4*($F$38-Q3)+$E$11*($F$40-$M7)/CornWt</f>
        <v>-736.86067284568969</v>
      </c>
      <c r="R7" s="168">
        <f>ProfitFin-$C$4*$E$4*($F$38-R3)+$E$11*($F$40-$M7)/CornWt</f>
        <v>-176.86067284568969</v>
      </c>
    </row>
    <row r="8" spans="2:18" ht="16.5" customHeight="1">
      <c r="B8" s="57" t="s">
        <v>35</v>
      </c>
      <c r="C8" s="48" t="s">
        <v>376</v>
      </c>
      <c r="D8" s="34" t="s">
        <v>2</v>
      </c>
      <c r="E8" s="48" t="s">
        <v>29</v>
      </c>
      <c r="F8" s="34" t="s">
        <v>2</v>
      </c>
      <c r="G8" s="49" t="s">
        <v>451</v>
      </c>
      <c r="H8" s="49" t="s">
        <v>453</v>
      </c>
      <c r="L8" s="215"/>
      <c r="M8" s="169">
        <f>M7+Inputs!$D$28</f>
        <v>6.05</v>
      </c>
      <c r="N8" s="168">
        <f>ProfitFin-$C$4*$E$4*($F$38-N3)+$E$11*($F$40-$M8)/CornWt</f>
        <v>-2863.2892442742614</v>
      </c>
      <c r="O8" s="168">
        <f>ProfitFin-$C$4*$E$4*($F$38-O3)+$E$11*($F$40-$M8)/CornWt</f>
        <v>-2303.2892442742614</v>
      </c>
      <c r="P8" s="168">
        <f>ProfitFin-$C$4*$E$4*($F$38-P3)+$E$11*($F$40-$M8)/CornWt</f>
        <v>-1743.2892442742611</v>
      </c>
      <c r="Q8" s="168">
        <f>ProfitFin-$C$4*$E$4*($F$38-Q3)+$E$11*($F$40-$M8)/CornWt</f>
        <v>-1183.2892442742611</v>
      </c>
      <c r="R8" s="168">
        <f>ProfitFin-$C$4*$E$4*($F$38-R3)+$E$11*($F$40-$M8)/CornWt</f>
        <v>-623.28924427426114</v>
      </c>
    </row>
    <row r="9" spans="2:18" ht="16.5" customHeight="1">
      <c r="B9" s="53" t="s">
        <v>379</v>
      </c>
      <c r="C9" s="63">
        <f>Inputs!D12</f>
        <v>0.04</v>
      </c>
      <c r="D9" s="18" t="s">
        <v>380</v>
      </c>
      <c r="E9" s="207">
        <f>E4*(1+C9)</f>
        <v>104</v>
      </c>
      <c r="F9" s="204" t="s">
        <v>440</v>
      </c>
      <c r="G9" s="52">
        <f>Inputs!H5</f>
        <v>55.89</v>
      </c>
      <c r="H9" s="128">
        <f>E9*G9</f>
        <v>5812.56</v>
      </c>
      <c r="I9" s="65"/>
    </row>
    <row r="10" spans="2:18" ht="16.5" customHeight="1">
      <c r="B10" s="53" t="s">
        <v>36</v>
      </c>
      <c r="C10" s="41"/>
      <c r="D10" s="20"/>
      <c r="E10" s="55"/>
      <c r="F10" s="20"/>
      <c r="G10" s="52"/>
      <c r="H10" s="128">
        <f>SUMPRODUCT(E11:E15,G11:G15)</f>
        <v>7808.9285714285716</v>
      </c>
      <c r="I10" s="65"/>
    </row>
    <row r="11" spans="2:18" ht="16.5" customHeight="1">
      <c r="B11" s="58" t="s">
        <v>37</v>
      </c>
      <c r="C11" s="73">
        <v>500</v>
      </c>
      <c r="D11" s="18" t="s">
        <v>444</v>
      </c>
      <c r="E11" s="206">
        <f>C11*$E$4</f>
        <v>50000</v>
      </c>
      <c r="F11" s="208" t="s">
        <v>445</v>
      </c>
      <c r="G11" s="200">
        <f>Inputs!H11/Inputs!D25</f>
        <v>9.0178571428571427E-2</v>
      </c>
      <c r="H11" s="60"/>
      <c r="I11" s="65"/>
      <c r="M11" s="171"/>
    </row>
    <row r="12" spans="2:18" ht="16.5" customHeight="1">
      <c r="B12" s="58" t="s">
        <v>38</v>
      </c>
      <c r="C12" s="73">
        <f>0.2*C11</f>
        <v>100</v>
      </c>
      <c r="D12" s="18" t="s">
        <v>444</v>
      </c>
      <c r="E12" s="206">
        <f t="shared" ref="E12:E14" si="0">C12*$E$4</f>
        <v>10000</v>
      </c>
      <c r="F12" s="208" t="s">
        <v>445</v>
      </c>
      <c r="G12" s="200">
        <f>Inputs!H12/poundton</f>
        <v>0.1925</v>
      </c>
      <c r="H12" s="60"/>
      <c r="I12" s="65"/>
      <c r="M12" s="171"/>
    </row>
    <row r="13" spans="2:18" ht="16.5" customHeight="1">
      <c r="B13" s="58" t="s">
        <v>408</v>
      </c>
      <c r="C13" s="73">
        <v>30</v>
      </c>
      <c r="D13" s="18" t="s">
        <v>444</v>
      </c>
      <c r="E13" s="206">
        <f t="shared" si="0"/>
        <v>3000</v>
      </c>
      <c r="F13" s="208" t="s">
        <v>445</v>
      </c>
      <c r="G13" s="200">
        <f>Inputs!H13/poundton</f>
        <v>9.5000000000000001E-2</v>
      </c>
      <c r="H13" s="60"/>
      <c r="I13" s="65"/>
      <c r="M13" s="171"/>
    </row>
    <row r="14" spans="2:18" ht="16.5" customHeight="1">
      <c r="B14" s="58" t="s">
        <v>39</v>
      </c>
      <c r="C14" s="73">
        <v>10</v>
      </c>
      <c r="D14" s="18" t="s">
        <v>444</v>
      </c>
      <c r="E14" s="206">
        <f t="shared" si="0"/>
        <v>1000</v>
      </c>
      <c r="F14" s="208" t="s">
        <v>445</v>
      </c>
      <c r="G14" s="200">
        <f>Inputs!H16</f>
        <v>0.45</v>
      </c>
      <c r="H14" s="60"/>
      <c r="I14" s="65"/>
      <c r="M14" s="180"/>
    </row>
    <row r="15" spans="2:18" ht="16.5" customHeight="1">
      <c r="B15" s="58" t="s">
        <v>41</v>
      </c>
      <c r="C15" s="206"/>
      <c r="D15" s="18"/>
      <c r="E15" s="207">
        <f>SUM(E11:E14)/poundton</f>
        <v>32</v>
      </c>
      <c r="F15" s="208" t="s">
        <v>446</v>
      </c>
      <c r="G15" s="52">
        <f>Inputs!H18</f>
        <v>20</v>
      </c>
      <c r="H15" s="126"/>
      <c r="I15" s="65"/>
      <c r="M15" s="171"/>
    </row>
    <row r="16" spans="2:18" ht="16.5" customHeight="1">
      <c r="B16" s="53" t="s">
        <v>19</v>
      </c>
      <c r="C16" s="36">
        <f>Inputs!D21</f>
        <v>0.17</v>
      </c>
      <c r="D16" s="204" t="s">
        <v>447</v>
      </c>
      <c r="E16" s="207">
        <f>C16*E4</f>
        <v>17</v>
      </c>
      <c r="F16" s="208" t="s">
        <v>449</v>
      </c>
      <c r="G16" s="52">
        <f>Inputs!H19</f>
        <v>23.5</v>
      </c>
      <c r="H16" s="128">
        <f>E16*G16</f>
        <v>399.5</v>
      </c>
      <c r="I16" s="65"/>
    </row>
    <row r="17" spans="2:10" ht="16.5" customHeight="1">
      <c r="B17" s="53" t="s">
        <v>42</v>
      </c>
      <c r="C17" s="41">
        <f>(Inputs!D15-Inputs!D14)/100</f>
        <v>2.2999999999999998</v>
      </c>
      <c r="D17" s="208" t="s">
        <v>448</v>
      </c>
      <c r="E17" s="206">
        <f>C17*$E$4</f>
        <v>229.99999999999997</v>
      </c>
      <c r="F17" s="18" t="s">
        <v>450</v>
      </c>
      <c r="G17" s="52">
        <f>Inputs!K23</f>
        <v>3.8564099999999994</v>
      </c>
      <c r="H17" s="128">
        <f>G17*E17</f>
        <v>886.97429999999974</v>
      </c>
      <c r="I17" s="65"/>
    </row>
    <row r="18" spans="2:10" ht="16.5" customHeight="1">
      <c r="B18" s="53" t="s">
        <v>44</v>
      </c>
      <c r="C18" s="41">
        <f>(Inputs!D15-Inputs!D14)/100</f>
        <v>2.2999999999999998</v>
      </c>
      <c r="D18" s="208" t="s">
        <v>448</v>
      </c>
      <c r="E18" s="206">
        <f>C18*$E$4</f>
        <v>229.99999999999997</v>
      </c>
      <c r="F18" s="18" t="s">
        <v>450</v>
      </c>
      <c r="G18" s="52">
        <f>Inputs!K24</f>
        <v>1.8103702499999996</v>
      </c>
      <c r="H18" s="128">
        <f>G18*E18</f>
        <v>416.38515749999988</v>
      </c>
      <c r="I18" s="65"/>
    </row>
    <row r="19" spans="2:10" ht="16.5" customHeight="1">
      <c r="B19" s="53" t="s">
        <v>381</v>
      </c>
      <c r="C19" s="41">
        <f>(Inputs!D15-Inputs!D14)/100</f>
        <v>2.2999999999999998</v>
      </c>
      <c r="D19" s="208" t="s">
        <v>448</v>
      </c>
      <c r="E19" s="206">
        <f>C19*$E$4</f>
        <v>229.99999999999997</v>
      </c>
      <c r="F19" s="18" t="s">
        <v>450</v>
      </c>
      <c r="G19" s="52">
        <f>Inputs!K25</f>
        <v>3.0529912499999998</v>
      </c>
      <c r="H19" s="128">
        <f>G19*E19</f>
        <v>702.18798749999985</v>
      </c>
      <c r="I19" s="65"/>
    </row>
    <row r="20" spans="2:10" ht="16.5" customHeight="1">
      <c r="B20" s="53" t="s">
        <v>382</v>
      </c>
      <c r="C20" s="41">
        <f>(Inputs!D15-Inputs!D14)/100</f>
        <v>2.2999999999999998</v>
      </c>
      <c r="D20" s="208" t="s">
        <v>448</v>
      </c>
      <c r="E20" s="206">
        <f>C20*$E$4</f>
        <v>229.99999999999997</v>
      </c>
      <c r="F20" s="18" t="s">
        <v>450</v>
      </c>
      <c r="G20" s="52">
        <f>Inputs!K26</f>
        <v>1.7568089999999998</v>
      </c>
      <c r="H20" s="128">
        <f>G20*E20</f>
        <v>404.06606999999991</v>
      </c>
      <c r="I20" s="65"/>
    </row>
    <row r="21" spans="2:10" ht="16.5" customHeight="1">
      <c r="B21" s="53" t="s">
        <v>22</v>
      </c>
      <c r="C21" s="74"/>
      <c r="D21" s="208" t="s">
        <v>438</v>
      </c>
      <c r="E21" s="209">
        <v>2.5</v>
      </c>
      <c r="F21" s="18"/>
      <c r="G21" s="61">
        <f>(1+Inputs!H21)^(1/12) - 1</f>
        <v>6.0449190242917172E-3</v>
      </c>
      <c r="H21" s="132">
        <f>SUM(H9:H10,H16:H20)*(1+G21)^E21-SUM(H9:H10,H16:H20)</f>
        <v>249.43101498854958</v>
      </c>
      <c r="I21" s="65"/>
    </row>
    <row r="22" spans="2:10" ht="16.5" customHeight="1">
      <c r="B22" s="50" t="s">
        <v>47</v>
      </c>
      <c r="C22" s="41"/>
      <c r="D22" s="20"/>
      <c r="E22" s="55"/>
      <c r="F22" s="20"/>
      <c r="G22" s="41"/>
      <c r="H22" s="56">
        <f>SUM(H16:H21)+H9+H10</f>
        <v>16680.033101417121</v>
      </c>
      <c r="I22" s="65"/>
    </row>
    <row r="23" spans="2:10" ht="16.5" customHeight="1">
      <c r="B23" s="35"/>
      <c r="C23" s="41"/>
      <c r="D23" s="20"/>
      <c r="E23" s="55"/>
      <c r="F23" s="20"/>
      <c r="G23" s="41"/>
      <c r="H23" s="35"/>
      <c r="J23" s="11"/>
    </row>
    <row r="24" spans="2:10" ht="16.5" customHeight="1">
      <c r="B24" s="57" t="s">
        <v>48</v>
      </c>
      <c r="C24" s="48" t="s">
        <v>376</v>
      </c>
      <c r="D24" s="34" t="s">
        <v>2</v>
      </c>
      <c r="E24" s="48" t="s">
        <v>29</v>
      </c>
      <c r="F24" s="34" t="s">
        <v>2</v>
      </c>
      <c r="G24" s="49" t="s">
        <v>451</v>
      </c>
      <c r="H24" s="49" t="s">
        <v>453</v>
      </c>
    </row>
    <row r="25" spans="2:10" ht="16.5" customHeight="1">
      <c r="B25" s="53" t="s">
        <v>49</v>
      </c>
      <c r="C25" s="41">
        <f>(Inputs!D15-Inputs!D14)/100</f>
        <v>2.2999999999999998</v>
      </c>
      <c r="D25" s="208" t="s">
        <v>448</v>
      </c>
      <c r="E25" s="206">
        <f>C25*$E$4</f>
        <v>229.99999999999997</v>
      </c>
      <c r="F25" s="18" t="s">
        <v>450</v>
      </c>
      <c r="G25" s="52">
        <f>Inputs!K27</f>
        <v>1.1599999999999999</v>
      </c>
      <c r="H25" s="128">
        <f>G25*E25</f>
        <v>266.79999999999995</v>
      </c>
      <c r="I25" s="65"/>
    </row>
    <row r="26" spans="2:10" ht="16.5" customHeight="1">
      <c r="B26" s="53" t="s">
        <v>572</v>
      </c>
      <c r="C26" s="41">
        <f>(Inputs!D15-Inputs!D14)/100</f>
        <v>2.2999999999999998</v>
      </c>
      <c r="D26" s="208" t="s">
        <v>448</v>
      </c>
      <c r="E26" s="206">
        <f>C26*$E$4</f>
        <v>229.99999999999997</v>
      </c>
      <c r="F26" s="18" t="s">
        <v>450</v>
      </c>
      <c r="G26" s="52">
        <f>Inputs!K28</f>
        <v>9.65</v>
      </c>
      <c r="H26" s="132">
        <f>G26*E26</f>
        <v>2219.5</v>
      </c>
      <c r="I26" s="65"/>
    </row>
    <row r="27" spans="2:10" ht="16.5" customHeight="1">
      <c r="B27" s="50" t="s">
        <v>50</v>
      </c>
      <c r="C27" s="41"/>
      <c r="D27" s="55"/>
      <c r="E27" s="55"/>
      <c r="F27" s="55"/>
      <c r="G27" s="41"/>
      <c r="H27" s="56">
        <f>SUM(H25:H26)</f>
        <v>2486.3000000000002</v>
      </c>
      <c r="I27" s="65"/>
    </row>
    <row r="28" spans="2:10" ht="16.5" customHeight="1">
      <c r="B28" s="50"/>
      <c r="C28" s="41"/>
      <c r="D28" s="55"/>
      <c r="E28" s="55"/>
      <c r="F28" s="55"/>
      <c r="G28" s="41"/>
      <c r="H28" s="56"/>
      <c r="I28" s="65"/>
    </row>
    <row r="29" spans="2:10" ht="16.5" customHeight="1">
      <c r="B29" s="50" t="s">
        <v>51</v>
      </c>
      <c r="C29" s="41"/>
      <c r="D29" s="55"/>
      <c r="E29" s="55"/>
      <c r="F29" s="55"/>
      <c r="G29" s="55"/>
      <c r="H29" s="56">
        <f>H27+H22</f>
        <v>19166.33310141712</v>
      </c>
      <c r="I29" s="65"/>
      <c r="J29" s="11"/>
    </row>
    <row r="30" spans="2:10" ht="16.5" customHeight="1">
      <c r="B30" s="35"/>
      <c r="C30" s="41"/>
      <c r="D30" s="55"/>
      <c r="E30" s="55"/>
      <c r="F30" s="55"/>
      <c r="G30" s="41"/>
      <c r="H30" s="41"/>
    </row>
    <row r="31" spans="2:10" ht="16.5" customHeight="1">
      <c r="B31" s="85" t="s">
        <v>430</v>
      </c>
      <c r="C31" s="210"/>
      <c r="D31" s="210"/>
      <c r="E31" s="210"/>
      <c r="F31" s="210"/>
      <c r="G31" s="202">
        <f>H31/E4</f>
        <v>16.35867898582881</v>
      </c>
      <c r="H31" s="202">
        <f>H6-H22</f>
        <v>1635.867898582881</v>
      </c>
      <c r="I31" s="65"/>
    </row>
    <row r="32" spans="2:10" ht="16.5" customHeight="1">
      <c r="B32" s="70" t="s">
        <v>431</v>
      </c>
      <c r="C32" s="68"/>
      <c r="D32" s="68"/>
      <c r="E32" s="68"/>
      <c r="F32" s="68"/>
      <c r="G32" s="69">
        <f>H32/E4</f>
        <v>-8.5043210141711825</v>
      </c>
      <c r="H32" s="69">
        <f>H6-H29</f>
        <v>-850.43210141711825</v>
      </c>
      <c r="I32" s="65"/>
    </row>
    <row r="33" spans="2:9" ht="16.5" customHeight="1">
      <c r="B33" s="4"/>
      <c r="C33" s="5"/>
      <c r="D33" s="5"/>
      <c r="E33" s="5"/>
      <c r="F33" s="5"/>
      <c r="G33" s="5"/>
      <c r="H33" s="6"/>
      <c r="I33" s="16" t="s">
        <v>32</v>
      </c>
    </row>
    <row r="34" spans="2:9">
      <c r="B34" s="36"/>
      <c r="C34" s="36"/>
      <c r="D34" s="36"/>
      <c r="E34" s="36"/>
      <c r="F34" s="36"/>
      <c r="G34" s="36"/>
      <c r="H34" s="36"/>
      <c r="I34" s="36"/>
    </row>
    <row r="35" spans="2:9" ht="16.5" customHeight="1">
      <c r="B35" s="100" t="s">
        <v>514</v>
      </c>
      <c r="C35" s="101"/>
      <c r="D35" s="101"/>
      <c r="E35" s="101"/>
      <c r="F35" s="101"/>
      <c r="G35" s="76"/>
      <c r="H35" s="36"/>
      <c r="I35" s="36"/>
    </row>
    <row r="36" spans="2:9" ht="16.5" customHeight="1">
      <c r="B36" s="87" t="s">
        <v>392</v>
      </c>
      <c r="C36" s="87" t="s">
        <v>29</v>
      </c>
      <c r="D36" s="217" t="s">
        <v>383</v>
      </c>
      <c r="E36" s="217"/>
      <c r="F36" s="105" t="s">
        <v>451</v>
      </c>
      <c r="G36" s="76"/>
      <c r="H36" s="36"/>
      <c r="I36" s="36"/>
    </row>
    <row r="37" spans="2:9" ht="16.5" customHeight="1">
      <c r="B37" s="89" t="s">
        <v>390</v>
      </c>
      <c r="C37" s="89">
        <f>Inputs!D14</f>
        <v>50</v>
      </c>
      <c r="D37" s="218" t="s">
        <v>410</v>
      </c>
      <c r="E37" s="218"/>
      <c r="F37" s="90">
        <f>Inputs!H5</f>
        <v>55.89</v>
      </c>
      <c r="G37" s="76"/>
      <c r="H37" s="36"/>
      <c r="I37" s="36"/>
    </row>
    <row r="38" spans="2:9" ht="16.5" customHeight="1">
      <c r="B38" s="89" t="s">
        <v>384</v>
      </c>
      <c r="C38" s="89">
        <f>Inputs!D15</f>
        <v>280</v>
      </c>
      <c r="D38" s="213" t="s">
        <v>407</v>
      </c>
      <c r="E38" s="213"/>
      <c r="F38" s="90">
        <f>Inputs!H4</f>
        <v>64</v>
      </c>
      <c r="G38" s="76"/>
      <c r="H38" s="36"/>
      <c r="I38" s="36"/>
    </row>
    <row r="39" spans="2:9" ht="16.5" customHeight="1">
      <c r="B39" s="89" t="s">
        <v>396</v>
      </c>
      <c r="C39" s="92">
        <f>C16</f>
        <v>0.17</v>
      </c>
      <c r="D39" s="213" t="s">
        <v>405</v>
      </c>
      <c r="E39" s="213"/>
      <c r="F39" s="90">
        <f>Inputs!H19</f>
        <v>23.5</v>
      </c>
      <c r="G39" s="76"/>
      <c r="H39" s="36"/>
      <c r="I39" s="36"/>
    </row>
    <row r="40" spans="2:9" ht="16.5" customHeight="1">
      <c r="B40" s="89" t="s">
        <v>395</v>
      </c>
      <c r="C40" s="104">
        <v>0.10199999999999999</v>
      </c>
      <c r="D40" s="100" t="s">
        <v>470</v>
      </c>
      <c r="E40" s="102"/>
      <c r="F40" s="90">
        <f>Pcorn</f>
        <v>5.05</v>
      </c>
      <c r="G40" s="76"/>
      <c r="H40" s="36"/>
      <c r="I40" s="36"/>
    </row>
    <row r="41" spans="2:9" ht="16.5" customHeight="1">
      <c r="B41" s="98" t="s">
        <v>497</v>
      </c>
      <c r="C41" s="170">
        <f>Inputs!H21</f>
        <v>7.4999999999999997E-2</v>
      </c>
      <c r="D41" s="103"/>
      <c r="E41" s="103"/>
      <c r="F41" s="99"/>
      <c r="G41" s="76"/>
      <c r="H41" s="36"/>
      <c r="I41" s="36"/>
    </row>
    <row r="42" spans="2:9" hidden="1">
      <c r="B42" s="76"/>
      <c r="C42" s="76"/>
      <c r="D42" s="76"/>
      <c r="E42" s="76"/>
      <c r="F42" s="77"/>
      <c r="G42" s="76"/>
      <c r="H42" s="36"/>
      <c r="I42" s="36"/>
    </row>
    <row r="43" spans="2:9" hidden="1">
      <c r="B43" s="76"/>
      <c r="C43" s="76"/>
      <c r="D43" s="76"/>
      <c r="E43" s="76"/>
      <c r="F43" s="76"/>
      <c r="G43" s="76"/>
      <c r="H43" s="36"/>
      <c r="I43" s="36"/>
    </row>
    <row r="44" spans="2:9" hidden="1">
      <c r="B44" s="76"/>
      <c r="C44" s="76"/>
      <c r="D44" s="76"/>
      <c r="E44" s="76"/>
      <c r="F44" s="76"/>
      <c r="G44" s="76"/>
      <c r="H44" s="36"/>
      <c r="I44" s="36"/>
    </row>
    <row r="45" spans="2:9" hidden="1">
      <c r="B45" s="76"/>
      <c r="C45" s="76"/>
      <c r="D45" s="76"/>
      <c r="E45" s="76"/>
      <c r="F45" s="76"/>
      <c r="G45" s="76"/>
      <c r="H45" s="36"/>
      <c r="I45" s="36"/>
    </row>
    <row r="46" spans="2:9" hidden="1">
      <c r="B46" s="36"/>
      <c r="C46" s="36"/>
      <c r="D46" s="36"/>
      <c r="E46" s="36"/>
      <c r="F46" s="36"/>
      <c r="G46" s="36"/>
      <c r="H46" s="36"/>
      <c r="I46" s="36"/>
    </row>
    <row r="47" spans="2:9" hidden="1">
      <c r="B47" s="36"/>
      <c r="C47" s="36"/>
      <c r="D47" s="36"/>
      <c r="E47" s="36"/>
      <c r="F47" s="36"/>
      <c r="G47" s="36"/>
      <c r="H47" s="36"/>
      <c r="I47" s="36"/>
    </row>
    <row r="48" spans="2:9" hidden="1">
      <c r="B48" s="36"/>
      <c r="C48" s="36"/>
      <c r="D48" s="36"/>
      <c r="E48" s="36"/>
      <c r="F48" s="36"/>
      <c r="G48" s="36"/>
      <c r="H48" s="36"/>
      <c r="I48" s="36"/>
    </row>
    <row r="49" spans="2:9" hidden="1">
      <c r="B49" s="36"/>
      <c r="C49" s="36"/>
      <c r="D49" s="36"/>
      <c r="E49" s="36"/>
      <c r="F49" s="36"/>
      <c r="G49" s="36"/>
      <c r="H49" s="36"/>
      <c r="I49" s="36"/>
    </row>
    <row r="50" spans="2:9" hidden="1">
      <c r="B50" s="36"/>
      <c r="C50" s="36"/>
      <c r="D50" s="36"/>
      <c r="E50" s="36"/>
      <c r="F50" s="36"/>
      <c r="G50" s="36"/>
      <c r="H50" s="36"/>
      <c r="I50" s="36"/>
    </row>
    <row r="51" spans="2:9" hidden="1">
      <c r="B51" s="36"/>
      <c r="C51" s="36"/>
      <c r="D51" s="36"/>
      <c r="E51" s="36"/>
      <c r="F51" s="36"/>
      <c r="G51" s="36"/>
      <c r="H51" s="36"/>
      <c r="I51" s="36"/>
    </row>
    <row r="818" spans="2:3" hidden="1">
      <c r="B818" s="3" t="s">
        <v>52</v>
      </c>
    </row>
    <row r="819" spans="2:3" hidden="1">
      <c r="B819" s="3" t="s">
        <v>53</v>
      </c>
      <c r="C819" s="3">
        <v>1</v>
      </c>
    </row>
    <row r="820" spans="2:3" hidden="1">
      <c r="B820" s="3" t="s">
        <v>54</v>
      </c>
      <c r="C820" s="3">
        <v>1</v>
      </c>
    </row>
    <row r="821" spans="2:3" hidden="1">
      <c r="B821" s="3" t="s">
        <v>55</v>
      </c>
      <c r="C821" s="3">
        <v>1</v>
      </c>
    </row>
    <row r="822" spans="2:3" hidden="1">
      <c r="B822" s="3" t="s">
        <v>56</v>
      </c>
      <c r="C822" s="3">
        <v>2</v>
      </c>
    </row>
    <row r="823" spans="2:3" hidden="1">
      <c r="B823" s="3" t="s">
        <v>57</v>
      </c>
      <c r="C823" s="3">
        <v>1</v>
      </c>
    </row>
    <row r="824" spans="2:3" hidden="1">
      <c r="B824" s="3" t="s">
        <v>58</v>
      </c>
      <c r="C824" s="3">
        <v>0</v>
      </c>
    </row>
    <row r="825" spans="2:3" hidden="1">
      <c r="B825" s="3" t="s">
        <v>59</v>
      </c>
      <c r="C825" s="3">
        <v>0</v>
      </c>
    </row>
    <row r="826" spans="2:3" hidden="1">
      <c r="B826" s="3" t="s">
        <v>60</v>
      </c>
      <c r="C826" s="3">
        <v>0</v>
      </c>
    </row>
    <row r="827" spans="2:3" hidden="1">
      <c r="B827" s="3" t="s">
        <v>61</v>
      </c>
      <c r="C827" s="3">
        <v>0</v>
      </c>
    </row>
    <row r="828" spans="2:3" hidden="1">
      <c r="B828" s="3" t="s">
        <v>62</v>
      </c>
      <c r="C828" s="3">
        <v>0</v>
      </c>
    </row>
    <row r="829" spans="2:3" hidden="1">
      <c r="B829" s="3" t="s">
        <v>63</v>
      </c>
      <c r="C829" s="3">
        <v>0</v>
      </c>
    </row>
    <row r="830" spans="2:3" hidden="1">
      <c r="B830" s="3" t="s">
        <v>64</v>
      </c>
      <c r="C830" s="3" t="b">
        <v>1</v>
      </c>
    </row>
    <row r="831" spans="2:3" hidden="1">
      <c r="B831" s="3" t="s">
        <v>65</v>
      </c>
      <c r="C831" s="3" t="b">
        <v>1</v>
      </c>
    </row>
    <row r="832" spans="2:3" hidden="1">
      <c r="B832" s="3" t="s">
        <v>66</v>
      </c>
      <c r="C832" s="3" t="b">
        <v>1</v>
      </c>
    </row>
    <row r="833" spans="2:3" hidden="1">
      <c r="B833" s="3" t="s">
        <v>67</v>
      </c>
      <c r="C833" s="3">
        <v>0</v>
      </c>
    </row>
    <row r="834" spans="2:3" hidden="1">
      <c r="B834" s="3" t="s">
        <v>68</v>
      </c>
      <c r="C834" s="3">
        <v>0</v>
      </c>
    </row>
    <row r="835" spans="2:3" hidden="1">
      <c r="B835" s="3" t="s">
        <v>69</v>
      </c>
      <c r="C835" s="3" t="b">
        <v>1</v>
      </c>
    </row>
    <row r="836" spans="2:3" hidden="1">
      <c r="B836" s="3" t="s">
        <v>70</v>
      </c>
      <c r="C836" s="3">
        <v>0</v>
      </c>
    </row>
    <row r="837" spans="2:3" hidden="1">
      <c r="B837" s="3" t="s">
        <v>71</v>
      </c>
      <c r="C837" s="3">
        <v>0</v>
      </c>
    </row>
    <row r="838" spans="2:3" hidden="1">
      <c r="B838" s="3" t="s">
        <v>72</v>
      </c>
      <c r="C838" s="3">
        <v>0</v>
      </c>
    </row>
    <row r="839" spans="2:3" hidden="1">
      <c r="B839" s="3" t="s">
        <v>73</v>
      </c>
      <c r="C839" s="3">
        <v>0</v>
      </c>
    </row>
    <row r="840" spans="2:3" hidden="1">
      <c r="B840" s="3" t="s">
        <v>74</v>
      </c>
      <c r="C840" s="3" t="s">
        <v>75</v>
      </c>
    </row>
    <row r="841" spans="2:3" hidden="1">
      <c r="B841" s="3" t="s">
        <v>76</v>
      </c>
      <c r="C841" s="3">
        <v>750</v>
      </c>
    </row>
    <row r="842" spans="2:3" hidden="1">
      <c r="B842" s="3" t="s">
        <v>77</v>
      </c>
      <c r="C842" s="3">
        <v>135</v>
      </c>
    </row>
    <row r="843" spans="2:3" hidden="1">
      <c r="B843" s="3" t="s">
        <v>78</v>
      </c>
      <c r="C843" s="3">
        <v>3.7</v>
      </c>
    </row>
    <row r="844" spans="2:3" hidden="1">
      <c r="B844" s="3" t="s">
        <v>79</v>
      </c>
      <c r="C844" s="3">
        <v>0</v>
      </c>
    </row>
    <row r="845" spans="2:3" hidden="1">
      <c r="B845" s="3" t="s">
        <v>80</v>
      </c>
      <c r="C845" s="3">
        <v>0</v>
      </c>
    </row>
    <row r="846" spans="2:3" hidden="1">
      <c r="B846" s="3" t="s">
        <v>81</v>
      </c>
      <c r="C846" s="3">
        <v>0</v>
      </c>
    </row>
    <row r="847" spans="2:3" hidden="1">
      <c r="B847" s="3" t="s">
        <v>82</v>
      </c>
      <c r="C847" s="3">
        <v>0</v>
      </c>
    </row>
    <row r="848" spans="2:3" hidden="1">
      <c r="B848" s="3" t="s">
        <v>83</v>
      </c>
      <c r="C848" s="3">
        <v>270</v>
      </c>
    </row>
    <row r="849" spans="2:3" hidden="1">
      <c r="B849" s="3" t="s">
        <v>84</v>
      </c>
      <c r="C849" s="3">
        <v>0</v>
      </c>
    </row>
    <row r="850" spans="2:3" hidden="1">
      <c r="B850" s="3" t="s">
        <v>85</v>
      </c>
      <c r="C850" s="3">
        <v>0</v>
      </c>
    </row>
    <row r="851" spans="2:3" hidden="1">
      <c r="B851" s="3" t="s">
        <v>86</v>
      </c>
      <c r="C851" s="3">
        <v>0</v>
      </c>
    </row>
    <row r="852" spans="2:3" hidden="1">
      <c r="B852" s="3" t="s">
        <v>87</v>
      </c>
      <c r="C852" s="3">
        <v>0</v>
      </c>
    </row>
    <row r="853" spans="2:3" hidden="1">
      <c r="B853" s="3" t="s">
        <v>88</v>
      </c>
      <c r="C853" s="3">
        <v>0</v>
      </c>
    </row>
    <row r="854" spans="2:3" hidden="1">
      <c r="B854" s="3" t="s">
        <v>89</v>
      </c>
      <c r="C854" s="3">
        <v>30000</v>
      </c>
    </row>
    <row r="855" spans="2:3" hidden="1">
      <c r="B855" s="3" t="s">
        <v>90</v>
      </c>
      <c r="C855" s="3">
        <v>0</v>
      </c>
    </row>
    <row r="856" spans="2:3" hidden="1">
      <c r="B856" s="3" t="s">
        <v>91</v>
      </c>
      <c r="C856" s="3">
        <v>0</v>
      </c>
    </row>
    <row r="857" spans="2:3" hidden="1">
      <c r="B857" s="3" t="s">
        <v>92</v>
      </c>
      <c r="C857" s="3">
        <v>0</v>
      </c>
    </row>
    <row r="858" spans="2:3" hidden="1">
      <c r="B858" s="3" t="s">
        <v>93</v>
      </c>
      <c r="C858" s="3">
        <v>0</v>
      </c>
    </row>
    <row r="859" spans="2:3" hidden="1">
      <c r="B859" s="3" t="s">
        <v>94</v>
      </c>
      <c r="C859" s="3">
        <v>0</v>
      </c>
    </row>
    <row r="860" spans="2:3" hidden="1">
      <c r="B860" s="3" t="s">
        <v>95</v>
      </c>
      <c r="C860" s="3">
        <v>140</v>
      </c>
    </row>
    <row r="861" spans="2:3" hidden="1">
      <c r="B861" s="3" t="s">
        <v>96</v>
      </c>
      <c r="C861" s="3">
        <v>0</v>
      </c>
    </row>
    <row r="862" spans="2:3" hidden="1">
      <c r="B862" s="3" t="s">
        <v>97</v>
      </c>
      <c r="C862" s="3">
        <v>0</v>
      </c>
    </row>
    <row r="863" spans="2:3" hidden="1">
      <c r="B863" s="3" t="s">
        <v>98</v>
      </c>
      <c r="C863" s="3">
        <v>60</v>
      </c>
    </row>
    <row r="864" spans="2:3" hidden="1">
      <c r="B864" s="3" t="s">
        <v>99</v>
      </c>
      <c r="C864" s="3">
        <v>45</v>
      </c>
    </row>
    <row r="865" spans="2:3" hidden="1">
      <c r="B865" s="3" t="s">
        <v>100</v>
      </c>
      <c r="C865" s="3">
        <v>0.6</v>
      </c>
    </row>
    <row r="866" spans="2:3" hidden="1">
      <c r="B866" s="3" t="s">
        <v>101</v>
      </c>
      <c r="C866" s="3">
        <v>0</v>
      </c>
    </row>
    <row r="867" spans="2:3" hidden="1">
      <c r="B867" s="3" t="s">
        <v>102</v>
      </c>
      <c r="C867" s="3">
        <v>0</v>
      </c>
    </row>
    <row r="868" spans="2:3" hidden="1">
      <c r="B868" s="3" t="s">
        <v>103</v>
      </c>
      <c r="C868" s="3">
        <v>0.45</v>
      </c>
    </row>
    <row r="869" spans="2:3" hidden="1">
      <c r="B869" s="3" t="s">
        <v>104</v>
      </c>
      <c r="C869" s="3">
        <v>0</v>
      </c>
    </row>
    <row r="870" spans="2:3" hidden="1">
      <c r="B870" s="3" t="s">
        <v>105</v>
      </c>
      <c r="C870" s="3">
        <v>0</v>
      </c>
    </row>
    <row r="871" spans="2:3" hidden="1">
      <c r="B871" s="3" t="s">
        <v>106</v>
      </c>
      <c r="C871" s="3">
        <v>0.48</v>
      </c>
    </row>
    <row r="872" spans="2:3" hidden="1">
      <c r="B872" s="3" t="s">
        <v>107</v>
      </c>
      <c r="C872" s="3">
        <v>0.4</v>
      </c>
    </row>
    <row r="873" spans="2:3" hidden="1">
      <c r="B873" s="3" t="s">
        <v>108</v>
      </c>
      <c r="C873" s="3">
        <v>15</v>
      </c>
    </row>
    <row r="874" spans="2:3" hidden="1">
      <c r="B874" s="3" t="s">
        <v>109</v>
      </c>
      <c r="C874" s="3">
        <v>0</v>
      </c>
    </row>
    <row r="875" spans="2:3" hidden="1">
      <c r="B875" s="3" t="s">
        <v>110</v>
      </c>
      <c r="C875" s="3">
        <v>0</v>
      </c>
    </row>
    <row r="876" spans="2:3" hidden="1">
      <c r="B876" s="3" t="s">
        <v>111</v>
      </c>
      <c r="C876" s="3">
        <v>0</v>
      </c>
    </row>
    <row r="877" spans="2:3" hidden="1">
      <c r="B877" s="3" t="s">
        <v>112</v>
      </c>
      <c r="C877" s="3">
        <v>0</v>
      </c>
    </row>
    <row r="878" spans="2:3" hidden="1">
      <c r="B878" s="3" t="s">
        <v>113</v>
      </c>
      <c r="C878" s="3">
        <v>0</v>
      </c>
    </row>
    <row r="879" spans="2:3" hidden="1">
      <c r="B879" s="3" t="s">
        <v>114</v>
      </c>
      <c r="C879" s="3">
        <v>0</v>
      </c>
    </row>
    <row r="880" spans="2:3" hidden="1">
      <c r="B880" s="3" t="s">
        <v>115</v>
      </c>
      <c r="C880" s="3">
        <v>2</v>
      </c>
    </row>
    <row r="881" spans="2:3" hidden="1">
      <c r="B881" s="3" t="s">
        <v>116</v>
      </c>
      <c r="C881" s="3">
        <v>0</v>
      </c>
    </row>
    <row r="882" spans="2:3" hidden="1">
      <c r="B882" s="3" t="s">
        <v>117</v>
      </c>
      <c r="C882" s="3">
        <v>0</v>
      </c>
    </row>
    <row r="883" spans="2:3" hidden="1">
      <c r="B883" s="3" t="s">
        <v>118</v>
      </c>
      <c r="C883" s="3">
        <v>0</v>
      </c>
    </row>
    <row r="884" spans="2:3" hidden="1">
      <c r="B884" s="3" t="s">
        <v>119</v>
      </c>
      <c r="C884" s="3">
        <v>0</v>
      </c>
    </row>
    <row r="885" spans="2:3" hidden="1">
      <c r="B885" s="3" t="s">
        <v>120</v>
      </c>
      <c r="C885" s="3">
        <v>0</v>
      </c>
    </row>
    <row r="886" spans="2:3" hidden="1">
      <c r="B886" s="3" t="s">
        <v>121</v>
      </c>
      <c r="C886" s="3">
        <v>0</v>
      </c>
    </row>
    <row r="887" spans="2:3" hidden="1">
      <c r="B887" s="3" t="s">
        <v>122</v>
      </c>
      <c r="C887" s="3">
        <v>0</v>
      </c>
    </row>
    <row r="888" spans="2:3" hidden="1">
      <c r="B888" s="3" t="s">
        <v>123</v>
      </c>
      <c r="C888" s="3">
        <v>29</v>
      </c>
    </row>
    <row r="889" spans="2:3" hidden="1">
      <c r="B889" s="3" t="s">
        <v>124</v>
      </c>
      <c r="C889" s="3">
        <v>0</v>
      </c>
    </row>
    <row r="890" spans="2:3" hidden="1">
      <c r="B890" s="3" t="s">
        <v>125</v>
      </c>
      <c r="C890" s="3">
        <v>0</v>
      </c>
    </row>
    <row r="891" spans="2:3" hidden="1">
      <c r="B891" s="3" t="s">
        <v>126</v>
      </c>
      <c r="C891" s="3">
        <v>0</v>
      </c>
    </row>
    <row r="892" spans="2:3" hidden="1">
      <c r="B892" s="3" t="s">
        <v>127</v>
      </c>
      <c r="C892" s="3">
        <v>0</v>
      </c>
    </row>
    <row r="893" spans="2:3" hidden="1">
      <c r="B893" s="3" t="s">
        <v>128</v>
      </c>
      <c r="C893" s="3">
        <v>0</v>
      </c>
    </row>
    <row r="894" spans="2:3" hidden="1">
      <c r="B894" s="3" t="s">
        <v>129</v>
      </c>
      <c r="C894" s="3">
        <v>0</v>
      </c>
    </row>
    <row r="895" spans="2:3" hidden="1">
      <c r="B895" s="3" t="s">
        <v>130</v>
      </c>
      <c r="C895" s="3">
        <v>0</v>
      </c>
    </row>
    <row r="896" spans="2:3" hidden="1">
      <c r="B896" s="3" t="s">
        <v>131</v>
      </c>
      <c r="C896" s="3">
        <v>0</v>
      </c>
    </row>
    <row r="897" spans="2:3" hidden="1">
      <c r="B897" s="3" t="s">
        <v>132</v>
      </c>
      <c r="C897" s="3">
        <v>0</v>
      </c>
    </row>
    <row r="898" spans="2:3" hidden="1">
      <c r="B898" s="3" t="s">
        <v>133</v>
      </c>
      <c r="C898" s="3">
        <v>0</v>
      </c>
    </row>
    <row r="899" spans="2:3" hidden="1">
      <c r="B899" s="3" t="s">
        <v>134</v>
      </c>
      <c r="C899" s="3">
        <v>0</v>
      </c>
    </row>
    <row r="900" spans="2:3" hidden="1">
      <c r="B900" s="3" t="s">
        <v>135</v>
      </c>
      <c r="C900" s="3">
        <v>0</v>
      </c>
    </row>
    <row r="901" spans="2:3" hidden="1">
      <c r="B901" s="3" t="s">
        <v>136</v>
      </c>
      <c r="C901" s="3" t="s">
        <v>137</v>
      </c>
    </row>
    <row r="902" spans="2:3" hidden="1">
      <c r="B902" s="3" t="s">
        <v>138</v>
      </c>
      <c r="C902" s="3">
        <v>0.5</v>
      </c>
    </row>
    <row r="903" spans="2:3" hidden="1">
      <c r="B903" s="3" t="s">
        <v>139</v>
      </c>
      <c r="C903" s="3">
        <v>13.5</v>
      </c>
    </row>
    <row r="904" spans="2:3" hidden="1">
      <c r="B904" s="3" t="s">
        <v>140</v>
      </c>
      <c r="C904" s="3">
        <v>18</v>
      </c>
    </row>
    <row r="905" spans="2:3" hidden="1">
      <c r="B905" s="3" t="s">
        <v>141</v>
      </c>
      <c r="C905" s="3">
        <v>0</v>
      </c>
    </row>
    <row r="906" spans="2:3" hidden="1">
      <c r="B906" s="3" t="s">
        <v>142</v>
      </c>
      <c r="C906" s="3">
        <v>0</v>
      </c>
    </row>
    <row r="907" spans="2:3" hidden="1">
      <c r="B907" s="3" t="s">
        <v>143</v>
      </c>
      <c r="C907" s="3">
        <v>0</v>
      </c>
    </row>
    <row r="908" spans="2:3" hidden="1">
      <c r="B908" s="3" t="s">
        <v>144</v>
      </c>
      <c r="C908" s="3">
        <v>4000</v>
      </c>
    </row>
    <row r="909" spans="2:3" hidden="1">
      <c r="B909" s="3" t="s">
        <v>145</v>
      </c>
      <c r="C909" s="3">
        <v>4</v>
      </c>
    </row>
    <row r="910" spans="2:3" hidden="1">
      <c r="B910" s="3" t="s">
        <v>146</v>
      </c>
      <c r="C910" s="3">
        <v>0</v>
      </c>
    </row>
    <row r="911" spans="2:3" hidden="1">
      <c r="B911" s="3" t="s">
        <v>147</v>
      </c>
      <c r="C911" s="3">
        <v>0</v>
      </c>
    </row>
    <row r="912" spans="2:3" hidden="1">
      <c r="B912" s="3" t="s">
        <v>148</v>
      </c>
      <c r="C912" s="3">
        <v>0</v>
      </c>
    </row>
    <row r="913" spans="2:3" hidden="1">
      <c r="B913" s="3" t="s">
        <v>149</v>
      </c>
      <c r="C913" s="3">
        <v>6</v>
      </c>
    </row>
    <row r="914" spans="2:3" hidden="1">
      <c r="B914" s="3" t="s">
        <v>150</v>
      </c>
      <c r="C914" s="3">
        <v>3.65</v>
      </c>
    </row>
    <row r="915" spans="2:3" hidden="1">
      <c r="B915" s="3" t="s">
        <v>151</v>
      </c>
      <c r="C915" s="3">
        <v>3.38</v>
      </c>
    </row>
    <row r="916" spans="2:3" hidden="1">
      <c r="B916" s="3" t="s">
        <v>152</v>
      </c>
      <c r="C916" s="3">
        <v>1</v>
      </c>
    </row>
    <row r="917" spans="2:3" hidden="1">
      <c r="B917" s="3" t="s">
        <v>153</v>
      </c>
      <c r="C917" s="3">
        <v>0</v>
      </c>
    </row>
    <row r="918" spans="2:3" hidden="1">
      <c r="B918" s="3" t="s">
        <v>154</v>
      </c>
      <c r="C918" s="3">
        <v>21</v>
      </c>
    </row>
    <row r="919" spans="2:3" hidden="1">
      <c r="B919" s="3" t="s">
        <v>155</v>
      </c>
      <c r="C919" s="3">
        <v>0</v>
      </c>
    </row>
    <row r="920" spans="2:3" hidden="1">
      <c r="B920" s="3" t="s">
        <v>156</v>
      </c>
      <c r="C920" s="3">
        <v>0</v>
      </c>
    </row>
    <row r="921" spans="2:3" hidden="1">
      <c r="B921" s="3" t="s">
        <v>157</v>
      </c>
      <c r="C921" s="3">
        <v>0</v>
      </c>
    </row>
    <row r="922" spans="2:3" hidden="1">
      <c r="B922" s="3" t="s">
        <v>158</v>
      </c>
      <c r="C922" s="3">
        <v>3</v>
      </c>
    </row>
    <row r="923" spans="2:3" hidden="1">
      <c r="B923" s="3" t="s">
        <v>159</v>
      </c>
      <c r="C923" s="3">
        <v>0</v>
      </c>
    </row>
    <row r="924" spans="2:3" hidden="1">
      <c r="B924" s="3" t="s">
        <v>160</v>
      </c>
      <c r="C924" s="3">
        <v>0</v>
      </c>
    </row>
    <row r="925" spans="2:3" hidden="1">
      <c r="B925" s="3" t="s">
        <v>161</v>
      </c>
      <c r="C925" s="3">
        <v>60</v>
      </c>
    </row>
    <row r="926" spans="2:3" hidden="1">
      <c r="B926" s="3" t="s">
        <v>162</v>
      </c>
      <c r="C926" s="3">
        <v>0</v>
      </c>
    </row>
    <row r="927" spans="2:3" hidden="1">
      <c r="B927" s="3" t="s">
        <v>163</v>
      </c>
      <c r="C927" s="3">
        <v>2.63</v>
      </c>
    </row>
    <row r="928" spans="2:3" hidden="1">
      <c r="B928" s="3" t="s">
        <v>164</v>
      </c>
      <c r="C928" s="3">
        <v>0</v>
      </c>
    </row>
    <row r="929" spans="2:3" hidden="1">
      <c r="B929" s="3" t="s">
        <v>165</v>
      </c>
      <c r="C929" s="3">
        <v>6800</v>
      </c>
    </row>
    <row r="930" spans="2:3" hidden="1">
      <c r="B930" s="3" t="s">
        <v>166</v>
      </c>
      <c r="C930" s="3">
        <v>0</v>
      </c>
    </row>
    <row r="931" spans="2:3" hidden="1">
      <c r="B931" s="3" t="s">
        <v>167</v>
      </c>
      <c r="C931" s="3">
        <v>0</v>
      </c>
    </row>
    <row r="932" spans="2:3" hidden="1">
      <c r="B932" s="3" t="s">
        <v>168</v>
      </c>
      <c r="C932" s="3">
        <v>8500</v>
      </c>
    </row>
    <row r="933" spans="2:3" hidden="1">
      <c r="B933" s="3" t="s">
        <v>169</v>
      </c>
      <c r="C933" s="3">
        <v>40</v>
      </c>
    </row>
    <row r="934" spans="2:3" hidden="1">
      <c r="B934" s="3" t="s">
        <v>170</v>
      </c>
      <c r="C934" s="3">
        <v>15000</v>
      </c>
    </row>
    <row r="935" spans="2:3" hidden="1">
      <c r="B935" s="3" t="s">
        <v>171</v>
      </c>
      <c r="C935" s="3">
        <v>25</v>
      </c>
    </row>
    <row r="936" spans="2:3" hidden="1">
      <c r="B936" s="3" t="s">
        <v>172</v>
      </c>
      <c r="C936" s="3">
        <v>0</v>
      </c>
    </row>
    <row r="937" spans="2:3" hidden="1">
      <c r="B937" s="3" t="s">
        <v>173</v>
      </c>
      <c r="C937" s="3">
        <v>0</v>
      </c>
    </row>
    <row r="938" spans="2:3" hidden="1">
      <c r="B938" s="3" t="s">
        <v>174</v>
      </c>
      <c r="C938" s="3">
        <v>0</v>
      </c>
    </row>
    <row r="939" spans="2:3" hidden="1">
      <c r="B939" s="3" t="s">
        <v>175</v>
      </c>
      <c r="C939" s="3">
        <v>0</v>
      </c>
    </row>
    <row r="940" spans="2:3" hidden="1">
      <c r="B940" s="3" t="s">
        <v>176</v>
      </c>
      <c r="C940" s="3">
        <v>0</v>
      </c>
    </row>
    <row r="941" spans="2:3" hidden="1">
      <c r="B941" s="3" t="s">
        <v>177</v>
      </c>
      <c r="C941" s="3">
        <v>0</v>
      </c>
    </row>
    <row r="942" spans="2:3" hidden="1">
      <c r="B942" s="3" t="s">
        <v>178</v>
      </c>
      <c r="C942" s="3">
        <v>0</v>
      </c>
    </row>
    <row r="943" spans="2:3" hidden="1">
      <c r="B943" s="3" t="s">
        <v>179</v>
      </c>
      <c r="C943" s="3">
        <v>0</v>
      </c>
    </row>
    <row r="944" spans="2:3" hidden="1">
      <c r="B944" s="3" t="s">
        <v>180</v>
      </c>
      <c r="C944" s="3">
        <v>0</v>
      </c>
    </row>
    <row r="945" spans="2:3" hidden="1">
      <c r="B945" s="3" t="s">
        <v>181</v>
      </c>
      <c r="C945" s="3">
        <v>0</v>
      </c>
    </row>
    <row r="946" spans="2:3" hidden="1">
      <c r="B946" s="3" t="s">
        <v>182</v>
      </c>
      <c r="C946" s="3">
        <v>0</v>
      </c>
    </row>
    <row r="947" spans="2:3" hidden="1">
      <c r="B947" s="3" t="s">
        <v>183</v>
      </c>
      <c r="C947" s="3">
        <v>6</v>
      </c>
    </row>
    <row r="948" spans="2:3" hidden="1">
      <c r="B948" s="3" t="s">
        <v>184</v>
      </c>
      <c r="C948" s="3">
        <v>0</v>
      </c>
    </row>
    <row r="949" spans="2:3" hidden="1">
      <c r="B949" s="3" t="s">
        <v>185</v>
      </c>
      <c r="C949" s="3">
        <v>0</v>
      </c>
    </row>
    <row r="950" spans="2:3" hidden="1">
      <c r="B950" s="3" t="s">
        <v>186</v>
      </c>
      <c r="C950" s="3">
        <v>0</v>
      </c>
    </row>
    <row r="951" spans="2:3" hidden="1">
      <c r="B951" s="3" t="s">
        <v>187</v>
      </c>
      <c r="C951" s="3">
        <v>0</v>
      </c>
    </row>
    <row r="952" spans="2:3" hidden="1">
      <c r="B952" s="3" t="s">
        <v>188</v>
      </c>
      <c r="C952" s="3">
        <v>0</v>
      </c>
    </row>
    <row r="953" spans="2:3" hidden="1">
      <c r="B953" s="3" t="s">
        <v>189</v>
      </c>
      <c r="C953" s="3">
        <v>0</v>
      </c>
    </row>
    <row r="954" spans="2:3" hidden="1">
      <c r="B954" s="3" t="s">
        <v>190</v>
      </c>
      <c r="C954" s="3">
        <v>0</v>
      </c>
    </row>
    <row r="955" spans="2:3" hidden="1">
      <c r="B955" s="3" t="s">
        <v>191</v>
      </c>
      <c r="C955" s="3">
        <v>0</v>
      </c>
    </row>
    <row r="956" spans="2:3" hidden="1">
      <c r="B956" s="3" t="s">
        <v>192</v>
      </c>
      <c r="C956" s="3">
        <v>0</v>
      </c>
    </row>
    <row r="957" spans="2:3" hidden="1">
      <c r="B957" s="3" t="s">
        <v>193</v>
      </c>
      <c r="C957" s="3">
        <v>0</v>
      </c>
    </row>
    <row r="958" spans="2:3" hidden="1">
      <c r="B958" s="3" t="s">
        <v>194</v>
      </c>
      <c r="C958" s="3">
        <v>0</v>
      </c>
    </row>
    <row r="959" spans="2:3" hidden="1">
      <c r="B959" s="3" t="s">
        <v>195</v>
      </c>
      <c r="C959" s="3">
        <v>0</v>
      </c>
    </row>
    <row r="960" spans="2:3" hidden="1">
      <c r="B960" s="3" t="s">
        <v>196</v>
      </c>
      <c r="C960" s="3">
        <v>1</v>
      </c>
    </row>
    <row r="961" spans="2:3" hidden="1">
      <c r="B961" s="3" t="s">
        <v>197</v>
      </c>
      <c r="C961" s="3">
        <v>0</v>
      </c>
    </row>
    <row r="962" spans="2:3" hidden="1">
      <c r="B962" s="3" t="s">
        <v>198</v>
      </c>
      <c r="C962" s="3">
        <v>0</v>
      </c>
    </row>
    <row r="963" spans="2:3" hidden="1">
      <c r="B963" s="3" t="s">
        <v>199</v>
      </c>
      <c r="C963" s="3">
        <v>0</v>
      </c>
    </row>
    <row r="964" spans="2:3" hidden="1">
      <c r="B964" s="3" t="s">
        <v>200</v>
      </c>
      <c r="C964" s="3">
        <v>0</v>
      </c>
    </row>
    <row r="965" spans="2:3" hidden="1">
      <c r="B965" s="3" t="s">
        <v>201</v>
      </c>
      <c r="C965" s="3">
        <v>0</v>
      </c>
    </row>
    <row r="966" spans="2:3" hidden="1">
      <c r="B966" s="3" t="s">
        <v>202</v>
      </c>
      <c r="C966" s="3">
        <v>0</v>
      </c>
    </row>
    <row r="967" spans="2:3" hidden="1">
      <c r="B967" s="3" t="s">
        <v>203</v>
      </c>
      <c r="C967" s="3">
        <v>0</v>
      </c>
    </row>
    <row r="968" spans="2:3" hidden="1">
      <c r="B968" s="3" t="s">
        <v>204</v>
      </c>
      <c r="C968" s="3" t="s">
        <v>205</v>
      </c>
    </row>
    <row r="969" spans="2:3" hidden="1">
      <c r="B969" s="3" t="s">
        <v>206</v>
      </c>
      <c r="C969" s="3" t="s">
        <v>207</v>
      </c>
    </row>
    <row r="970" spans="2:3" hidden="1">
      <c r="B970" s="3" t="s">
        <v>208</v>
      </c>
      <c r="C970" s="3" t="s">
        <v>209</v>
      </c>
    </row>
    <row r="971" spans="2:3" hidden="1">
      <c r="B971" s="3" t="s">
        <v>210</v>
      </c>
      <c r="C971" s="3" t="s">
        <v>211</v>
      </c>
    </row>
    <row r="972" spans="2:3" hidden="1">
      <c r="B972" s="3" t="s">
        <v>212</v>
      </c>
      <c r="C972" s="3" t="s">
        <v>213</v>
      </c>
    </row>
    <row r="973" spans="2:3" hidden="1">
      <c r="B973" s="3" t="s">
        <v>214</v>
      </c>
      <c r="C973" s="3" t="s">
        <v>215</v>
      </c>
    </row>
    <row r="974" spans="2:3" hidden="1">
      <c r="B974" s="3" t="s">
        <v>216</v>
      </c>
      <c r="C974" s="3" t="s">
        <v>217</v>
      </c>
    </row>
    <row r="975" spans="2:3" hidden="1">
      <c r="B975" s="3" t="s">
        <v>218</v>
      </c>
      <c r="C975" s="3" t="s">
        <v>219</v>
      </c>
    </row>
    <row r="976" spans="2:3" hidden="1">
      <c r="B976" s="3" t="s">
        <v>220</v>
      </c>
      <c r="C976" s="3" t="s">
        <v>221</v>
      </c>
    </row>
    <row r="977" spans="2:3" hidden="1">
      <c r="B977" s="3" t="s">
        <v>222</v>
      </c>
      <c r="C977" s="3" t="s">
        <v>223</v>
      </c>
    </row>
    <row r="978" spans="2:3" hidden="1">
      <c r="B978" s="3" t="s">
        <v>224</v>
      </c>
      <c r="C978" s="3" t="s">
        <v>225</v>
      </c>
    </row>
    <row r="979" spans="2:3" hidden="1">
      <c r="B979" s="3" t="s">
        <v>226</v>
      </c>
      <c r="C979" s="3" t="s">
        <v>227</v>
      </c>
    </row>
    <row r="980" spans="2:3" hidden="1">
      <c r="B980" s="3" t="s">
        <v>228</v>
      </c>
      <c r="C980" s="3" t="s">
        <v>225</v>
      </c>
    </row>
    <row r="981" spans="2:3" hidden="1">
      <c r="B981" s="3" t="s">
        <v>229</v>
      </c>
      <c r="C981" s="3" t="s">
        <v>217</v>
      </c>
    </row>
    <row r="982" spans="2:3" hidden="1">
      <c r="B982" s="3" t="s">
        <v>230</v>
      </c>
      <c r="C982" s="3" t="s">
        <v>205</v>
      </c>
    </row>
    <row r="983" spans="2:3" hidden="1">
      <c r="B983" s="3" t="s">
        <v>231</v>
      </c>
      <c r="C983" s="3" t="s">
        <v>225</v>
      </c>
    </row>
    <row r="984" spans="2:3" hidden="1">
      <c r="B984" s="3" t="s">
        <v>232</v>
      </c>
      <c r="C984" s="3" t="s">
        <v>225</v>
      </c>
    </row>
    <row r="985" spans="2:3" hidden="1">
      <c r="B985" s="3" t="s">
        <v>233</v>
      </c>
      <c r="C985" s="3" t="s">
        <v>234</v>
      </c>
    </row>
    <row r="986" spans="2:3" hidden="1">
      <c r="B986" s="3" t="s">
        <v>235</v>
      </c>
      <c r="C986" s="3" t="s">
        <v>236</v>
      </c>
    </row>
    <row r="987" spans="2:3" hidden="1">
      <c r="B987" s="3" t="s">
        <v>237</v>
      </c>
      <c r="C987" s="3" t="s">
        <v>209</v>
      </c>
    </row>
    <row r="988" spans="2:3" hidden="1">
      <c r="B988" s="3" t="s">
        <v>238</v>
      </c>
      <c r="C988" s="3" t="s">
        <v>236</v>
      </c>
    </row>
    <row r="989" spans="2:3" hidden="1">
      <c r="B989" s="3" t="s">
        <v>239</v>
      </c>
      <c r="C989" s="3" t="s">
        <v>240</v>
      </c>
    </row>
    <row r="990" spans="2:3" hidden="1">
      <c r="B990" s="3" t="s">
        <v>241</v>
      </c>
      <c r="C990" s="3" t="s">
        <v>242</v>
      </c>
    </row>
    <row r="991" spans="2:3" hidden="1">
      <c r="B991" s="3" t="s">
        <v>243</v>
      </c>
      <c r="C991" s="3" t="s">
        <v>244</v>
      </c>
    </row>
    <row r="992" spans="2:3" hidden="1">
      <c r="B992" s="3" t="s">
        <v>245</v>
      </c>
      <c r="C992" s="3" t="s">
        <v>205</v>
      </c>
    </row>
    <row r="993" spans="2:3" hidden="1">
      <c r="B993" s="3" t="s">
        <v>246</v>
      </c>
      <c r="C993" s="3" t="s">
        <v>205</v>
      </c>
    </row>
    <row r="994" spans="2:3" hidden="1">
      <c r="B994" s="3" t="s">
        <v>247</v>
      </c>
      <c r="C994" s="3" t="s">
        <v>248</v>
      </c>
    </row>
    <row r="995" spans="2:3" hidden="1">
      <c r="B995" s="3" t="s">
        <v>249</v>
      </c>
      <c r="C995" s="3" t="s">
        <v>250</v>
      </c>
    </row>
    <row r="996" spans="2:3" hidden="1">
      <c r="B996" s="3" t="s">
        <v>251</v>
      </c>
      <c r="C996" s="3">
        <v>0</v>
      </c>
    </row>
    <row r="997" spans="2:3" hidden="1">
      <c r="B997" s="3" t="s">
        <v>252</v>
      </c>
      <c r="C997" s="3">
        <v>0</v>
      </c>
    </row>
    <row r="998" spans="2:3" hidden="1">
      <c r="B998" s="3" t="s">
        <v>253</v>
      </c>
      <c r="C998" s="3">
        <v>0</v>
      </c>
    </row>
    <row r="999" spans="2:3" hidden="1">
      <c r="B999" s="3" t="s">
        <v>254</v>
      </c>
      <c r="C999" s="3" t="s">
        <v>255</v>
      </c>
    </row>
    <row r="1000" spans="2:3" hidden="1">
      <c r="B1000" s="3" t="s">
        <v>256</v>
      </c>
      <c r="C1000" s="3">
        <v>0</v>
      </c>
    </row>
    <row r="1001" spans="2:3" hidden="1">
      <c r="B1001" s="3" t="s">
        <v>257</v>
      </c>
      <c r="C1001" s="3" t="s">
        <v>255</v>
      </c>
    </row>
    <row r="1002" spans="2:3" hidden="1">
      <c r="B1002" s="3" t="s">
        <v>258</v>
      </c>
      <c r="C1002" s="3">
        <v>0</v>
      </c>
    </row>
    <row r="1003" spans="2:3" hidden="1">
      <c r="B1003" s="3" t="s">
        <v>259</v>
      </c>
      <c r="C1003" s="3">
        <v>0</v>
      </c>
    </row>
    <row r="1004" spans="2:3" hidden="1">
      <c r="B1004" s="3" t="s">
        <v>260</v>
      </c>
      <c r="C1004" s="3">
        <v>0</v>
      </c>
    </row>
    <row r="1005" spans="2:3" hidden="1">
      <c r="B1005" s="3" t="s">
        <v>261</v>
      </c>
      <c r="C1005" s="3">
        <v>0</v>
      </c>
    </row>
    <row r="1006" spans="2:3" hidden="1">
      <c r="B1006" s="3" t="s">
        <v>262</v>
      </c>
      <c r="C1006" s="3">
        <v>0</v>
      </c>
    </row>
    <row r="1007" spans="2:3" hidden="1">
      <c r="B1007" s="3" t="s">
        <v>263</v>
      </c>
      <c r="C1007" s="3" t="s">
        <v>264</v>
      </c>
    </row>
    <row r="1008" spans="2:3" hidden="1">
      <c r="B1008" s="3" t="s">
        <v>265</v>
      </c>
      <c r="C1008" s="3">
        <v>0</v>
      </c>
    </row>
    <row r="1009" spans="2:3" hidden="1">
      <c r="B1009" s="3" t="s">
        <v>266</v>
      </c>
      <c r="C1009" s="3">
        <v>0</v>
      </c>
    </row>
    <row r="1010" spans="2:3" hidden="1">
      <c r="B1010" s="3" t="s">
        <v>267</v>
      </c>
      <c r="C1010" s="3">
        <v>0</v>
      </c>
    </row>
    <row r="1011" spans="2:3" hidden="1">
      <c r="B1011" s="3" t="s">
        <v>268</v>
      </c>
      <c r="C1011" s="3">
        <v>0</v>
      </c>
    </row>
    <row r="1012" spans="2:3" hidden="1">
      <c r="B1012" s="3" t="s">
        <v>269</v>
      </c>
      <c r="C1012" s="3">
        <v>0</v>
      </c>
    </row>
    <row r="1013" spans="2:3" hidden="1">
      <c r="B1013" s="3" t="s">
        <v>270</v>
      </c>
      <c r="C1013" s="3">
        <v>0</v>
      </c>
    </row>
    <row r="1014" spans="2:3" hidden="1">
      <c r="B1014" s="3" t="s">
        <v>271</v>
      </c>
      <c r="C1014" s="3">
        <v>0</v>
      </c>
    </row>
    <row r="1015" spans="2:3" hidden="1">
      <c r="B1015" s="3" t="s">
        <v>272</v>
      </c>
      <c r="C1015" s="3" t="s">
        <v>273</v>
      </c>
    </row>
    <row r="1016" spans="2:3" hidden="1">
      <c r="B1016" s="3" t="s">
        <v>274</v>
      </c>
      <c r="C1016" s="3" t="s">
        <v>264</v>
      </c>
    </row>
    <row r="1017" spans="2:3" hidden="1">
      <c r="B1017" s="3" t="s">
        <v>275</v>
      </c>
      <c r="C1017" s="3">
        <v>0</v>
      </c>
    </row>
    <row r="1018" spans="2:3" hidden="1">
      <c r="B1018" s="3" t="s">
        <v>276</v>
      </c>
      <c r="C1018" s="3">
        <v>0</v>
      </c>
    </row>
    <row r="1019" spans="2:3" hidden="1">
      <c r="B1019" s="3" t="s">
        <v>277</v>
      </c>
      <c r="C1019" s="3">
        <v>0</v>
      </c>
    </row>
    <row r="1020" spans="2:3" hidden="1">
      <c r="B1020" s="3" t="s">
        <v>278</v>
      </c>
      <c r="C1020" s="3">
        <v>0</v>
      </c>
    </row>
    <row r="1021" spans="2:3" hidden="1">
      <c r="B1021" s="3" t="s">
        <v>279</v>
      </c>
      <c r="C1021" s="3">
        <v>0</v>
      </c>
    </row>
    <row r="1022" spans="2:3" hidden="1">
      <c r="B1022" s="3" t="s">
        <v>280</v>
      </c>
      <c r="C1022" s="3">
        <v>0</v>
      </c>
    </row>
    <row r="1023" spans="2:3" hidden="1">
      <c r="B1023" s="3" t="s">
        <v>281</v>
      </c>
      <c r="C1023" s="3">
        <v>0</v>
      </c>
    </row>
    <row r="1024" spans="2:3" hidden="1">
      <c r="B1024" s="3" t="s">
        <v>282</v>
      </c>
      <c r="C1024" s="3">
        <v>0</v>
      </c>
    </row>
    <row r="1025" spans="2:3" hidden="1">
      <c r="B1025" s="3" t="s">
        <v>283</v>
      </c>
      <c r="C1025" s="3">
        <v>0</v>
      </c>
    </row>
    <row r="1026" spans="2:3" hidden="1">
      <c r="B1026" s="3" t="s">
        <v>284</v>
      </c>
      <c r="C1026" s="3">
        <v>0</v>
      </c>
    </row>
    <row r="1027" spans="2:3" hidden="1">
      <c r="B1027" s="3" t="s">
        <v>285</v>
      </c>
      <c r="C1027" s="3">
        <v>0</v>
      </c>
    </row>
    <row r="1028" spans="2:3" hidden="1">
      <c r="B1028" s="3" t="s">
        <v>286</v>
      </c>
      <c r="C1028" s="3">
        <v>0</v>
      </c>
    </row>
    <row r="1029" spans="2:3" hidden="1">
      <c r="B1029" s="3" t="s">
        <v>287</v>
      </c>
      <c r="C1029" s="3">
        <v>0</v>
      </c>
    </row>
    <row r="1030" spans="2:3" hidden="1">
      <c r="B1030" s="3" t="s">
        <v>288</v>
      </c>
      <c r="C1030" s="3">
        <v>0</v>
      </c>
    </row>
    <row r="1031" spans="2:3" hidden="1">
      <c r="B1031" s="3" t="s">
        <v>289</v>
      </c>
      <c r="C1031" s="3">
        <v>0</v>
      </c>
    </row>
    <row r="1032" spans="2:3" hidden="1">
      <c r="B1032" s="3" t="s">
        <v>290</v>
      </c>
      <c r="C1032" s="3" t="s">
        <v>264</v>
      </c>
    </row>
    <row r="1033" spans="2:3" hidden="1">
      <c r="B1033" s="3" t="s">
        <v>291</v>
      </c>
      <c r="C1033" s="3" t="s">
        <v>292</v>
      </c>
    </row>
    <row r="1034" spans="2:3" hidden="1">
      <c r="B1034" s="3" t="s">
        <v>293</v>
      </c>
      <c r="C1034" s="3">
        <v>0</v>
      </c>
    </row>
    <row r="1035" spans="2:3" hidden="1">
      <c r="B1035" s="3" t="s">
        <v>294</v>
      </c>
      <c r="C1035" s="3">
        <v>0</v>
      </c>
    </row>
    <row r="1036" spans="2:3" hidden="1">
      <c r="B1036" s="3" t="s">
        <v>295</v>
      </c>
      <c r="C1036" s="3">
        <v>0</v>
      </c>
    </row>
    <row r="1037" spans="2:3" hidden="1">
      <c r="B1037" s="3" t="s">
        <v>296</v>
      </c>
      <c r="C1037" s="3">
        <v>1</v>
      </c>
    </row>
    <row r="1038" spans="2:3" hidden="1">
      <c r="B1038" s="3" t="s">
        <v>297</v>
      </c>
      <c r="C1038" s="3">
        <v>0</v>
      </c>
    </row>
    <row r="1039" spans="2:3" hidden="1">
      <c r="B1039" s="3" t="s">
        <v>298</v>
      </c>
      <c r="C1039" s="3">
        <v>0.3</v>
      </c>
    </row>
    <row r="1040" spans="2:3" hidden="1">
      <c r="B1040" s="3" t="s">
        <v>299</v>
      </c>
      <c r="C1040" s="3">
        <v>0</v>
      </c>
    </row>
    <row r="1041" spans="2:3" hidden="1">
      <c r="B1041" s="3" t="s">
        <v>300</v>
      </c>
      <c r="C1041" s="3">
        <v>0</v>
      </c>
    </row>
    <row r="1042" spans="2:3" hidden="1">
      <c r="B1042" s="3" t="s">
        <v>301</v>
      </c>
      <c r="C1042" s="3">
        <v>0</v>
      </c>
    </row>
    <row r="1043" spans="2:3" hidden="1">
      <c r="B1043" s="3" t="s">
        <v>302</v>
      </c>
      <c r="C1043" s="3">
        <v>0</v>
      </c>
    </row>
    <row r="1044" spans="2:3" hidden="1">
      <c r="B1044" s="3" t="s">
        <v>303</v>
      </c>
      <c r="C1044" s="3">
        <v>0</v>
      </c>
    </row>
    <row r="1045" spans="2:3" hidden="1">
      <c r="B1045" s="3" t="s">
        <v>304</v>
      </c>
      <c r="C1045" s="3">
        <v>1</v>
      </c>
    </row>
    <row r="1046" spans="2:3" hidden="1">
      <c r="B1046" s="3" t="s">
        <v>305</v>
      </c>
      <c r="C1046" s="3">
        <v>0</v>
      </c>
    </row>
    <row r="1047" spans="2:3" hidden="1">
      <c r="B1047" s="3" t="s">
        <v>306</v>
      </c>
      <c r="C1047" s="3">
        <v>0</v>
      </c>
    </row>
    <row r="1048" spans="2:3" hidden="1">
      <c r="B1048" s="3" t="s">
        <v>307</v>
      </c>
      <c r="C1048" s="3">
        <v>0</v>
      </c>
    </row>
    <row r="1049" spans="2:3" hidden="1">
      <c r="B1049" s="3" t="s">
        <v>308</v>
      </c>
      <c r="C1049" s="3">
        <v>0</v>
      </c>
    </row>
    <row r="1050" spans="2:3" hidden="1">
      <c r="B1050" s="3" t="s">
        <v>309</v>
      </c>
      <c r="C1050" s="3">
        <v>0</v>
      </c>
    </row>
    <row r="1051" spans="2:3" hidden="1">
      <c r="B1051" s="3" t="s">
        <v>310</v>
      </c>
      <c r="C1051" s="3">
        <v>0</v>
      </c>
    </row>
    <row r="1052" spans="2:3" hidden="1">
      <c r="B1052" s="3" t="s">
        <v>311</v>
      </c>
      <c r="C1052" s="3">
        <v>0</v>
      </c>
    </row>
    <row r="1053" spans="2:3" hidden="1">
      <c r="B1053" s="3" t="s">
        <v>312</v>
      </c>
      <c r="C1053" s="3">
        <v>2</v>
      </c>
    </row>
    <row r="1054" spans="2:3" hidden="1">
      <c r="B1054" s="3" t="s">
        <v>313</v>
      </c>
      <c r="C1054" s="3">
        <v>0</v>
      </c>
    </row>
    <row r="1055" spans="2:3" hidden="1">
      <c r="B1055" s="3" t="s">
        <v>314</v>
      </c>
      <c r="C1055" s="3">
        <v>1</v>
      </c>
    </row>
    <row r="1056" spans="2:3" hidden="1">
      <c r="B1056" s="3" t="s">
        <v>315</v>
      </c>
      <c r="C1056" s="3">
        <v>0</v>
      </c>
    </row>
    <row r="1057" spans="2:3" hidden="1">
      <c r="B1057" s="3" t="s">
        <v>316</v>
      </c>
      <c r="C1057" s="3">
        <v>0</v>
      </c>
    </row>
    <row r="1058" spans="2:3" hidden="1">
      <c r="B1058" s="3" t="s">
        <v>317</v>
      </c>
      <c r="C1058" s="3">
        <v>0</v>
      </c>
    </row>
    <row r="1059" spans="2:3" hidden="1">
      <c r="B1059" s="3" t="s">
        <v>318</v>
      </c>
      <c r="C1059" s="3">
        <v>0</v>
      </c>
    </row>
    <row r="1060" spans="2:3" hidden="1">
      <c r="B1060" s="3" t="s">
        <v>319</v>
      </c>
      <c r="C1060" s="3">
        <v>0</v>
      </c>
    </row>
    <row r="1061" spans="2:3" hidden="1">
      <c r="B1061" s="3" t="s">
        <v>320</v>
      </c>
      <c r="C1061" s="3">
        <v>0</v>
      </c>
    </row>
    <row r="1062" spans="2:3" hidden="1">
      <c r="B1062" s="3" t="s">
        <v>321</v>
      </c>
      <c r="C1062" s="3">
        <v>0</v>
      </c>
    </row>
    <row r="1063" spans="2:3" hidden="1">
      <c r="B1063" s="3" t="s">
        <v>322</v>
      </c>
      <c r="C1063" s="3">
        <v>0</v>
      </c>
    </row>
    <row r="1064" spans="2:3" hidden="1">
      <c r="B1064" s="3" t="s">
        <v>323</v>
      </c>
      <c r="C1064" s="3">
        <v>0</v>
      </c>
    </row>
    <row r="1065" spans="2:3" hidden="1">
      <c r="B1065" s="3" t="s">
        <v>324</v>
      </c>
      <c r="C1065" s="3">
        <v>0</v>
      </c>
    </row>
    <row r="1066" spans="2:3" hidden="1">
      <c r="B1066" s="3" t="s">
        <v>325</v>
      </c>
      <c r="C1066" s="3">
        <v>0</v>
      </c>
    </row>
    <row r="1067" spans="2:3" hidden="1">
      <c r="B1067" s="3" t="s">
        <v>326</v>
      </c>
      <c r="C1067" s="3">
        <v>0</v>
      </c>
    </row>
    <row r="1068" spans="2:3" hidden="1">
      <c r="B1068" s="3" t="s">
        <v>327</v>
      </c>
      <c r="C1068" s="3">
        <v>0</v>
      </c>
    </row>
    <row r="1069" spans="2:3" hidden="1">
      <c r="B1069" s="3" t="s">
        <v>328</v>
      </c>
      <c r="C1069" s="3">
        <v>0</v>
      </c>
    </row>
    <row r="1070" spans="2:3" hidden="1">
      <c r="B1070" s="3" t="s">
        <v>329</v>
      </c>
      <c r="C1070" s="3">
        <v>0</v>
      </c>
    </row>
    <row r="1071" spans="2:3" hidden="1">
      <c r="B1071" s="3" t="s">
        <v>330</v>
      </c>
      <c r="C1071" s="3">
        <v>0</v>
      </c>
    </row>
    <row r="1072" spans="2:3" hidden="1">
      <c r="B1072" s="3" t="s">
        <v>331</v>
      </c>
      <c r="C1072" s="3">
        <v>0</v>
      </c>
    </row>
    <row r="1073" spans="2:3" hidden="1">
      <c r="B1073" s="3" t="s">
        <v>332</v>
      </c>
      <c r="C1073" s="3">
        <v>1</v>
      </c>
    </row>
    <row r="1074" spans="2:3" hidden="1">
      <c r="B1074" s="3" t="s">
        <v>333</v>
      </c>
      <c r="C1074" s="3">
        <v>0</v>
      </c>
    </row>
    <row r="1075" spans="2:3" hidden="1">
      <c r="B1075" s="3" t="s">
        <v>334</v>
      </c>
      <c r="C1075" s="3">
        <v>0</v>
      </c>
    </row>
    <row r="1076" spans="2:3" hidden="1">
      <c r="B1076" s="3" t="s">
        <v>335</v>
      </c>
      <c r="C1076" s="3">
        <v>0</v>
      </c>
    </row>
    <row r="1077" spans="2:3" hidden="1">
      <c r="B1077" s="3" t="s">
        <v>336</v>
      </c>
      <c r="C1077" s="3">
        <v>0</v>
      </c>
    </row>
    <row r="1078" spans="2:3" hidden="1">
      <c r="B1078" s="3" t="s">
        <v>337</v>
      </c>
      <c r="C1078" s="3">
        <v>0</v>
      </c>
    </row>
    <row r="1079" spans="2:3" hidden="1">
      <c r="B1079" s="3" t="s">
        <v>338</v>
      </c>
      <c r="C1079" s="3">
        <v>0</v>
      </c>
    </row>
    <row r="1080" spans="2:3" hidden="1">
      <c r="B1080" s="3" t="s">
        <v>339</v>
      </c>
      <c r="C1080" s="3">
        <v>0</v>
      </c>
    </row>
    <row r="1081" spans="2:3" hidden="1">
      <c r="B1081" s="3" t="s">
        <v>340</v>
      </c>
      <c r="C1081" s="3">
        <v>0</v>
      </c>
    </row>
    <row r="1082" spans="2:3" hidden="1">
      <c r="B1082" s="3" t="s">
        <v>341</v>
      </c>
      <c r="C1082" s="3">
        <v>0</v>
      </c>
    </row>
    <row r="1083" spans="2:3" hidden="1">
      <c r="B1083" s="3" t="s">
        <v>342</v>
      </c>
      <c r="C1083" s="3">
        <v>0</v>
      </c>
    </row>
    <row r="1084" spans="2:3" hidden="1">
      <c r="B1084" s="3" t="s">
        <v>343</v>
      </c>
      <c r="C1084" s="3">
        <v>0</v>
      </c>
    </row>
    <row r="1085" spans="2:3" hidden="1">
      <c r="B1085" s="3" t="s">
        <v>344</v>
      </c>
      <c r="C1085" s="3">
        <v>0</v>
      </c>
    </row>
    <row r="1086" spans="2:3" hidden="1">
      <c r="B1086" s="3" t="s">
        <v>345</v>
      </c>
      <c r="C1086" s="3">
        <v>0</v>
      </c>
    </row>
    <row r="1087" spans="2:3" hidden="1">
      <c r="B1087" s="3" t="s">
        <v>346</v>
      </c>
      <c r="C1087" s="3">
        <v>0</v>
      </c>
    </row>
    <row r="1088" spans="2:3" hidden="1">
      <c r="B1088" s="3" t="s">
        <v>347</v>
      </c>
      <c r="C1088" s="3">
        <v>0</v>
      </c>
    </row>
    <row r="1089" spans="2:3" hidden="1">
      <c r="B1089" s="3" t="s">
        <v>348</v>
      </c>
      <c r="C1089" s="3">
        <v>0</v>
      </c>
    </row>
    <row r="1090" spans="2:3" hidden="1">
      <c r="B1090" s="3" t="s">
        <v>349</v>
      </c>
      <c r="C1090" s="3">
        <v>0</v>
      </c>
    </row>
    <row r="1091" spans="2:3" hidden="1">
      <c r="B1091" s="3" t="s">
        <v>350</v>
      </c>
      <c r="C1091" s="3">
        <v>0</v>
      </c>
    </row>
    <row r="1092" spans="2:3" hidden="1">
      <c r="B1092" s="3" t="s">
        <v>351</v>
      </c>
      <c r="C1092" s="3">
        <v>0</v>
      </c>
    </row>
    <row r="1093" spans="2:3" hidden="1">
      <c r="B1093" s="3" t="s">
        <v>352</v>
      </c>
      <c r="C1093" s="3">
        <v>0</v>
      </c>
    </row>
    <row r="1094" spans="2:3" hidden="1">
      <c r="B1094" s="3" t="s">
        <v>353</v>
      </c>
      <c r="C1094" s="3">
        <v>0</v>
      </c>
    </row>
    <row r="1095" spans="2:3" hidden="1">
      <c r="B1095" s="3" t="s">
        <v>354</v>
      </c>
      <c r="C1095" s="3">
        <v>0</v>
      </c>
    </row>
    <row r="1096" spans="2:3" hidden="1">
      <c r="B1096" s="3" t="s">
        <v>355</v>
      </c>
      <c r="C1096" s="3">
        <v>0</v>
      </c>
    </row>
    <row r="1097" spans="2:3" hidden="1">
      <c r="B1097" s="3" t="s">
        <v>356</v>
      </c>
      <c r="C1097" s="3">
        <v>0</v>
      </c>
    </row>
    <row r="1098" spans="2:3" hidden="1">
      <c r="B1098" s="3" t="s">
        <v>357</v>
      </c>
      <c r="C1098" s="3">
        <v>0</v>
      </c>
    </row>
    <row r="1099" spans="2:3" hidden="1">
      <c r="B1099" s="3" t="s">
        <v>358</v>
      </c>
      <c r="C1099" s="3">
        <v>0</v>
      </c>
    </row>
    <row r="1100" spans="2:3" hidden="1">
      <c r="B1100" s="3" t="s">
        <v>359</v>
      </c>
      <c r="C1100" s="3">
        <v>0</v>
      </c>
    </row>
    <row r="1101" spans="2:3" hidden="1">
      <c r="B1101" s="3" t="s">
        <v>360</v>
      </c>
      <c r="C1101" s="3">
        <v>0</v>
      </c>
    </row>
    <row r="1102" spans="2:3" hidden="1">
      <c r="B1102" s="3" t="s">
        <v>361</v>
      </c>
      <c r="C1102" s="3">
        <v>0</v>
      </c>
    </row>
    <row r="1103" spans="2:3" hidden="1">
      <c r="B1103" s="3" t="s">
        <v>362</v>
      </c>
      <c r="C1103" s="3">
        <v>0</v>
      </c>
    </row>
    <row r="1104" spans="2:3" hidden="1">
      <c r="B1104" s="3" t="s">
        <v>363</v>
      </c>
      <c r="C1104" s="3">
        <v>0</v>
      </c>
    </row>
    <row r="1105" spans="2:3" hidden="1">
      <c r="B1105" s="3" t="s">
        <v>364</v>
      </c>
      <c r="C1105" s="3">
        <v>0</v>
      </c>
    </row>
    <row r="1106" spans="2:3" hidden="1">
      <c r="B1106" s="3" t="s">
        <v>365</v>
      </c>
      <c r="C1106" s="3">
        <v>0</v>
      </c>
    </row>
    <row r="1107" spans="2:3" hidden="1">
      <c r="B1107" s="3" t="s">
        <v>366</v>
      </c>
      <c r="C1107" s="3">
        <v>0</v>
      </c>
    </row>
    <row r="1108" spans="2:3" hidden="1">
      <c r="B1108" s="3" t="s">
        <v>367</v>
      </c>
      <c r="C1108" s="3">
        <v>0</v>
      </c>
    </row>
    <row r="1109" spans="2:3" hidden="1">
      <c r="B1109" s="3" t="s">
        <v>368</v>
      </c>
      <c r="C1109" s="3">
        <v>0</v>
      </c>
    </row>
    <row r="1110" spans="2:3" hidden="1">
      <c r="B1110" s="3" t="s">
        <v>369</v>
      </c>
      <c r="C1110" s="3">
        <v>0</v>
      </c>
    </row>
    <row r="1111" spans="2:3" hidden="1">
      <c r="B1111" s="3" t="s">
        <v>370</v>
      </c>
      <c r="C1111" s="3">
        <v>0</v>
      </c>
    </row>
    <row r="1112" spans="2:3" hidden="1">
      <c r="B1112" s="3" t="s">
        <v>371</v>
      </c>
      <c r="C1112" s="3">
        <v>0</v>
      </c>
    </row>
    <row r="1113" spans="2:3" hidden="1">
      <c r="B1113" s="3" t="s">
        <v>372</v>
      </c>
      <c r="C1113" s="3">
        <v>0</v>
      </c>
    </row>
    <row r="1048548" ht="6.75" hidden="1" customHeight="1"/>
  </sheetData>
  <sheetProtection sheet="1" objects="1" scenarios="1"/>
  <mergeCells count="7">
    <mergeCell ref="D38:E38"/>
    <mergeCell ref="D39:E39"/>
    <mergeCell ref="N2:R2"/>
    <mergeCell ref="L4:L8"/>
    <mergeCell ref="B1:H1"/>
    <mergeCell ref="D36:E36"/>
    <mergeCell ref="D37:E37"/>
  </mergeCells>
  <pageMargins left="0.25" right="0.25" top="0.75" bottom="0.75" header="0.3" footer="0.3"/>
  <pageSetup scale="87" orientation="portrait" r:id="rId1"/>
  <ignoredErrors>
    <ignoredError sqref="G10 E10:E14 G14 G15:G20 C4 E16"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42099-45FA-4084-9134-F3158611363E}">
  <dimension ref="A1:L70"/>
  <sheetViews>
    <sheetView topLeftCell="A37" workbookViewId="0">
      <selection activeCell="B68" sqref="B68"/>
    </sheetView>
  </sheetViews>
  <sheetFormatPr defaultRowHeight="15"/>
  <cols>
    <col min="1" max="1" width="51.375" customWidth="1"/>
    <col min="2" max="3" width="18.375" bestFit="1" customWidth="1"/>
    <col min="6" max="6" width="13.375" bestFit="1" customWidth="1"/>
    <col min="7" max="8" width="8.25" bestFit="1" customWidth="1"/>
    <col min="10" max="10" width="14.875" customWidth="1"/>
    <col min="14" max="14" width="13.5" bestFit="1" customWidth="1"/>
  </cols>
  <sheetData>
    <row r="1" spans="1:5">
      <c r="A1" s="144" t="s">
        <v>522</v>
      </c>
    </row>
    <row r="2" spans="1:5">
      <c r="A2" s="144"/>
    </row>
    <row r="3" spans="1:5">
      <c r="A3" s="144" t="s">
        <v>558</v>
      </c>
    </row>
    <row r="4" spans="1:5">
      <c r="A4" t="s">
        <v>377</v>
      </c>
      <c r="C4" s="159">
        <v>64</v>
      </c>
      <c r="D4" t="s">
        <v>544</v>
      </c>
    </row>
    <row r="5" spans="1:5">
      <c r="A5" s="190" t="s">
        <v>532</v>
      </c>
    </row>
    <row r="6" spans="1:5">
      <c r="A6" t="s">
        <v>533</v>
      </c>
      <c r="B6" s="145">
        <f>B57</f>
        <v>1.7466500467435335</v>
      </c>
      <c r="C6" s="182">
        <f>C4*B6*B55/100</f>
        <v>55.892801495793073</v>
      </c>
      <c r="D6" t="s">
        <v>456</v>
      </c>
    </row>
    <row r="7" spans="1:5">
      <c r="A7" t="s">
        <v>534</v>
      </c>
      <c r="B7" s="145">
        <v>0.98</v>
      </c>
      <c r="C7" s="182">
        <f>C4*B7</f>
        <v>62.72</v>
      </c>
      <c r="D7" t="s">
        <v>544</v>
      </c>
    </row>
    <row r="8" spans="1:5">
      <c r="A8" t="s">
        <v>559</v>
      </c>
      <c r="B8" s="182">
        <v>110</v>
      </c>
      <c r="E8" t="s">
        <v>560</v>
      </c>
    </row>
    <row r="10" spans="1:5">
      <c r="A10" s="144"/>
    </row>
    <row r="11" spans="1:5">
      <c r="A11" s="144" t="s">
        <v>523</v>
      </c>
      <c r="B11" s="144">
        <v>2027</v>
      </c>
    </row>
    <row r="12" spans="1:5">
      <c r="A12" s="144" t="s">
        <v>524</v>
      </c>
      <c r="B12" s="182">
        <v>61</v>
      </c>
    </row>
    <row r="13" spans="1:5">
      <c r="A13" s="144" t="s">
        <v>525</v>
      </c>
      <c r="B13" s="182">
        <v>67</v>
      </c>
    </row>
    <row r="14" spans="1:5">
      <c r="A14" s="144" t="s">
        <v>526</v>
      </c>
      <c r="B14" s="182">
        <v>64</v>
      </c>
    </row>
    <row r="15" spans="1:5">
      <c r="A15" s="144"/>
    </row>
    <row r="16" spans="1:5">
      <c r="A16" s="144" t="s">
        <v>527</v>
      </c>
      <c r="B16" s="144">
        <v>2027</v>
      </c>
    </row>
    <row r="17" spans="1:6">
      <c r="A17" t="s">
        <v>457</v>
      </c>
      <c r="B17">
        <v>64.38</v>
      </c>
    </row>
    <row r="18" spans="1:6">
      <c r="A18" s="144"/>
    </row>
    <row r="19" spans="1:6">
      <c r="A19" s="144" t="s">
        <v>528</v>
      </c>
      <c r="C19" s="144" t="s">
        <v>529</v>
      </c>
      <c r="D19" s="144" t="s">
        <v>530</v>
      </c>
      <c r="E19" s="144"/>
      <c r="F19" s="144" t="s">
        <v>458</v>
      </c>
    </row>
    <row r="20" spans="1:6">
      <c r="A20" s="183">
        <v>46419</v>
      </c>
      <c r="C20">
        <v>71.7</v>
      </c>
      <c r="D20">
        <f t="shared" ref="D20:D27" si="0">C20*$F$20</f>
        <v>50.19</v>
      </c>
      <c r="F20" s="145">
        <v>0.7</v>
      </c>
    </row>
    <row r="21" spans="1:6">
      <c r="A21" s="183">
        <v>46478</v>
      </c>
      <c r="C21">
        <v>76.7</v>
      </c>
      <c r="D21">
        <f t="shared" si="0"/>
        <v>53.69</v>
      </c>
    </row>
    <row r="22" spans="1:6">
      <c r="A22" s="183">
        <v>46508</v>
      </c>
      <c r="C22">
        <v>81.625</v>
      </c>
      <c r="D22">
        <f t="shared" si="0"/>
        <v>57.137499999999996</v>
      </c>
    </row>
    <row r="23" spans="1:6">
      <c r="A23" s="183">
        <v>46539</v>
      </c>
      <c r="C23">
        <v>90.45</v>
      </c>
      <c r="D23">
        <f t="shared" si="0"/>
        <v>63.314999999999998</v>
      </c>
    </row>
    <row r="24" spans="1:6">
      <c r="A24" s="183">
        <v>46569</v>
      </c>
      <c r="C24">
        <v>92.4</v>
      </c>
      <c r="D24">
        <f t="shared" si="0"/>
        <v>64.680000000000007</v>
      </c>
    </row>
    <row r="25" spans="1:6">
      <c r="A25" s="183">
        <v>46600</v>
      </c>
      <c r="C25">
        <v>92.224999999999994</v>
      </c>
      <c r="D25">
        <f t="shared" si="0"/>
        <v>64.55749999999999</v>
      </c>
    </row>
    <row r="26" spans="1:6">
      <c r="A26" s="183">
        <v>46661</v>
      </c>
      <c r="C26">
        <v>78.075000000000003</v>
      </c>
      <c r="D26">
        <f t="shared" si="0"/>
        <v>54.652499999999996</v>
      </c>
    </row>
    <row r="27" spans="1:6">
      <c r="A27" s="183">
        <v>46722</v>
      </c>
      <c r="C27">
        <v>71.474999999999994</v>
      </c>
      <c r="D27">
        <f t="shared" si="0"/>
        <v>50.032499999999992</v>
      </c>
    </row>
    <row r="28" spans="1:6">
      <c r="A28" t="s">
        <v>531</v>
      </c>
      <c r="D28">
        <f>AVERAGE(D20:D27)</f>
        <v>57.281874999999992</v>
      </c>
    </row>
    <row r="29" spans="1:6">
      <c r="A29" s="144"/>
    </row>
    <row r="30" spans="1:6">
      <c r="A30" s="144"/>
    </row>
    <row r="33" spans="1:6">
      <c r="A33" s="144" t="s">
        <v>535</v>
      </c>
    </row>
    <row r="34" spans="1:6">
      <c r="A34" t="s">
        <v>538</v>
      </c>
      <c r="B34" s="182">
        <v>64.180000000000007</v>
      </c>
      <c r="C34" t="s">
        <v>544</v>
      </c>
    </row>
    <row r="35" spans="1:6">
      <c r="A35" t="s">
        <v>536</v>
      </c>
      <c r="B35" t="s">
        <v>537</v>
      </c>
      <c r="C35" t="s">
        <v>543</v>
      </c>
    </row>
    <row r="36" spans="1:6">
      <c r="B36">
        <v>371</v>
      </c>
      <c r="C36" s="182">
        <v>62.59</v>
      </c>
    </row>
    <row r="37" spans="1:6">
      <c r="B37">
        <v>425</v>
      </c>
      <c r="C37" s="182">
        <v>64.650000000000006</v>
      </c>
    </row>
    <row r="38" spans="1:6">
      <c r="B38">
        <v>476</v>
      </c>
      <c r="C38" s="182">
        <v>70.16</v>
      </c>
    </row>
    <row r="39" spans="1:6">
      <c r="B39">
        <v>523</v>
      </c>
      <c r="C39" s="182">
        <v>71.11</v>
      </c>
    </row>
    <row r="40" spans="1:6">
      <c r="B40">
        <v>589</v>
      </c>
      <c r="C40" s="182">
        <v>72.27</v>
      </c>
    </row>
    <row r="41" spans="1:6">
      <c r="C41" s="182">
        <f>AVERAGE(C36:C40)</f>
        <v>68.155999999999992</v>
      </c>
    </row>
    <row r="42" spans="1:6">
      <c r="C42" s="182"/>
    </row>
    <row r="43" spans="1:6">
      <c r="A43" s="144" t="s">
        <v>556</v>
      </c>
    </row>
    <row r="44" spans="1:6">
      <c r="A44" s="185" t="s">
        <v>549</v>
      </c>
      <c r="B44" s="185" t="s">
        <v>550</v>
      </c>
      <c r="C44" s="185"/>
      <c r="D44" s="185"/>
      <c r="E44" s="185"/>
      <c r="F44" s="185"/>
    </row>
    <row r="45" spans="1:6">
      <c r="A45" s="186" t="s">
        <v>551</v>
      </c>
      <c r="B45" s="186">
        <v>2022</v>
      </c>
      <c r="C45" s="186">
        <v>2023</v>
      </c>
      <c r="D45" s="186">
        <v>2024</v>
      </c>
      <c r="E45" s="186">
        <v>2025</v>
      </c>
      <c r="F45" s="186">
        <v>2026</v>
      </c>
    </row>
    <row r="46" spans="1:6">
      <c r="A46" s="187" t="s">
        <v>552</v>
      </c>
      <c r="B46" s="158">
        <v>73.146153846153851</v>
      </c>
      <c r="C46" s="158">
        <v>62.907692307692315</v>
      </c>
      <c r="D46" s="158">
        <v>64.3</v>
      </c>
      <c r="E46" s="158">
        <v>69.869230769230768</v>
      </c>
      <c r="F46" s="158">
        <v>67.785714285714292</v>
      </c>
    </row>
    <row r="47" spans="1:6">
      <c r="A47" s="187" t="s">
        <v>553</v>
      </c>
      <c r="B47" s="158">
        <v>67.892307692307696</v>
      </c>
      <c r="C47" s="158">
        <v>47.153846153846153</v>
      </c>
      <c r="D47" s="158">
        <v>60.100000000000016</v>
      </c>
      <c r="E47" s="158">
        <v>72.861538461538458</v>
      </c>
      <c r="F47" s="158">
        <v>65.157142857142858</v>
      </c>
    </row>
    <row r="48" spans="1:6">
      <c r="A48" s="188" t="s">
        <v>554</v>
      </c>
      <c r="B48" s="189">
        <v>70.519230769230774</v>
      </c>
      <c r="C48" s="189">
        <v>55.030769230769231</v>
      </c>
      <c r="D48" s="189">
        <v>62.199999999999996</v>
      </c>
      <c r="E48" s="189">
        <v>71.365384615384627</v>
      </c>
      <c r="F48" s="189">
        <v>66.471428571428575</v>
      </c>
    </row>
    <row r="50" spans="1:12">
      <c r="A50" t="s">
        <v>555</v>
      </c>
      <c r="B50" s="145">
        <f>B47/B46</f>
        <v>0.92817330949626664</v>
      </c>
      <c r="C50" s="145">
        <f t="shared" ref="C50:F50" si="1">C47/C46</f>
        <v>0.74957202249938848</v>
      </c>
      <c r="D50" s="145">
        <f t="shared" si="1"/>
        <v>0.93468118195956484</v>
      </c>
      <c r="E50" s="145">
        <f t="shared" si="1"/>
        <v>1.0428272597159529</v>
      </c>
      <c r="F50" s="145">
        <f t="shared" si="1"/>
        <v>0.96122233930453105</v>
      </c>
      <c r="G50" s="145"/>
    </row>
    <row r="51" spans="1:12">
      <c r="A51" t="s">
        <v>557</v>
      </c>
    </row>
    <row r="52" spans="1:12">
      <c r="C52" s="182"/>
    </row>
    <row r="53" spans="1:12">
      <c r="A53" s="144" t="s">
        <v>539</v>
      </c>
    </row>
    <row r="54" spans="1:12">
      <c r="A54" t="s">
        <v>540</v>
      </c>
      <c r="B54" s="182">
        <v>56.05</v>
      </c>
      <c r="C54" t="s">
        <v>541</v>
      </c>
    </row>
    <row r="55" spans="1:12">
      <c r="A55" t="s">
        <v>546</v>
      </c>
      <c r="B55">
        <v>50</v>
      </c>
      <c r="C55" s="184" t="s">
        <v>545</v>
      </c>
    </row>
    <row r="56" spans="1:12">
      <c r="A56" t="s">
        <v>547</v>
      </c>
      <c r="B56" s="182">
        <f>B54/B55*100</f>
        <v>112.1</v>
      </c>
      <c r="C56" t="s">
        <v>542</v>
      </c>
    </row>
    <row r="57" spans="1:12">
      <c r="A57" t="s">
        <v>548</v>
      </c>
      <c r="B57" s="158">
        <f>B56/B34</f>
        <v>1.7466500467435335</v>
      </c>
    </row>
    <row r="61" spans="1:12">
      <c r="A61" s="144" t="s">
        <v>569</v>
      </c>
    </row>
    <row r="62" spans="1:12">
      <c r="B62" t="s">
        <v>562</v>
      </c>
      <c r="C62" t="s">
        <v>565</v>
      </c>
      <c r="F62" t="s">
        <v>566</v>
      </c>
      <c r="G62" t="s">
        <v>567</v>
      </c>
      <c r="J62" t="s">
        <v>568</v>
      </c>
      <c r="K62" t="s">
        <v>567</v>
      </c>
    </row>
    <row r="63" spans="1:12">
      <c r="A63" t="s">
        <v>561</v>
      </c>
      <c r="B63">
        <v>9.6999999999999993</v>
      </c>
      <c r="C63" s="191">
        <v>3.9E-2</v>
      </c>
      <c r="D63" s="182">
        <f>B63*(1+$C$63)^7</f>
        <v>12.678870532642666</v>
      </c>
      <c r="F63">
        <v>3.47</v>
      </c>
      <c r="G63" s="191">
        <v>3.5000000000000003E-2</v>
      </c>
      <c r="H63" s="182">
        <f>F63*(1+$G$63)^2</f>
        <v>3.7171507499999996</v>
      </c>
      <c r="J63">
        <v>3.6</v>
      </c>
      <c r="K63" s="191">
        <v>3.5000000000000003E-2</v>
      </c>
      <c r="L63" s="182">
        <f>J63*(1+$G$63)^2</f>
        <v>3.8564099999999994</v>
      </c>
    </row>
    <row r="64" spans="1:12" ht="15.75">
      <c r="A64" s="120" t="s">
        <v>27</v>
      </c>
      <c r="B64">
        <v>3.57</v>
      </c>
      <c r="D64" s="182">
        <f t="shared" ref="D64:D68" si="2">B64*(1+$C$63)^7</f>
        <v>4.666347196034466</v>
      </c>
      <c r="F64">
        <v>2.68</v>
      </c>
      <c r="H64" s="182">
        <f t="shared" ref="H64:H68" si="3">F64*(1+$G$63)^2</f>
        <v>2.8708829999999996</v>
      </c>
      <c r="J64">
        <v>1.69</v>
      </c>
      <c r="L64" s="182">
        <f t="shared" ref="L64:L68" si="4">J64*(1+$G$63)^2</f>
        <v>1.8103702499999996</v>
      </c>
    </row>
    <row r="65" spans="1:12" ht="15.75">
      <c r="A65" s="35" t="s">
        <v>564</v>
      </c>
      <c r="B65">
        <f>2.02+1.38</f>
        <v>3.4</v>
      </c>
      <c r="D65" s="182">
        <f t="shared" si="2"/>
        <v>4.4441401866994914</v>
      </c>
      <c r="F65">
        <f>1.9+1.03</f>
        <v>2.9299999999999997</v>
      </c>
      <c r="H65" s="182">
        <f t="shared" si="3"/>
        <v>3.1386892499999992</v>
      </c>
      <c r="J65">
        <f>1.33+1.52</f>
        <v>2.85</v>
      </c>
      <c r="L65" s="182">
        <f t="shared" si="4"/>
        <v>3.0529912499999998</v>
      </c>
    </row>
    <row r="66" spans="1:12" ht="15.75">
      <c r="A66" s="35" t="s">
        <v>563</v>
      </c>
      <c r="B66">
        <f>2.74+0.12</f>
        <v>2.8600000000000003</v>
      </c>
      <c r="D66" s="182">
        <f t="shared" si="2"/>
        <v>3.7383061570472198</v>
      </c>
      <c r="F66">
        <f>0.89+1.92</f>
        <v>2.81</v>
      </c>
      <c r="H66" s="182">
        <f t="shared" si="3"/>
        <v>3.0101422499999999</v>
      </c>
      <c r="J66">
        <f>0.07+1.57</f>
        <v>1.6400000000000001</v>
      </c>
      <c r="L66" s="182">
        <f t="shared" si="4"/>
        <v>1.7568089999999998</v>
      </c>
    </row>
    <row r="67" spans="1:12">
      <c r="A67" t="s">
        <v>49</v>
      </c>
      <c r="B67">
        <v>1.73</v>
      </c>
      <c r="D67" s="182">
        <f t="shared" si="2"/>
        <v>2.2612830949970943</v>
      </c>
      <c r="F67">
        <v>0.93</v>
      </c>
      <c r="H67" s="182">
        <f t="shared" si="3"/>
        <v>0.99623924999999991</v>
      </c>
      <c r="J67">
        <v>1.08</v>
      </c>
      <c r="L67" s="182">
        <f t="shared" si="4"/>
        <v>1.1569229999999999</v>
      </c>
    </row>
    <row r="68" spans="1:12">
      <c r="A68" t="s">
        <v>571</v>
      </c>
      <c r="B68">
        <v>33.01</v>
      </c>
      <c r="D68" s="182">
        <f t="shared" si="2"/>
        <v>43.147372812632412</v>
      </c>
      <c r="F68">
        <v>16.739999999999998</v>
      </c>
      <c r="H68" s="182">
        <f t="shared" si="3"/>
        <v>17.932306499999996</v>
      </c>
      <c r="J68">
        <v>9.01</v>
      </c>
      <c r="L68" s="182">
        <f t="shared" si="4"/>
        <v>9.6517372499999983</v>
      </c>
    </row>
    <row r="70" spans="1:12">
      <c r="A70" t="s">
        <v>573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608c11-4ccd-421c-a88d-29e29a7a365f">
      <Terms xmlns="http://schemas.microsoft.com/office/infopath/2007/PartnerControls"/>
    </lcf76f155ced4ddcb4097134ff3c332f>
    <TaxCatchAll xmlns="7bd0c97a-79aa-4cc6-bd7d-1cd468b1e455" xsi:nil="true"/>
    <Date xmlns="9f608c11-4ccd-421c-a88d-29e29a7a365f" xsi:nil="true"/>
    <last_x0020_update xmlns="9f608c11-4ccd-421c-a88d-29e29a7a36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995914E1A9804181E196FA66AF5914" ma:contentTypeVersion="22" ma:contentTypeDescription="Create a new document." ma:contentTypeScope="" ma:versionID="49bc3717ac011662a7c70b5c2deb4687">
  <xsd:schema xmlns:xsd="http://www.w3.org/2001/XMLSchema" xmlns:xs="http://www.w3.org/2001/XMLSchema" xmlns:p="http://schemas.microsoft.com/office/2006/metadata/properties" xmlns:ns2="9f608c11-4ccd-421c-a88d-29e29a7a365f" xmlns:ns3="7bd0c97a-79aa-4cc6-bd7d-1cd468b1e455" targetNamespace="http://schemas.microsoft.com/office/2006/metadata/properties" ma:root="true" ma:fieldsID="c18841c0fa0e7a306ce0a97d75ff09cc" ns2:_="" ns3:_="">
    <xsd:import namespace="9f608c11-4ccd-421c-a88d-29e29a7a365f"/>
    <xsd:import namespace="7bd0c97a-79aa-4cc6-bd7d-1cd468b1e4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ast_x0020_update" minOccurs="0"/>
                <xsd:element ref="ns2:MediaServiceLocation"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8c11-4ccd-421c-a88d-29e29a7a3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ast_x0020_update" ma:index="19" nillable="true" ma:displayName="last update" ma:format="DateOnly" ma:internalName="last_x0020_update">
      <xsd:simpleType>
        <xsd:restriction base="dms:DateTime"/>
      </xsd:simpleType>
    </xsd:element>
    <xsd:element name="MediaServiceLocation" ma:index="20" nillable="true" ma:displayName="Location" ma:internalName="MediaServiceLocation" ma:readOnly="true">
      <xsd:simpleType>
        <xsd:restriction base="dms:Text"/>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0c97a-79aa-4cc6-bd7d-1cd468b1e45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1755391-8c5a-49fe-93a6-be9ca737bd28}" ma:internalName="TaxCatchAll" ma:showField="CatchAllData" ma:web="7bd0c97a-79aa-4cc6-bd7d-1cd468b1e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546C5F-DFD2-424D-B57A-31D72B6F8C6D}">
  <ds:schemaRefs>
    <ds:schemaRef ds:uri="http://schemas.microsoft.com/sharepoint/v3/contenttype/forms"/>
  </ds:schemaRefs>
</ds:datastoreItem>
</file>

<file path=customXml/itemProps2.xml><?xml version="1.0" encoding="utf-8"?>
<ds:datastoreItem xmlns:ds="http://schemas.openxmlformats.org/officeDocument/2006/customXml" ds:itemID="{DE6B92D2-4164-4609-B292-8FF7F02C1015}">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http://schemas.microsoft.com/office/2006/metadata/properties"/>
    <ds:schemaRef ds:uri="7bd0c97a-79aa-4cc6-bd7d-1cd468b1e455"/>
    <ds:schemaRef ds:uri="9f608c11-4ccd-421c-a88d-29e29a7a365f"/>
    <ds:schemaRef ds:uri="http://www.w3.org/XML/1998/namespace"/>
    <ds:schemaRef ds:uri="efba6830-88fc-4660-8252-66421c0ed606"/>
    <ds:schemaRef ds:uri="68029b82-de8b-4bb8-a3ab-fd0183ed5d77"/>
  </ds:schemaRefs>
</ds:datastoreItem>
</file>

<file path=customXml/itemProps3.xml><?xml version="1.0" encoding="utf-8"?>
<ds:datastoreItem xmlns:ds="http://schemas.openxmlformats.org/officeDocument/2006/customXml" ds:itemID="{A84D60FC-AFB8-4BEF-880C-DDC2188B74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Introduction</vt:lpstr>
      <vt:lpstr>Inputs</vt:lpstr>
      <vt:lpstr>Farrow-finish</vt:lpstr>
      <vt:lpstr>Farrow-feeder</vt:lpstr>
      <vt:lpstr>Feeder-finish</vt:lpstr>
      <vt:lpstr>Price data and justification</vt:lpstr>
      <vt:lpstr>CornWt</vt:lpstr>
      <vt:lpstr>Pcorn</vt:lpstr>
      <vt:lpstr>Pddg</vt:lpstr>
      <vt:lpstr>Phogs</vt:lpstr>
      <vt:lpstr>poundton</vt:lpstr>
      <vt:lpstr>'Farrow-feeder'!Print_Area</vt:lpstr>
      <vt:lpstr>'Farrow-finish'!Print_Area</vt:lpstr>
      <vt:lpstr>'Feeder-finish'!Print_Area</vt:lpstr>
      <vt:lpstr>Inputs!Print_Area</vt:lpstr>
      <vt:lpstr>ProfitF2F</vt:lpstr>
      <vt:lpstr>ProfitFin</vt:lpstr>
      <vt:lpstr>ProfitFtF</vt:lpstr>
      <vt:lpstr>Psbm</vt:lpstr>
      <vt:lpstr>WeanPerYear</vt:lpstr>
    </vt:vector>
  </TitlesOfParts>
  <Manager/>
  <Company>Curators of the University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Swine (Confinement) Budgets</dc:title>
  <dc:subject>Develop customized budgets to estimate costs and returns for farrow-to-finish, feeder pig and hog finishing swine enterprises in Missouri.</dc:subject>
  <dc:creator>Ryan Milhollin, Magdiel Lopez Soriano, Timothy Safranski</dc:creator>
  <cp:keywords/>
  <dc:description/>
  <cp:lastModifiedBy>Stokes, Victoria</cp:lastModifiedBy>
  <cp:revision/>
  <cp:lastPrinted>2025-10-06T17:31:43Z</cp:lastPrinted>
  <dcterms:created xsi:type="dcterms:W3CDTF">2014-11-07T21:30:57Z</dcterms:created>
  <dcterms:modified xsi:type="dcterms:W3CDTF">2026-10-08T18:51:25Z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0x010100BE995914E1A9804181E196FA66AF5914</vt:lpwstr>
  </property>
</Properties>
</file>