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ailmissouri-my.sharepoint.com/personal/knappv_umsystem_edu/Documents/Documents/ABP pubs/2026 BUDGETS/3-Final/g679-684-beef/"/>
    </mc:Choice>
  </mc:AlternateContent>
  <xr:revisionPtr revIDLastSave="132" documentId="8_{C85A894E-883A-44E5-88AA-D3AB06E9B389}" xr6:coauthVersionLast="47" xr6:coauthVersionMax="47" xr10:uidLastSave="{B88FF9E8-816F-48DE-9EF3-1C96CC198999}"/>
  <workbookProtection lockStructure="1"/>
  <bookViews>
    <workbookView xWindow="32985" yWindow="1995" windowWidth="23730" windowHeight="15480" xr2:uid="{723F6B04-0F39-453F-950C-486EC78D35BA}"/>
  </bookViews>
  <sheets>
    <sheet name="Introduction" sheetId="10" r:id="rId1"/>
    <sheet name="Inputs" sheetId="4" r:id="rId2"/>
    <sheet name="Feed" sheetId="5" r:id="rId3"/>
    <sheet name="Budget - Commercial Sale" sheetId="2" r:id="rId4"/>
    <sheet name="Budget - Freezer Beef" sheetId="9" r:id="rId5"/>
    <sheet name="Retail cuts pricing" sheetId="12" r:id="rId6"/>
    <sheet name="Retail cuts selection" sheetId="11" r:id="rId7"/>
    <sheet name="Marketing cost calculator" sheetId="13" r:id="rId8"/>
  </sheets>
  <definedNames>
    <definedName name="_xlnm.Print_Area" localSheetId="3">'Budget - Commercial Sale'!$A$1:$I$39</definedName>
    <definedName name="_xlnm.Print_Area" localSheetId="4">'Budget - Freezer Beef'!$A$1:$M$33</definedName>
    <definedName name="_xlnm.Print_Area" localSheetId="2">Feed!$A$1:$I$35</definedName>
    <definedName name="_xlnm.Print_Area" localSheetId="1">Inputs!$A$1:$K$53</definedName>
    <definedName name="_xlnm.Print_Area" localSheetId="0">Introduction!$A$1:$D$21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9" l="1"/>
  <c r="H28" i="9"/>
  <c r="H29" i="9"/>
  <c r="H27" i="9"/>
  <c r="H26" i="9"/>
  <c r="E19" i="4"/>
  <c r="E20" i="4"/>
  <c r="H31" i="2" l="1"/>
  <c r="H27" i="2" l="1"/>
  <c r="H26" i="2"/>
  <c r="D50" i="2"/>
  <c r="D49" i="2"/>
  <c r="D48" i="2"/>
  <c r="I43" i="2"/>
  <c r="H43" i="2"/>
  <c r="E43" i="2"/>
  <c r="F43" i="2"/>
  <c r="D47" i="2"/>
  <c r="G43" i="2"/>
  <c r="E16" i="4"/>
  <c r="D45" i="2" l="1"/>
  <c r="D44" i="2"/>
  <c r="D46" i="2"/>
  <c r="H8" i="2"/>
  <c r="I8" i="2" s="1"/>
  <c r="G7" i="5" l="1"/>
  <c r="G6" i="5"/>
  <c r="G5" i="5"/>
  <c r="G4" i="5"/>
  <c r="G3" i="5"/>
  <c r="H28" i="2" l="1"/>
  <c r="H21" i="5"/>
  <c r="E15" i="4"/>
  <c r="H12" i="5" s="1"/>
  <c r="E12" i="4"/>
  <c r="H4" i="5" s="1"/>
  <c r="E13" i="4"/>
  <c r="E14" i="4"/>
  <c r="E17" i="4"/>
  <c r="H13" i="5" s="1"/>
  <c r="E18" i="4"/>
  <c r="H25" i="5"/>
  <c r="E21" i="4"/>
  <c r="H24" i="5" s="1"/>
  <c r="E11" i="4"/>
  <c r="H7" i="5" l="1"/>
  <c r="H16" i="5"/>
  <c r="H15" i="5"/>
  <c r="H14" i="5"/>
  <c r="H22" i="5"/>
  <c r="H3" i="5"/>
  <c r="H23" i="5"/>
  <c r="H5" i="5"/>
  <c r="H6" i="5"/>
  <c r="E24" i="5"/>
  <c r="E13" i="5"/>
  <c r="F24" i="5" l="1"/>
  <c r="F13" i="5"/>
  <c r="G13" i="5" s="1"/>
  <c r="L5" i="9"/>
  <c r="L4" i="9"/>
  <c r="G7" i="9" s="1"/>
  <c r="D12" i="9"/>
  <c r="C12" i="9"/>
  <c r="E2" i="9"/>
  <c r="L14" i="13"/>
  <c r="L11" i="13"/>
  <c r="I10" i="13"/>
  <c r="I15" i="13" s="1"/>
  <c r="M5" i="9" s="1"/>
  <c r="F10" i="13"/>
  <c r="C10" i="13"/>
  <c r="L7" i="13"/>
  <c r="I7" i="13"/>
  <c r="F7" i="13"/>
  <c r="C7" i="13"/>
  <c r="L2" i="13"/>
  <c r="I2" i="13"/>
  <c r="F2" i="13"/>
  <c r="F15" i="13" s="1"/>
  <c r="M4" i="9" s="1"/>
  <c r="G13" i="9" s="1"/>
  <c r="C2" i="13"/>
  <c r="H4" i="2"/>
  <c r="G3" i="9"/>
  <c r="C15" i="13" l="1"/>
  <c r="M3" i="9" s="1"/>
  <c r="L19" i="13"/>
  <c r="M2" i="9" s="1"/>
  <c r="I13" i="5"/>
  <c r="G24" i="5"/>
  <c r="I24" i="5" s="1"/>
  <c r="L7" i="12"/>
  <c r="L8" i="12"/>
  <c r="L9" i="12"/>
  <c r="L4" i="12"/>
  <c r="Q2" i="12"/>
  <c r="P10" i="11"/>
  <c r="P9" i="11"/>
  <c r="P7" i="11"/>
  <c r="D19" i="12"/>
  <c r="F19" i="12" s="1"/>
  <c r="D13" i="12"/>
  <c r="F13" i="12" s="1"/>
  <c r="D6" i="12"/>
  <c r="F6" i="12" s="1"/>
  <c r="E4" i="9"/>
  <c r="AA37" i="11"/>
  <c r="H4" i="11"/>
  <c r="H6" i="11"/>
  <c r="Z48" i="11" l="1"/>
  <c r="AA48" i="11" s="1"/>
  <c r="Z40" i="11"/>
  <c r="AA40" i="11" s="1"/>
  <c r="Z32" i="11"/>
  <c r="AA32" i="11" s="1"/>
  <c r="Z19" i="11"/>
  <c r="AA19" i="11" s="1"/>
  <c r="Z14" i="11"/>
  <c r="H14" i="11"/>
  <c r="H8" i="11"/>
  <c r="H17" i="11"/>
  <c r="H16" i="11"/>
  <c r="H11" i="11"/>
  <c r="H10" i="11"/>
  <c r="AA46" i="11"/>
  <c r="AA47" i="11"/>
  <c r="AC41" i="11"/>
  <c r="AA45" i="11"/>
  <c r="AA44" i="11"/>
  <c r="AA43" i="11"/>
  <c r="AA42" i="11"/>
  <c r="AC33" i="11"/>
  <c r="AA41" i="11"/>
  <c r="AA49" i="11" s="1"/>
  <c r="AC20" i="11"/>
  <c r="AA39" i="11"/>
  <c r="AA38" i="11"/>
  <c r="AA36" i="11"/>
  <c r="AA35" i="11"/>
  <c r="AA34" i="11"/>
  <c r="AA28" i="11"/>
  <c r="AA29" i="11"/>
  <c r="AA27" i="11"/>
  <c r="AA26" i="11"/>
  <c r="AA25" i="11"/>
  <c r="AA23" i="11"/>
  <c r="AA22" i="11"/>
  <c r="AA21" i="11"/>
  <c r="AA18" i="11"/>
  <c r="AA17" i="11"/>
  <c r="AA16" i="11"/>
  <c r="AC5" i="11"/>
  <c r="AA11" i="11"/>
  <c r="AA7" i="11"/>
  <c r="AA8" i="11"/>
  <c r="AA9" i="11"/>
  <c r="AA10" i="11"/>
  <c r="AA12" i="11"/>
  <c r="AA13" i="11"/>
  <c r="AA6" i="11"/>
  <c r="AA14" i="11" l="1"/>
  <c r="Z49" i="11"/>
  <c r="AC15" i="11"/>
  <c r="AC49" i="11" s="1"/>
  <c r="L3" i="9"/>
  <c r="L28" i="11"/>
  <c r="Q3" i="12" l="1"/>
  <c r="L5" i="12" s="1"/>
  <c r="L7" i="11"/>
  <c r="N7" i="11" s="1"/>
  <c r="L9" i="11"/>
  <c r="D22" i="11"/>
  <c r="F22" i="11" s="1"/>
  <c r="L10" i="11"/>
  <c r="L4" i="11"/>
  <c r="N4" i="11" s="1"/>
  <c r="D5" i="12" s="1"/>
  <c r="F5" i="12" s="1"/>
  <c r="D11" i="11"/>
  <c r="F11" i="11" s="1"/>
  <c r="D10" i="11"/>
  <c r="F10" i="11" s="1"/>
  <c r="D4" i="12" s="1"/>
  <c r="F4" i="12" s="1"/>
  <c r="L23" i="11"/>
  <c r="N23" i="11" s="1"/>
  <c r="L20" i="11"/>
  <c r="N20" i="11" s="1"/>
  <c r="D23" i="11"/>
  <c r="F23" i="11" s="1"/>
  <c r="L26" i="11"/>
  <c r="N26" i="11" s="1"/>
  <c r="D20" i="11"/>
  <c r="D25" i="11"/>
  <c r="F25" i="11" s="1"/>
  <c r="D8" i="11"/>
  <c r="F8" i="11" s="1"/>
  <c r="L25" i="11"/>
  <c r="N25" i="11" s="1"/>
  <c r="D17" i="11"/>
  <c r="F17" i="11" s="1"/>
  <c r="L21" i="11"/>
  <c r="L19" i="11"/>
  <c r="N19" i="11" s="1"/>
  <c r="L17" i="11"/>
  <c r="L12" i="11"/>
  <c r="D4" i="11"/>
  <c r="D21" i="11"/>
  <c r="F21" i="11" s="1"/>
  <c r="L24" i="11"/>
  <c r="N24" i="11" s="1"/>
  <c r="D16" i="11"/>
  <c r="F16" i="11" s="1"/>
  <c r="D14" i="11"/>
  <c r="L18" i="11"/>
  <c r="N18" i="11" s="1"/>
  <c r="D14" i="12" s="1"/>
  <c r="F14" i="12" s="1"/>
  <c r="K42" i="9"/>
  <c r="K40" i="9"/>
  <c r="G14" i="9"/>
  <c r="H14" i="9" s="1"/>
  <c r="D6" i="11" l="1"/>
  <c r="F6" i="11" s="1"/>
  <c r="S4" i="11"/>
  <c r="D7" i="12"/>
  <c r="F7" i="12" s="1"/>
  <c r="D8" i="12"/>
  <c r="F8" i="12" s="1"/>
  <c r="D22" i="12"/>
  <c r="F22" i="12" s="1"/>
  <c r="N9" i="11"/>
  <c r="D16" i="12"/>
  <c r="F16" i="12" s="1"/>
  <c r="F20" i="11"/>
  <c r="S8" i="11"/>
  <c r="S7" i="11"/>
  <c r="F14" i="11"/>
  <c r="D9" i="12" s="1"/>
  <c r="F9" i="12" s="1"/>
  <c r="S6" i="11"/>
  <c r="F4" i="11"/>
  <c r="D3" i="12" s="1"/>
  <c r="N17" i="11"/>
  <c r="D15" i="12" s="1"/>
  <c r="F15" i="12" s="1"/>
  <c r="S9" i="11"/>
  <c r="N12" i="11"/>
  <c r="S5" i="11"/>
  <c r="N10" i="11"/>
  <c r="N21" i="11"/>
  <c r="D21" i="12" s="1"/>
  <c r="F21" i="12" s="1"/>
  <c r="H22" i="2"/>
  <c r="I22" i="2" s="1"/>
  <c r="G16" i="9"/>
  <c r="H16" i="9" s="1"/>
  <c r="L14" i="11" l="1"/>
  <c r="N14" i="11" s="1"/>
  <c r="D11" i="12"/>
  <c r="F11" i="12" s="1"/>
  <c r="D10" i="12"/>
  <c r="F3" i="12"/>
  <c r="D26" i="11"/>
  <c r="F26" i="11" s="1"/>
  <c r="D20" i="12" s="1"/>
  <c r="F20" i="12" s="1"/>
  <c r="D12" i="12"/>
  <c r="F12" i="12" s="1"/>
  <c r="L29" i="11"/>
  <c r="S10" i="11"/>
  <c r="T4" i="11"/>
  <c r="V4" i="11" s="1"/>
  <c r="T6" i="11"/>
  <c r="V6" i="11" s="1"/>
  <c r="T5" i="11"/>
  <c r="V5" i="11" s="1"/>
  <c r="T9" i="11"/>
  <c r="V9" i="11" s="1"/>
  <c r="T7" i="11" l="1"/>
  <c r="V7" i="11" s="1"/>
  <c r="D17" i="12"/>
  <c r="F17" i="12" s="1"/>
  <c r="F10" i="12"/>
  <c r="T8" i="11"/>
  <c r="V8" i="11" s="1"/>
  <c r="V10" i="11" l="1"/>
  <c r="T10" i="11"/>
  <c r="M43" i="2"/>
  <c r="M41" i="2"/>
  <c r="D30" i="5"/>
  <c r="G21" i="9"/>
  <c r="H21" i="9" s="1"/>
  <c r="H29" i="2"/>
  <c r="I29" i="2" s="1"/>
  <c r="I28" i="2"/>
  <c r="H5" i="2"/>
  <c r="G8" i="9"/>
  <c r="G9" i="9" s="1"/>
  <c r="K41" i="9"/>
  <c r="K39" i="9"/>
  <c r="M42" i="2"/>
  <c r="M40" i="2"/>
  <c r="G22" i="9" l="1"/>
  <c r="H22" i="9" s="1"/>
  <c r="D18" i="12"/>
  <c r="D23" i="12" s="1"/>
  <c r="Q4" i="12"/>
  <c r="L6" i="12" s="1"/>
  <c r="L10" i="12" s="1"/>
  <c r="G12" i="9" s="1"/>
  <c r="H12" i="9" s="1"/>
  <c r="R11" i="11"/>
  <c r="T11" i="11"/>
  <c r="G23" i="9"/>
  <c r="H23" i="9" s="1"/>
  <c r="H30" i="2"/>
  <c r="I30" i="2" s="1"/>
  <c r="F18" i="12" l="1"/>
  <c r="E24" i="12"/>
  <c r="G4" i="9"/>
  <c r="H20" i="2"/>
  <c r="I20" i="2" s="1"/>
  <c r="F23" i="12" l="1"/>
  <c r="E25" i="12" s="1"/>
  <c r="H18" i="2" l="1"/>
  <c r="I18" i="2" s="1"/>
  <c r="F55" i="4" l="1"/>
  <c r="F54" i="4"/>
  <c r="F53" i="4"/>
  <c r="F52" i="4"/>
  <c r="H15" i="2"/>
  <c r="I15" i="2" s="1"/>
  <c r="I27" i="2" l="1"/>
  <c r="H16" i="2"/>
  <c r="I16" i="2" s="1"/>
  <c r="H17" i="2"/>
  <c r="I17" i="2" s="1"/>
  <c r="H21" i="2"/>
  <c r="H14" i="2"/>
  <c r="I14" i="2" s="1"/>
  <c r="H13" i="2"/>
  <c r="I13" i="2" s="1"/>
  <c r="I21" i="2" l="1"/>
  <c r="G20" i="9"/>
  <c r="H20" i="9" s="1"/>
  <c r="G24" i="9" l="1"/>
  <c r="D32" i="5"/>
  <c r="E32" i="5" s="1"/>
  <c r="D31" i="5"/>
  <c r="E31" i="5" s="1"/>
  <c r="E30" i="5"/>
  <c r="H24" i="9" l="1"/>
  <c r="I6" i="5"/>
  <c r="I4" i="5"/>
  <c r="E12" i="5" l="1"/>
  <c r="F12" i="5" l="1"/>
  <c r="G12" i="5" s="1"/>
  <c r="G15" i="9"/>
  <c r="H15" i="9" s="1"/>
  <c r="C17" i="9" l="1"/>
  <c r="H13" i="9" l="1"/>
  <c r="H19" i="2"/>
  <c r="I19" i="2" l="1"/>
  <c r="H9" i="9"/>
  <c r="E22" i="5"/>
  <c r="E23" i="5"/>
  <c r="E25" i="5"/>
  <c r="E21" i="5"/>
  <c r="E16" i="5"/>
  <c r="E15" i="5"/>
  <c r="E14" i="5"/>
  <c r="F14" i="5" l="1"/>
  <c r="G14" i="5" s="1"/>
  <c r="I14" i="5" s="1"/>
  <c r="F16" i="5"/>
  <c r="G16" i="5" s="1"/>
  <c r="I16" i="5" s="1"/>
  <c r="F25" i="5"/>
  <c r="G25" i="5" s="1"/>
  <c r="I25" i="5" s="1"/>
  <c r="F15" i="5"/>
  <c r="F21" i="5"/>
  <c r="F23" i="5"/>
  <c r="G23" i="5" s="1"/>
  <c r="I23" i="5" s="1"/>
  <c r="F22" i="5"/>
  <c r="G22" i="5" s="1"/>
  <c r="I22" i="5" s="1"/>
  <c r="I12" i="5"/>
  <c r="F26" i="5" l="1"/>
  <c r="F17" i="5"/>
  <c r="G21" i="5"/>
  <c r="I21" i="5" s="1"/>
  <c r="I26" i="5" s="1"/>
  <c r="G15" i="5"/>
  <c r="I15" i="5" s="1"/>
  <c r="H12" i="2" l="1"/>
  <c r="I12" i="2" s="1"/>
  <c r="F32" i="5"/>
  <c r="G32" i="5"/>
  <c r="I5" i="5" l="1"/>
  <c r="I3" i="5"/>
  <c r="I7" i="5"/>
  <c r="I17" i="5" l="1"/>
  <c r="I8" i="5"/>
  <c r="C23" i="2"/>
  <c r="H11" i="2" l="1"/>
  <c r="I11" i="2" s="1"/>
  <c r="H10" i="2"/>
  <c r="G31" i="5"/>
  <c r="F31" i="5"/>
  <c r="I31" i="2"/>
  <c r="I10" i="2" l="1"/>
  <c r="H23" i="2"/>
  <c r="H6" i="2"/>
  <c r="I6" i="2" l="1"/>
  <c r="I23" i="2"/>
  <c r="H24" i="2"/>
  <c r="I24" i="2" l="1"/>
  <c r="I34" i="2" s="1"/>
  <c r="H36" i="2"/>
  <c r="H34" i="2"/>
  <c r="G11" i="9"/>
  <c r="H11" i="9" s="1"/>
  <c r="H37" i="2" l="1"/>
  <c r="I37" i="2" s="1"/>
  <c r="H33" i="2"/>
  <c r="G17" i="9"/>
  <c r="H17" i="9" s="1"/>
  <c r="H49" i="2" l="1"/>
  <c r="G49" i="2"/>
  <c r="I46" i="2"/>
  <c r="G44" i="2"/>
  <c r="G46" i="2"/>
  <c r="G50" i="2"/>
  <c r="I47" i="2"/>
  <c r="H47" i="2"/>
  <c r="I49" i="2"/>
  <c r="H44" i="2"/>
  <c r="F49" i="2"/>
  <c r="H46" i="2"/>
  <c r="F44" i="2"/>
  <c r="E44" i="2"/>
  <c r="I50" i="2"/>
  <c r="I45" i="2"/>
  <c r="H50" i="2"/>
  <c r="H45" i="2"/>
  <c r="G45" i="2"/>
  <c r="F45" i="2"/>
  <c r="E45" i="2"/>
  <c r="I44" i="2"/>
  <c r="E49" i="2"/>
  <c r="I48" i="2"/>
  <c r="F46" i="2"/>
  <c r="G47" i="2"/>
  <c r="H48" i="2"/>
  <c r="E46" i="2"/>
  <c r="G48" i="2"/>
  <c r="F48" i="2"/>
  <c r="E48" i="2"/>
  <c r="F50" i="2"/>
  <c r="E50" i="2"/>
  <c r="F47" i="2"/>
  <c r="E47" i="2"/>
  <c r="I38" i="2"/>
  <c r="H35" i="2"/>
  <c r="I33" i="2"/>
  <c r="G18" i="9"/>
  <c r="H18" i="9" l="1"/>
  <c r="G29" i="9"/>
  <c r="G27" i="9"/>
  <c r="G30" i="9"/>
  <c r="G26" i="9" l="1"/>
  <c r="H31" i="9" l="1"/>
  <c r="G2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Milhollin, Ryan K.</author>
  </authors>
  <commentList>
    <comment ref="C11" authorId="0" shapeId="0" xr:uid="{89F18534-3303-4AAE-A8FD-3989D5333F46}">
      <text>
        <r>
          <rPr>
            <sz val="9"/>
            <color indexed="81"/>
            <rFont val="Tahoma"/>
            <family val="2"/>
          </rPr>
          <t>Note: numbers reflect live sale operating costs minus marketing and operating interest.</t>
        </r>
        <r>
          <rPr>
            <sz val="9"/>
            <color indexed="81"/>
            <rFont val="Tahoma"/>
            <family val="2"/>
          </rPr>
          <t xml:space="preserve">
</t>
        </r>
      </text>
    </comment>
  </commentList>
</comments>
</file>

<file path=xl/sharedStrings.xml><?xml version="1.0" encoding="utf-8"?>
<sst xmlns="http://schemas.openxmlformats.org/spreadsheetml/2006/main" count="703" uniqueCount="389">
  <si>
    <t>Developed by:</t>
  </si>
  <si>
    <t>Drew Kientzy, Jennifer Lutes, and Jake Hefley</t>
  </si>
  <si>
    <t>University of Missouri Extension</t>
  </si>
  <si>
    <t>This worksheet is for educational purposes only and the user assumes all risks associated with its use.</t>
  </si>
  <si>
    <t xml:space="preserve">Inputs </t>
  </si>
  <si>
    <t>Physical Variables</t>
  </si>
  <si>
    <t>Item</t>
  </si>
  <si>
    <t>Unit</t>
  </si>
  <si>
    <t>Price</t>
  </si>
  <si>
    <t>Quantity</t>
  </si>
  <si>
    <t xml:space="preserve">Sales </t>
  </si>
  <si>
    <t>Timing</t>
  </si>
  <si>
    <t>$ per live cwt.</t>
  </si>
  <si>
    <t>Nursing duration</t>
  </si>
  <si>
    <t>days</t>
  </si>
  <si>
    <t>Carcass weight</t>
  </si>
  <si>
    <t>% of live cwt.</t>
  </si>
  <si>
    <t>Background duration</t>
  </si>
  <si>
    <t>Chilling loss</t>
  </si>
  <si>
    <t>% of HCW</t>
  </si>
  <si>
    <t>Finishing duration</t>
  </si>
  <si>
    <t>Cull cow value</t>
  </si>
  <si>
    <t>$ per cwt.</t>
  </si>
  <si>
    <t>Cow herd</t>
  </si>
  <si>
    <t>Bull cull value</t>
  </si>
  <si>
    <t>$ per head</t>
  </si>
  <si>
    <t>Herd size</t>
  </si>
  <si>
    <t>cows</t>
  </si>
  <si>
    <t xml:space="preserve">Feed </t>
  </si>
  <si>
    <t>Bull ratio</t>
  </si>
  <si>
    <t>cows/bull</t>
  </si>
  <si>
    <t>Pasture</t>
  </si>
  <si>
    <t>Cow value</t>
  </si>
  <si>
    <t>$ per cow</t>
  </si>
  <si>
    <t>Fescue hay</t>
  </si>
  <si>
    <t>$ per ton</t>
  </si>
  <si>
    <t>Bull value</t>
  </si>
  <si>
    <t>Mixed hay</t>
  </si>
  <si>
    <t>Bull usable life</t>
  </si>
  <si>
    <t>years</t>
  </si>
  <si>
    <t>Alfalfa hay</t>
  </si>
  <si>
    <t>Replacement heifer value</t>
  </si>
  <si>
    <t>$ per heifer</t>
  </si>
  <si>
    <t>$ per bushel</t>
  </si>
  <si>
    <t>Replacement rate</t>
  </si>
  <si>
    <t>% annually</t>
  </si>
  <si>
    <t>Dried distillers grains</t>
  </si>
  <si>
    <t>Cow weight</t>
  </si>
  <si>
    <t>lbs.</t>
  </si>
  <si>
    <t>Losses</t>
  </si>
  <si>
    <t>Cow-calf weaning rate</t>
  </si>
  <si>
    <t>%</t>
  </si>
  <si>
    <t>Feedlot supplement</t>
  </si>
  <si>
    <t>Backgrounding death rate</t>
  </si>
  <si>
    <t>Limestone</t>
  </si>
  <si>
    <t>Fed cattle death rate</t>
  </si>
  <si>
    <t>Conversion rates</t>
  </si>
  <si>
    <t xml:space="preserve">Operating costs </t>
  </si>
  <si>
    <t>Drylot background steer</t>
  </si>
  <si>
    <t>lb feed/gain (AF)</t>
  </si>
  <si>
    <t>Labor</t>
  </si>
  <si>
    <t>$ per hour</t>
  </si>
  <si>
    <t>Drylot background heifer</t>
  </si>
  <si>
    <t>Live cattle marketing</t>
  </si>
  <si>
    <t>% of sales</t>
  </si>
  <si>
    <t>Operating interest</t>
  </si>
  <si>
    <t>% APR</t>
  </si>
  <si>
    <t>Assets</t>
  </si>
  <si>
    <t>Transition weights</t>
  </si>
  <si>
    <t>Interest rate</t>
  </si>
  <si>
    <t>Calf birthweight</t>
  </si>
  <si>
    <t>Property tax rate</t>
  </si>
  <si>
    <t>% of value</t>
  </si>
  <si>
    <t>Weaning weight</t>
  </si>
  <si>
    <t>Insurance on breeding herd</t>
  </si>
  <si>
    <t>Backgrounded weight</t>
  </si>
  <si>
    <t>Farm insurance rate</t>
  </si>
  <si>
    <t>Finished weight</t>
  </si>
  <si>
    <t>Other operating costs by stage</t>
  </si>
  <si>
    <t>Cow-calf</t>
  </si>
  <si>
    <t>Backgrounding</t>
  </si>
  <si>
    <t>Finishing</t>
  </si>
  <si>
    <t>hours</t>
  </si>
  <si>
    <t>Veterinary, drugs, and supplies</t>
  </si>
  <si>
    <t>Utilities</t>
  </si>
  <si>
    <t>Livestock facility repairs</t>
  </si>
  <si>
    <t>Professional fees</t>
  </si>
  <si>
    <t>Miscellaneous</t>
  </si>
  <si>
    <t>Machinery</t>
  </si>
  <si>
    <t>Tractor (105 MFWD)</t>
  </si>
  <si>
    <t>Feed grinder</t>
  </si>
  <si>
    <t>Pickup</t>
  </si>
  <si>
    <t>Stock trailer</t>
  </si>
  <si>
    <t>ATV</t>
  </si>
  <si>
    <t>Facilities and equipment</t>
  </si>
  <si>
    <t>Stage</t>
  </si>
  <si>
    <t>Investment</t>
  </si>
  <si>
    <t>Lifespan</t>
  </si>
  <si>
    <t>Salvage value</t>
  </si>
  <si>
    <t>Cost</t>
  </si>
  <si>
    <t>Cow-calf facilities</t>
  </si>
  <si>
    <t>Drylot backgrounding facilities</t>
  </si>
  <si>
    <t>Finishing facilities</t>
  </si>
  <si>
    <t>Feedstuff</t>
  </si>
  <si>
    <t>Days fed</t>
  </si>
  <si>
    <t>Qty/day</t>
  </si>
  <si>
    <t>Total</t>
  </si>
  <si>
    <t>Value/unit</t>
  </si>
  <si>
    <t>Total cost</t>
  </si>
  <si>
    <t>Bull*</t>
  </si>
  <si>
    <t>Lbs</t>
  </si>
  <si>
    <t>Cow unit</t>
  </si>
  <si>
    <t>*Bull feed usage is a per cow basis for each cow in the herd.</t>
  </si>
  <si>
    <t>Drylot backgrounding feed</t>
  </si>
  <si>
    <t>(Fall calves)</t>
  </si>
  <si>
    <t>Drylot backgrounding ration</t>
  </si>
  <si>
    <t>Input</t>
  </si>
  <si>
    <t>Per head</t>
  </si>
  <si>
    <t>Corn</t>
  </si>
  <si>
    <t>DDG</t>
  </si>
  <si>
    <t>Pounds/day</t>
  </si>
  <si>
    <t>Feedlot finishing feed</t>
  </si>
  <si>
    <t>Finishing ration</t>
  </si>
  <si>
    <t>Feed efficiency summary</t>
  </si>
  <si>
    <t>Pounds gained</t>
  </si>
  <si>
    <t>Dollars/lb gained</t>
  </si>
  <si>
    <t>Dollars/day</t>
  </si>
  <si>
    <t>Nursing calves</t>
  </si>
  <si>
    <t>-</t>
  </si>
  <si>
    <t>Drylot backgrounded</t>
  </si>
  <si>
    <t>Finishing lot</t>
  </si>
  <si>
    <t>Missouri Beef On-Farm Finishing</t>
  </si>
  <si>
    <t>Income</t>
  </si>
  <si>
    <t>Per animal sold</t>
  </si>
  <si>
    <t>Per live pound</t>
  </si>
  <si>
    <t xml:space="preserve"> 1. Steers:  </t>
  </si>
  <si>
    <t>Slaughter cattle sales</t>
  </si>
  <si>
    <t xml:space="preserve"> 3. Cull cows:  </t>
  </si>
  <si>
    <t>Culled breeding animals</t>
  </si>
  <si>
    <t>Total income</t>
  </si>
  <si>
    <t>Operating costs</t>
  </si>
  <si>
    <t>Feed</t>
  </si>
  <si>
    <t xml:space="preserve">  Cow/calf</t>
  </si>
  <si>
    <t xml:space="preserve">  Backgrounding</t>
  </si>
  <si>
    <t xml:space="preserve">  Finishing</t>
  </si>
  <si>
    <t>Cow replacement</t>
  </si>
  <si>
    <t xml:space="preserve">      a. Capital replacement (</t>
  </si>
  <si>
    <t>Marketing</t>
  </si>
  <si>
    <t>Bull replacement</t>
  </si>
  <si>
    <t>Professional fees (legal, accounting, etc.)</t>
  </si>
  <si>
    <t>Total operating costs</t>
  </si>
  <si>
    <t>Ownership costs</t>
  </si>
  <si>
    <t>Depreciation on facilities and equipment</t>
  </si>
  <si>
    <t xml:space="preserve">20. Interest on 1/2 operating costs @ </t>
  </si>
  <si>
    <t>Interest on breeding stock</t>
  </si>
  <si>
    <t>Interest on facilities and equipment</t>
  </si>
  <si>
    <t>Insurance and taxes on breeding stock &amp; capital items</t>
  </si>
  <si>
    <t>Total ownership costs</t>
  </si>
  <si>
    <t>Insurance &amp; Taxes</t>
  </si>
  <si>
    <t>Insurance on BS</t>
  </si>
  <si>
    <t>Insurance on facilities</t>
  </si>
  <si>
    <t>Taxes on BS</t>
  </si>
  <si>
    <t>Taxes on Facilities</t>
  </si>
  <si>
    <t>Missouri Freezer Beef</t>
  </si>
  <si>
    <t>Method of sale</t>
  </si>
  <si>
    <t>$/lb live weight</t>
  </si>
  <si>
    <t>Price/head</t>
  </si>
  <si>
    <t>Retail cuts</t>
  </si>
  <si>
    <t>See "Retail cuts pricing" Worksheet</t>
  </si>
  <si>
    <t>Steer</t>
  </si>
  <si>
    <t>Beef</t>
  </si>
  <si>
    <t>Bone-in</t>
  </si>
  <si>
    <t>Hot carcass weight</t>
  </si>
  <si>
    <t>Whole beef</t>
  </si>
  <si>
    <t>Heifer</t>
  </si>
  <si>
    <t>Dairy</t>
  </si>
  <si>
    <t>De-boned</t>
  </si>
  <si>
    <t>Half beef</t>
  </si>
  <si>
    <t>Quarter beef</t>
  </si>
  <si>
    <t>Beef sales</t>
  </si>
  <si>
    <t>Retail cuts specific</t>
  </si>
  <si>
    <t>Cooler operating cost/year</t>
  </si>
  <si>
    <t>Animals sold as retail annually</t>
  </si>
  <si>
    <t>Production of finished beef</t>
  </si>
  <si>
    <t>Custom labelling cost/animal</t>
  </si>
  <si>
    <t>Beef storage</t>
  </si>
  <si>
    <t>Packaging</t>
  </si>
  <si>
    <t xml:space="preserve">Miscellaneous </t>
  </si>
  <si>
    <t>Beef Prices</t>
  </si>
  <si>
    <t>Processing costs</t>
  </si>
  <si>
    <t>Flat rate</t>
  </si>
  <si>
    <t>per head</t>
  </si>
  <si>
    <t>Primal</t>
  </si>
  <si>
    <t>Cut style</t>
  </si>
  <si>
    <t>Quantity cut (pounds)</t>
  </si>
  <si>
    <t>Revenue</t>
  </si>
  <si>
    <t>Process</t>
  </si>
  <si>
    <t>Cost/unit</t>
  </si>
  <si>
    <t>Itemized</t>
  </si>
  <si>
    <t>per live pound</t>
  </si>
  <si>
    <t>Chuck</t>
  </si>
  <si>
    <t>Roast</t>
  </si>
  <si>
    <t>Billing type</t>
  </si>
  <si>
    <t>per hanging pound</t>
  </si>
  <si>
    <t>Steak</t>
  </si>
  <si>
    <t>Slaughter</t>
  </si>
  <si>
    <t>per ground pound</t>
  </si>
  <si>
    <t>Rib</t>
  </si>
  <si>
    <t>General processing</t>
  </si>
  <si>
    <t>Inspection fee</t>
  </si>
  <si>
    <t>Loin</t>
  </si>
  <si>
    <t xml:space="preserve">Roast </t>
  </si>
  <si>
    <t>Disposal fees</t>
  </si>
  <si>
    <t xml:space="preserve">Filet Migion </t>
  </si>
  <si>
    <t>Enter other cost type here</t>
  </si>
  <si>
    <t>T-Bone/Strip</t>
  </si>
  <si>
    <t>Sirloin</t>
  </si>
  <si>
    <t>or</t>
  </si>
  <si>
    <t>head</t>
  </si>
  <si>
    <t>Round</t>
  </si>
  <si>
    <t>Flank</t>
  </si>
  <si>
    <t>Brisket</t>
  </si>
  <si>
    <t>Short ribs</t>
  </si>
  <si>
    <t>Fajita/kabob meat</t>
  </si>
  <si>
    <t>(unused sirloin, skirt, flank steaks)</t>
  </si>
  <si>
    <t>Ground beef</t>
  </si>
  <si>
    <t>80-89% lean</t>
  </si>
  <si>
    <t>Beef for stew</t>
  </si>
  <si>
    <t>Cube steak</t>
  </si>
  <si>
    <t>(unused round)</t>
  </si>
  <si>
    <t>Soup bones</t>
  </si>
  <si>
    <t>Organs</t>
  </si>
  <si>
    <t>Average price</t>
  </si>
  <si>
    <t>This sheet is designed to restrict users from selecting multiple cuts utilizing the same muscle group. If an invalid selection is entered, an error message will be triggered. Additionally, as selections are made the alternative scenario will be obscured by shading, indicating that choice is no longer available.</t>
  </si>
  <si>
    <t>yes</t>
  </si>
  <si>
    <t>UNL BEEF CUTOUT STUDY BASIS FOR RC SHEET</t>
  </si>
  <si>
    <t>Cut name</t>
  </si>
  <si>
    <t>Cut type</t>
  </si>
  <si>
    <t>Possible weight</t>
  </si>
  <si>
    <t>% cut</t>
  </si>
  <si>
    <t>Cut out weight</t>
  </si>
  <si>
    <t>no</t>
  </si>
  <si>
    <t>Cuttable weight</t>
  </si>
  <si>
    <t>Weight cut</t>
  </si>
  <si>
    <t>% loss</t>
  </si>
  <si>
    <t>Sample HCW</t>
  </si>
  <si>
    <t>pounds</t>
  </si>
  <si>
    <t>www.ams.usda.gov/sites/default/files/media/IMPS100SeriesDraft2020.pdf</t>
  </si>
  <si>
    <t>Arm pot roast</t>
  </si>
  <si>
    <t>Ribeye (bnls)</t>
  </si>
  <si>
    <t>Cut Name</t>
  </si>
  <si>
    <t>Cut Weight</t>
  </si>
  <si>
    <t>% of carcass</t>
  </si>
  <si>
    <t>IMPS</t>
  </si>
  <si>
    <t>Check</t>
  </si>
  <si>
    <t>OR</t>
  </si>
  <si>
    <t>chrome-extension://efaidnbmnnnibpcajpcglclefindmkaj/https://dsrcattle.com/wp-content/uploads/Angus-Beef-Chart-PDF-1.pdf</t>
  </si>
  <si>
    <t>Shoulder pot roast (bnls)</t>
  </si>
  <si>
    <t>Min</t>
  </si>
  <si>
    <t>MAX</t>
  </si>
  <si>
    <t>Arm</t>
  </si>
  <si>
    <t>114E</t>
  </si>
  <si>
    <t>AND</t>
  </si>
  <si>
    <t>Top Sirloin (bnls)</t>
  </si>
  <si>
    <t>Blade</t>
  </si>
  <si>
    <t>116A</t>
  </si>
  <si>
    <t>Blade Roast</t>
  </si>
  <si>
    <t>Chuck eye</t>
  </si>
  <si>
    <t>116G</t>
  </si>
  <si>
    <t>Sirloin cap (bnls)</t>
  </si>
  <si>
    <t>Other</t>
  </si>
  <si>
    <t>Mock tender</t>
  </si>
  <si>
    <t>116B</t>
  </si>
  <si>
    <t>Flat iron (bnls)</t>
  </si>
  <si>
    <t xml:space="preserve"> Center cut (bnls)</t>
  </si>
  <si>
    <t>TOTAL</t>
  </si>
  <si>
    <t>Flat iron</t>
  </si>
  <si>
    <t>114D</t>
  </si>
  <si>
    <t>Chuck eye (bnls)</t>
  </si>
  <si>
    <t>of carcass as retail beef</t>
  </si>
  <si>
    <t>of live weight as retail beef</t>
  </si>
  <si>
    <t>Petite tender</t>
  </si>
  <si>
    <t>114F</t>
  </si>
  <si>
    <t>Tri-tip (bnls)</t>
  </si>
  <si>
    <t>Chuck short ribs</t>
  </si>
  <si>
    <t>Trimmings</t>
  </si>
  <si>
    <t>T-bone (and porterhouse)</t>
  </si>
  <si>
    <t>other</t>
  </si>
  <si>
    <t>Fat and bone waste</t>
  </si>
  <si>
    <t>Strip (bnls)</t>
  </si>
  <si>
    <t>Rib roll (bnls)</t>
  </si>
  <si>
    <t>Tenderloin/Filet (bnls)</t>
  </si>
  <si>
    <t>Brisket (bnls)</t>
  </si>
  <si>
    <t>Rib short ribs</t>
  </si>
  <si>
    <t>Flank (bnls)</t>
  </si>
  <si>
    <t>Skirt steak (bnls)</t>
  </si>
  <si>
    <t>Top of round (bnls)</t>
  </si>
  <si>
    <t>Short Ribs</t>
  </si>
  <si>
    <t>Ribs</t>
  </si>
  <si>
    <t>Bottom of round (bnls)</t>
  </si>
  <si>
    <t>Strip loin</t>
  </si>
  <si>
    <t>Eye of round (bnls)</t>
  </si>
  <si>
    <t>Tenderloin</t>
  </si>
  <si>
    <t>190A</t>
  </si>
  <si>
    <t>Round rump (bnls)</t>
  </si>
  <si>
    <t>Heart</t>
  </si>
  <si>
    <t>organs</t>
  </si>
  <si>
    <t>Kidney</t>
  </si>
  <si>
    <t>Round tip (bnls)</t>
  </si>
  <si>
    <t>Liver</t>
  </si>
  <si>
    <t>Top Sirloin</t>
  </si>
  <si>
    <t>tenderized</t>
  </si>
  <si>
    <t>Tongue</t>
  </si>
  <si>
    <t>Sirloin Cap</t>
  </si>
  <si>
    <t>184D</t>
  </si>
  <si>
    <t>Waste</t>
  </si>
  <si>
    <t>Sirlion flap (bavette)</t>
  </si>
  <si>
    <t>Tri-tip</t>
  </si>
  <si>
    <t>Offal and unused portions</t>
  </si>
  <si>
    <t>Top of Round</t>
  </si>
  <si>
    <t>Bottom of Round</t>
  </si>
  <si>
    <t>Round Rump</t>
  </si>
  <si>
    <t>171G</t>
  </si>
  <si>
    <t>Eye of Round</t>
  </si>
  <si>
    <t>Round Tip</t>
  </si>
  <si>
    <t>Hanging tender</t>
  </si>
  <si>
    <t>Skirt steak</t>
  </si>
  <si>
    <t>Fat, bone, and offal</t>
  </si>
  <si>
    <t>Whole Beef</t>
  </si>
  <si>
    <t>Half Beefs</t>
  </si>
  <si>
    <t>Quarter Beefs</t>
  </si>
  <si>
    <t>Delivery to locker</t>
  </si>
  <si>
    <t>Miles driven</t>
  </si>
  <si>
    <t>Hours driving</t>
  </si>
  <si>
    <t>Cost per mile</t>
  </si>
  <si>
    <t>Animals hauled per trip</t>
  </si>
  <si>
    <t>Advertising</t>
  </si>
  <si>
    <t>Delivery to customer or market</t>
  </si>
  <si>
    <t>Dollars per year</t>
  </si>
  <si>
    <t>Head sold direct to consumer</t>
  </si>
  <si>
    <t>Time utilized</t>
  </si>
  <si>
    <t>Marketing hours (annual)</t>
  </si>
  <si>
    <t>Labor rate</t>
  </si>
  <si>
    <t>Shipping cost (per head)</t>
  </si>
  <si>
    <t>Other marketing costs (per head)</t>
  </si>
  <si>
    <t>Total Cost per Head</t>
  </si>
  <si>
    <t>Average price (live)</t>
  </si>
  <si>
    <t>Missouri Beef On-Farm-Finishing Budget for Spring-Calving Herds</t>
  </si>
  <si>
    <t>Soybean meal</t>
  </si>
  <si>
    <t>Feedlot finished steer</t>
  </si>
  <si>
    <t>Feedlot finished heifers</t>
  </si>
  <si>
    <t>Corn silage</t>
  </si>
  <si>
    <t>Salt and mineral</t>
  </si>
  <si>
    <t>per pound</t>
  </si>
  <si>
    <t>Refrigerated/retail facilities</t>
  </si>
  <si>
    <t>$ per acre</t>
  </si>
  <si>
    <t>Stocking rate</t>
  </si>
  <si>
    <t>acres/animal sold</t>
  </si>
  <si>
    <r>
      <t>Farmers can develop a custom enterprise budget by using the Missouri Beef On-Farm-Finishing spreadsheet. The "</t>
    </r>
    <r>
      <rPr>
        <b/>
        <sz val="12"/>
        <color theme="1"/>
        <rFont val="Aptos"/>
        <family val="2"/>
      </rPr>
      <t>Budget - Commercial Sale</t>
    </r>
    <r>
      <rPr>
        <sz val="12"/>
        <color theme="1"/>
        <rFont val="Aptos"/>
        <family val="2"/>
      </rPr>
      <t>" sheet allows users to make an enterprise budget for a beef operation where calves are raised from birth to slaughter weight. Budget assumes a spring-calving herd and replacements are purchased. Spring-born calves are backgrounded in a feedlot. This budget assumes a 50-cow herd with the owner finishing all calves through their feedlot program, and selling the calves by live weight.</t>
    </r>
  </si>
  <si>
    <r>
      <t>The "</t>
    </r>
    <r>
      <rPr>
        <b/>
        <sz val="12"/>
        <color theme="1"/>
        <rFont val="Aptos"/>
        <family val="2"/>
      </rPr>
      <t>Budget - Freezer Beef</t>
    </r>
    <r>
      <rPr>
        <sz val="12"/>
        <color theme="1"/>
        <rFont val="Aptos"/>
        <family val="2"/>
      </rPr>
      <t>" sheet evaluates selling animals directly to consumers as whole, half or quarter carcasses. Use the drop down menu in the grey cell located near the top of the screen to select your preferred marketing method. The "</t>
    </r>
    <r>
      <rPr>
        <b/>
        <sz val="12"/>
        <color theme="1"/>
        <rFont val="Aptos"/>
        <family val="2"/>
      </rPr>
      <t>Retail cuts</t>
    </r>
    <r>
      <rPr>
        <sz val="12"/>
        <color theme="1"/>
        <rFont val="Aptos"/>
        <family val="2"/>
      </rPr>
      <t>" sheets are supplemental tools to the "Budget - Freezer Beef" sheet. It evaluates selling animals directly to consumers as individual cuts and allows custom pricing by cut of meat. Costs are based on each animal sold, but variations in number of animals grown and processed in a given manner could change some costs considerably. Note that federal and state regulations affect types of sale and pricing mechanisms that can be used. Enter the list prices for each type of cut on the "</t>
    </r>
    <r>
      <rPr>
        <b/>
        <sz val="12"/>
        <color theme="1"/>
        <rFont val="Aptos"/>
        <family val="2"/>
      </rPr>
      <t>Retail cuts pricing</t>
    </r>
    <r>
      <rPr>
        <sz val="12"/>
        <color theme="1"/>
        <rFont val="Aptos"/>
        <family val="2"/>
      </rPr>
      <t>" sheet. Select the cuts you wish to market on the "</t>
    </r>
    <r>
      <rPr>
        <b/>
        <sz val="12"/>
        <color theme="1"/>
        <rFont val="Aptos"/>
        <family val="2"/>
      </rPr>
      <t>Retail cuts selection</t>
    </r>
    <r>
      <rPr>
        <sz val="12"/>
        <color theme="1"/>
        <rFont val="Aptos"/>
        <family val="2"/>
      </rPr>
      <t>" sheet. All cuts not selected will be included as hamburger. The "</t>
    </r>
    <r>
      <rPr>
        <b/>
        <sz val="12"/>
        <color theme="1"/>
        <rFont val="Aptos"/>
        <family val="2"/>
      </rPr>
      <t>Marketing cost calculator</t>
    </r>
    <r>
      <rPr>
        <sz val="12"/>
        <color theme="1"/>
        <rFont val="Aptos"/>
        <family val="2"/>
      </rPr>
      <t>" sheet will help you to find the true cost of direct-to-consumer marketing in your business.</t>
    </r>
  </si>
  <si>
    <r>
      <t xml:space="preserve">Adjust the information on the </t>
    </r>
    <r>
      <rPr>
        <b/>
        <sz val="12"/>
        <color theme="1"/>
        <rFont val="Aptos"/>
        <family val="2"/>
      </rPr>
      <t>"Inputs"</t>
    </r>
    <r>
      <rPr>
        <sz val="12"/>
        <color theme="1"/>
        <rFont val="Aptos"/>
        <family val="2"/>
      </rPr>
      <t xml:space="preserve"> sheet to your own operation. Values in grey cells on any sheet can be changed to better reflect your operation. Any changes made there will be reflected in the subsequent budgets. </t>
    </r>
  </si>
  <si>
    <t>Updated: 10/2025</t>
  </si>
  <si>
    <r>
      <rPr>
        <b/>
        <sz val="12"/>
        <color theme="1"/>
        <rFont val="Aptos"/>
        <family val="2"/>
      </rPr>
      <t>Disclaimer -</t>
    </r>
    <r>
      <rPr>
        <sz val="12"/>
        <color theme="1"/>
        <rFont val="Aptos"/>
        <family val="2"/>
      </rPr>
      <t xml:space="preserve"> This tool is not inclusive to all types of retail cuts. Sample cut sheets from several processors were considered and only recoccuring cuts are included. Bone-in cuts are included where applicable to minimize processing cost and maximize sellable weight. Note that many processors will either cut all or none of a particular cut. Percentages from 1 to 99 entered above may not be feasibly obtained, especially on whole-muscle cuts. The user assumes an entire animal will be cut the same way. Cutting each half differently is not supported by this tool.</t>
    </r>
  </si>
  <si>
    <t>Fed cattle (avg. steer &amp; heifer)</t>
  </si>
  <si>
    <t>Cow herd feed - not including pasture cost</t>
  </si>
  <si>
    <t>Marketing cost/head</t>
  </si>
  <si>
    <t>Rotary mower (10 ft.)</t>
  </si>
  <si>
    <t>50% use of other budget for vertical integration</t>
  </si>
  <si>
    <t>Farm business overhead*</t>
  </si>
  <si>
    <t>Depreciation on facilities and equipment*</t>
  </si>
  <si>
    <t>Interest on breeding stock*</t>
  </si>
  <si>
    <t>Interest on facilities and equipment*</t>
  </si>
  <si>
    <t>Total cash-based costs</t>
  </si>
  <si>
    <t>Total costs</t>
  </si>
  <si>
    <t>Income over cash-based costs</t>
  </si>
  <si>
    <t>Income over operating costs</t>
  </si>
  <si>
    <t>Income over total costs</t>
  </si>
  <si>
    <t>*Cash based costs exclude labor, machinery and facility depreciation, business overhead and opportunity interest</t>
  </si>
  <si>
    <t>Breakeven calf price per live pound, cash-based</t>
  </si>
  <si>
    <t>Breakeven selling price per hanging pound, cash-based</t>
  </si>
  <si>
    <t>pounds of beef ground</t>
  </si>
  <si>
    <t>Raised corn</t>
  </si>
  <si>
    <t>Purchased corn</t>
  </si>
  <si>
    <t>Senstitivity analysis, return over cash costs per fed animal</t>
  </si>
  <si>
    <t>Fed Cattle, $/Cwt.</t>
  </si>
  <si>
    <t>Weight at sale, live pounds per head</t>
  </si>
  <si>
    <t>$ per pound</t>
  </si>
  <si>
    <t>For more information, refer to MU Extension publication G684,</t>
  </si>
  <si>
    <t>On-Farm Beef Finishing Planning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</si>
</sst>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_);[Red]\(&quot;$&quot;#,##0\)"/>
    <numFmt numFmtId="7" formatCode="&quot;$&quot;#,##0.00_);\(&quot;$&quot;#,##0.00\)"/>
    <numFmt numFmtId="44" formatCode="_(&quot;$&quot;* #,##0.00_);_(&quot;$&quot;* \(#,##0.00\);_(&quot;$&quot;* &quot;-&quot;??_);_(@_)"/>
    <numFmt numFmtId="43" formatCode="_(* #,##0.00_);_(* \(#,##0.00\);_(* &quot;-&quot;??_);_(@_)"/>
    <numFmt numFmtId="164" formatCode="&quot;$&quot;#,##0.00"/>
    <numFmt numFmtId="165" formatCode="0.0"/>
    <numFmt numFmtId="166" formatCode="0.0%"/>
    <numFmt numFmtId="167" formatCode=";;;"/>
    <numFmt numFmtId="168" formatCode="[$$-409]#,##0.00;[Red]\-[$$-409]#,##0.00"/>
    <numFmt numFmtId="169" formatCode="#,##0.0"/>
    <numFmt numFmtId="170" formatCode="#,##0.0;[Red]#,##0.0"/>
    <numFmt numFmtId="171" formatCode="#,##0;[Red]#,##0"/>
    <numFmt numFmtId="172" formatCode="&quot;$&quot;#,##0"/>
    <numFmt numFmtId="173" formatCode="0.000"/>
    <numFmt numFmtId="174" formatCode="_(* #,##0_);_(* \(#,##0\);_(* &quot;-&quot;??_);_(@_)"/>
    <numFmt numFmtId="175" formatCode="_(* #,##0.0_);_(* \(#,##0.0\);_(* &quot;-&quot;??_);_(@_)"/>
    <numFmt numFmtId="176" formatCode="0.00;[Red]\-0.00"/>
  </numFmts>
  <fonts count="43">
    <font>
      <sz val="11"/>
      <color theme="1"/>
      <name val="Calibri"/>
      <family val="2"/>
      <scheme val="minor"/>
    </font>
    <font>
      <sz val="11"/>
      <color theme="1"/>
      <name val="Calibri"/>
      <family val="2"/>
      <scheme val="minor"/>
    </font>
    <font>
      <sz val="10"/>
      <name val="TimesNewRomanPS"/>
    </font>
    <font>
      <b/>
      <sz val="11"/>
      <color rgb="FF3F3F3F"/>
      <name val="Calibri"/>
      <family val="2"/>
      <scheme val="minor"/>
    </font>
    <font>
      <u/>
      <sz val="11"/>
      <color theme="10"/>
      <name val="Calibri"/>
      <family val="2"/>
      <scheme val="minor"/>
    </font>
    <font>
      <sz val="9"/>
      <color indexed="81"/>
      <name val="Tahoma"/>
      <family val="2"/>
    </font>
    <font>
      <sz val="11"/>
      <color theme="1"/>
      <name val="Aptos"/>
      <family val="2"/>
    </font>
    <font>
      <sz val="10"/>
      <color theme="1"/>
      <name val="Aptos"/>
      <family val="2"/>
    </font>
    <font>
      <sz val="12"/>
      <color theme="1"/>
      <name val="Aptos"/>
      <family val="2"/>
    </font>
    <font>
      <b/>
      <sz val="12"/>
      <color theme="1"/>
      <name val="Aptos"/>
      <family val="2"/>
    </font>
    <font>
      <b/>
      <sz val="12"/>
      <color rgb="FF3F3F3F"/>
      <name val="Aptos"/>
      <family val="2"/>
    </font>
    <font>
      <b/>
      <sz val="12"/>
      <color rgb="FFF1B82D"/>
      <name val="Aptos"/>
      <family val="2"/>
    </font>
    <font>
      <b/>
      <sz val="16"/>
      <color rgb="FFF1B82D"/>
      <name val="Aptos Black"/>
      <family val="2"/>
    </font>
    <font>
      <b/>
      <sz val="11"/>
      <color rgb="FFF1B82D"/>
      <name val="Aptos"/>
      <family val="2"/>
    </font>
    <font>
      <b/>
      <sz val="11"/>
      <name val="Aptos"/>
      <family val="2"/>
    </font>
    <font>
      <sz val="11"/>
      <name val="Aptos"/>
      <family val="2"/>
    </font>
    <font>
      <sz val="10"/>
      <name val="Aptos"/>
      <family val="2"/>
    </font>
    <font>
      <b/>
      <sz val="12"/>
      <name val="Aptos"/>
      <family val="2"/>
    </font>
    <font>
      <sz val="12"/>
      <name val="Aptos"/>
      <family val="2"/>
    </font>
    <font>
      <b/>
      <sz val="12"/>
      <color rgb="FFFFC000"/>
      <name val="Aptos"/>
      <family val="2"/>
    </font>
    <font>
      <b/>
      <sz val="14"/>
      <color rgb="FFF1B82D"/>
      <name val="Aptos Black"/>
      <family val="2"/>
    </font>
    <font>
      <sz val="12"/>
      <color indexed="8"/>
      <name val="Aptos"/>
      <family val="2"/>
    </font>
    <font>
      <b/>
      <sz val="12"/>
      <color indexed="8"/>
      <name val="Aptos"/>
      <family val="2"/>
    </font>
    <font>
      <i/>
      <sz val="12"/>
      <color indexed="8"/>
      <name val="Aptos"/>
      <family val="2"/>
    </font>
    <font>
      <i/>
      <sz val="12"/>
      <color theme="1"/>
      <name val="Aptos"/>
      <family val="2"/>
    </font>
    <font>
      <sz val="12"/>
      <color rgb="FFFF0000"/>
      <name val="Aptos"/>
      <family val="2"/>
    </font>
    <font>
      <i/>
      <u/>
      <sz val="12"/>
      <color indexed="8"/>
      <name val="Aptos"/>
      <family val="2"/>
    </font>
    <font>
      <u/>
      <sz val="12"/>
      <color indexed="8"/>
      <name val="Aptos"/>
      <family val="2"/>
    </font>
    <font>
      <sz val="12"/>
      <color indexed="12"/>
      <name val="Aptos"/>
      <family val="2"/>
    </font>
    <font>
      <u/>
      <sz val="12"/>
      <name val="Aptos"/>
      <family val="2"/>
    </font>
    <font>
      <i/>
      <u/>
      <sz val="12"/>
      <name val="Aptos"/>
      <family val="2"/>
    </font>
    <font>
      <sz val="12"/>
      <color rgb="FF000000"/>
      <name val="Aptos"/>
      <family val="2"/>
    </font>
    <font>
      <b/>
      <sz val="12"/>
      <color rgb="FF000000"/>
      <name val="Aptos"/>
      <family val="2"/>
    </font>
    <font>
      <b/>
      <sz val="14"/>
      <color rgb="FFFFC000"/>
      <name val="Aptos Black"/>
      <family val="2"/>
    </font>
    <font>
      <u/>
      <sz val="12"/>
      <color theme="10"/>
      <name val="Aptos"/>
      <family val="2"/>
    </font>
    <font>
      <b/>
      <sz val="14"/>
      <color rgb="FFF1B800"/>
      <name val="Aptos Black"/>
      <family val="2"/>
    </font>
    <font>
      <b/>
      <sz val="12"/>
      <color theme="0"/>
      <name val="Aptos"/>
      <family val="2"/>
    </font>
    <font>
      <sz val="12"/>
      <color theme="0"/>
      <name val="Aptos"/>
      <family val="2"/>
    </font>
    <font>
      <sz val="12"/>
      <color rgb="FFFFC000"/>
      <name val="Aptos"/>
      <family val="2"/>
    </font>
    <font>
      <sz val="11"/>
      <color theme="0"/>
      <name val="Aptos"/>
      <family val="2"/>
    </font>
    <font>
      <sz val="11"/>
      <color indexed="8"/>
      <name val="Aptos"/>
      <family val="2"/>
    </font>
    <font>
      <sz val="12"/>
      <name val="Calibri"/>
      <family val="2"/>
      <scheme val="minor"/>
    </font>
    <font>
      <i/>
      <sz val="12"/>
      <name val="Calibri"/>
      <family val="2"/>
      <scheme val="minor"/>
    </font>
  </fonts>
  <fills count="8">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2F2F2"/>
      </patternFill>
    </fill>
    <fill>
      <patternFill patternType="solid">
        <fgColor theme="0"/>
        <bgColor indexed="64"/>
      </patternFill>
    </fill>
    <fill>
      <patternFill patternType="solid">
        <fgColor rgb="FFFFC000"/>
        <bgColor indexed="64"/>
      </patternFill>
    </fill>
    <fill>
      <patternFill patternType="solid">
        <fgColor theme="4" tint="0.79998168889431442"/>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10">
    <xf numFmtId="0" fontId="0" fillId="0" borderId="0"/>
    <xf numFmtId="9" fontId="1" fillId="0" borderId="0" applyFont="0" applyFill="0" applyBorder="0" applyAlignment="0" applyProtection="0"/>
    <xf numFmtId="0" fontId="2"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3" fillId="4" borderId="16" applyNumberFormat="0" applyAlignment="0" applyProtection="0"/>
    <xf numFmtId="0" fontId="1" fillId="0" borderId="0"/>
    <xf numFmtId="0" fontId="4" fillId="0" borderId="0" applyNumberFormat="0" applyFill="0" applyBorder="0" applyAlignment="0" applyProtection="0"/>
    <xf numFmtId="0" fontId="2" fillId="0" borderId="0"/>
  </cellStyleXfs>
  <cellXfs count="412">
    <xf numFmtId="0" fontId="0" fillId="0" borderId="0" xfId="0"/>
    <xf numFmtId="0" fontId="8" fillId="0" borderId="0" xfId="7" applyFont="1" applyAlignment="1">
      <alignment vertical="top" wrapText="1"/>
    </xf>
    <xf numFmtId="0" fontId="8" fillId="0" borderId="0" xfId="7" applyFont="1" applyAlignment="1">
      <alignment horizontal="left" vertical="top" wrapText="1"/>
    </xf>
    <xf numFmtId="0" fontId="8" fillId="0" borderId="0" xfId="7" applyFont="1"/>
    <xf numFmtId="0" fontId="9" fillId="0" borderId="0" xfId="7" applyFont="1"/>
    <xf numFmtId="0" fontId="9" fillId="0" borderId="0" xfId="7" applyFont="1" applyAlignment="1">
      <alignment horizontal="left" indent="4"/>
    </xf>
    <xf numFmtId="0" fontId="10" fillId="5" borderId="0" xfId="6" applyFont="1" applyFill="1" applyBorder="1" applyAlignment="1"/>
    <xf numFmtId="0" fontId="6" fillId="5" borderId="0" xfId="0" applyFont="1" applyFill="1"/>
    <xf numFmtId="0" fontId="13" fillId="5" borderId="0" xfId="0" quotePrefix="1" applyFont="1" applyFill="1" applyAlignment="1">
      <alignment horizontal="center"/>
    </xf>
    <xf numFmtId="0" fontId="14" fillId="5" borderId="0" xfId="0" applyFont="1" applyFill="1" applyAlignment="1">
      <alignment horizontal="center"/>
    </xf>
    <xf numFmtId="0" fontId="6" fillId="0" borderId="0" xfId="0" applyFont="1"/>
    <xf numFmtId="174" fontId="13" fillId="5" borderId="0" xfId="5" applyNumberFormat="1" applyFont="1" applyFill="1" applyBorder="1" applyAlignment="1">
      <alignment horizontal="right"/>
    </xf>
    <xf numFmtId="37" fontId="6" fillId="5" borderId="0" xfId="4" applyNumberFormat="1" applyFont="1" applyFill="1"/>
    <xf numFmtId="43" fontId="6" fillId="5" borderId="0" xfId="0" applyNumberFormat="1" applyFont="1" applyFill="1"/>
    <xf numFmtId="0" fontId="18" fillId="0" borderId="0" xfId="0" applyFont="1"/>
    <xf numFmtId="0" fontId="18" fillId="0" borderId="1" xfId="0" applyFont="1" applyBorder="1"/>
    <xf numFmtId="0" fontId="15" fillId="5" borderId="0" xfId="0" applyFont="1" applyFill="1"/>
    <xf numFmtId="43" fontId="14" fillId="5" borderId="0" xfId="3" applyFont="1" applyFill="1" applyBorder="1" applyAlignment="1">
      <alignment horizontal="center"/>
    </xf>
    <xf numFmtId="43" fontId="15" fillId="5" borderId="0" xfId="3" applyFont="1" applyFill="1" applyBorder="1"/>
    <xf numFmtId="0" fontId="6" fillId="5" borderId="0" xfId="0" quotePrefix="1" applyFont="1" applyFill="1"/>
    <xf numFmtId="0" fontId="6" fillId="0" borderId="0" xfId="0" quotePrefix="1" applyFont="1"/>
    <xf numFmtId="0" fontId="7" fillId="0" borderId="0" xfId="0" applyFont="1"/>
    <xf numFmtId="0" fontId="7" fillId="0" borderId="1" xfId="0" applyFont="1" applyBorder="1"/>
    <xf numFmtId="0" fontId="16" fillId="0" borderId="0" xfId="0" applyFont="1"/>
    <xf numFmtId="0" fontId="8" fillId="5" borderId="0" xfId="0" applyFont="1" applyFill="1"/>
    <xf numFmtId="0" fontId="21" fillId="5" borderId="1" xfId="0" applyFont="1" applyFill="1" applyBorder="1"/>
    <xf numFmtId="0" fontId="18" fillId="5" borderId="0" xfId="0" applyFont="1" applyFill="1"/>
    <xf numFmtId="0" fontId="8" fillId="0" borderId="0" xfId="0" applyFont="1"/>
    <xf numFmtId="0" fontId="21" fillId="5" borderId="0" xfId="0" applyFont="1" applyFill="1"/>
    <xf numFmtId="0" fontId="22" fillId="5" borderId="2" xfId="0" applyFont="1" applyFill="1" applyBorder="1" applyAlignment="1">
      <alignment horizontal="right"/>
    </xf>
    <xf numFmtId="40" fontId="21" fillId="5" borderId="0" xfId="0" applyNumberFormat="1" applyFont="1" applyFill="1"/>
    <xf numFmtId="0" fontId="22" fillId="5" borderId="1" xfId="0" applyFont="1" applyFill="1" applyBorder="1"/>
    <xf numFmtId="0" fontId="22" fillId="5" borderId="1" xfId="0" applyFont="1" applyFill="1" applyBorder="1" applyAlignment="1">
      <alignment horizontal="right"/>
    </xf>
    <xf numFmtId="0" fontId="23" fillId="5" borderId="0" xfId="0" applyFont="1" applyFill="1"/>
    <xf numFmtId="44" fontId="18" fillId="0" borderId="0" xfId="0" applyNumberFormat="1" applyFont="1"/>
    <xf numFmtId="40" fontId="21" fillId="5" borderId="0" xfId="0" quotePrefix="1" applyNumberFormat="1" applyFont="1" applyFill="1"/>
    <xf numFmtId="44" fontId="18" fillId="0" borderId="0" xfId="4" quotePrefix="1" applyFont="1" applyFill="1"/>
    <xf numFmtId="0" fontId="25" fillId="0" borderId="0" xfId="0" applyFont="1"/>
    <xf numFmtId="0" fontId="18" fillId="5" borderId="1" xfId="0" applyFont="1" applyFill="1" applyBorder="1"/>
    <xf numFmtId="0" fontId="17" fillId="5" borderId="1" xfId="0" applyFont="1" applyFill="1" applyBorder="1" applyAlignment="1">
      <alignment horizontal="right"/>
    </xf>
    <xf numFmtId="0" fontId="8" fillId="0" borderId="7" xfId="0" applyFont="1" applyBorder="1"/>
    <xf numFmtId="44" fontId="25" fillId="5" borderId="0" xfId="4" quotePrefix="1" applyFont="1" applyFill="1"/>
    <xf numFmtId="0" fontId="25" fillId="5" borderId="0" xfId="0" applyFont="1" applyFill="1"/>
    <xf numFmtId="40" fontId="22" fillId="5" borderId="1" xfId="0" applyNumberFormat="1" applyFont="1" applyFill="1" applyBorder="1"/>
    <xf numFmtId="0" fontId="22" fillId="5" borderId="0" xfId="0" applyFont="1" applyFill="1"/>
    <xf numFmtId="44" fontId="8" fillId="0" borderId="0" xfId="4" applyFont="1"/>
    <xf numFmtId="2" fontId="8" fillId="0" borderId="0" xfId="0" applyNumberFormat="1" applyFont="1"/>
    <xf numFmtId="0" fontId="21" fillId="0" borderId="0" xfId="0" applyFont="1"/>
    <xf numFmtId="0" fontId="26" fillId="0" borderId="0" xfId="0" applyFont="1"/>
    <xf numFmtId="0" fontId="27" fillId="0" borderId="0" xfId="0" applyFont="1" applyAlignment="1">
      <alignment horizontal="right"/>
    </xf>
    <xf numFmtId="9" fontId="28" fillId="0" borderId="0" xfId="0" applyNumberFormat="1" applyFont="1" applyProtection="1">
      <protection locked="0"/>
    </xf>
    <xf numFmtId="168" fontId="21" fillId="0" borderId="0" xfId="0" applyNumberFormat="1" applyFont="1"/>
    <xf numFmtId="168" fontId="27" fillId="0" borderId="0" xfId="0" applyNumberFormat="1" applyFont="1" applyAlignment="1">
      <alignment horizontal="center"/>
    </xf>
    <xf numFmtId="4" fontId="21" fillId="0" borderId="0" xfId="0" quotePrefix="1" applyNumberFormat="1" applyFont="1"/>
    <xf numFmtId="168" fontId="21" fillId="0" borderId="0" xfId="0" quotePrefix="1" applyNumberFormat="1" applyFont="1"/>
    <xf numFmtId="168" fontId="28" fillId="0" borderId="0" xfId="0" applyNumberFormat="1" applyFont="1" applyProtection="1">
      <protection locked="0"/>
    </xf>
    <xf numFmtId="0" fontId="23" fillId="0" borderId="0" xfId="0" applyFont="1"/>
    <xf numFmtId="169" fontId="18" fillId="0" borderId="0" xfId="0" applyNumberFormat="1" applyFont="1"/>
    <xf numFmtId="0" fontId="18" fillId="0" borderId="0" xfId="0" applyFont="1" applyAlignment="1">
      <alignment horizontal="left"/>
    </xf>
    <xf numFmtId="170" fontId="21" fillId="0" borderId="0" xfId="0" applyNumberFormat="1" applyFont="1"/>
    <xf numFmtId="0" fontId="21" fillId="0" borderId="0" xfId="0" applyFont="1" applyAlignment="1">
      <alignment horizontal="left"/>
    </xf>
    <xf numFmtId="165" fontId="28" fillId="0" borderId="0" xfId="0" applyNumberFormat="1" applyFont="1" applyProtection="1">
      <protection locked="0"/>
    </xf>
    <xf numFmtId="169" fontId="21" fillId="0" borderId="0" xfId="0" applyNumberFormat="1" applyFont="1"/>
    <xf numFmtId="165" fontId="18" fillId="0" borderId="0" xfId="0" applyNumberFormat="1" applyFont="1" applyProtection="1">
      <protection locked="0"/>
    </xf>
    <xf numFmtId="165" fontId="18" fillId="0" borderId="0" xfId="0" applyNumberFormat="1" applyFont="1"/>
    <xf numFmtId="3" fontId="18" fillId="0" borderId="0" xfId="0" applyNumberFormat="1" applyFont="1"/>
    <xf numFmtId="171" fontId="18" fillId="0" borderId="0" xfId="0" applyNumberFormat="1" applyFont="1"/>
    <xf numFmtId="0" fontId="29" fillId="0" borderId="0" xfId="0" applyFont="1" applyAlignment="1">
      <alignment horizontal="right"/>
    </xf>
    <xf numFmtId="2" fontId="18" fillId="0" borderId="0" xfId="0" applyNumberFormat="1" applyFont="1"/>
    <xf numFmtId="168" fontId="18" fillId="0" borderId="0" xfId="0" applyNumberFormat="1" applyFont="1"/>
    <xf numFmtId="2" fontId="18" fillId="0" borderId="0" xfId="0" applyNumberFormat="1" applyFont="1" applyProtection="1">
      <protection locked="0"/>
    </xf>
    <xf numFmtId="0" fontId="30" fillId="0" borderId="0" xfId="0" applyFont="1"/>
    <xf numFmtId="0" fontId="18" fillId="0" borderId="0" xfId="0" quotePrefix="1" applyFont="1"/>
    <xf numFmtId="164" fontId="18" fillId="0" borderId="0" xfId="0" applyNumberFormat="1" applyFont="1"/>
    <xf numFmtId="9" fontId="18" fillId="0" borderId="0" xfId="0" applyNumberFormat="1" applyFont="1"/>
    <xf numFmtId="0" fontId="27" fillId="0" borderId="0" xfId="0" applyFont="1"/>
    <xf numFmtId="4" fontId="18" fillId="0" borderId="0" xfId="0" applyNumberFormat="1" applyFont="1" applyProtection="1">
      <protection locked="0"/>
    </xf>
    <xf numFmtId="0" fontId="28" fillId="0" borderId="0" xfId="0" applyFont="1" applyProtection="1">
      <protection locked="0"/>
    </xf>
    <xf numFmtId="0" fontId="18" fillId="0" borderId="0" xfId="0" applyFont="1" applyAlignment="1">
      <alignment horizontal="right"/>
    </xf>
    <xf numFmtId="164" fontId="29" fillId="0" borderId="0" xfId="0" applyNumberFormat="1" applyFont="1" applyAlignment="1">
      <alignment horizontal="right"/>
    </xf>
    <xf numFmtId="0" fontId="17" fillId="0" borderId="0" xfId="0" applyFont="1"/>
    <xf numFmtId="4" fontId="18" fillId="0" borderId="0" xfId="0" applyNumberFormat="1" applyFont="1"/>
    <xf numFmtId="0" fontId="9" fillId="0" borderId="0" xfId="0" applyFont="1" applyAlignment="1">
      <alignment horizontal="center"/>
    </xf>
    <xf numFmtId="0" fontId="8" fillId="0" borderId="0" xfId="0" applyFont="1" applyAlignment="1">
      <alignment horizontal="left"/>
    </xf>
    <xf numFmtId="0" fontId="8" fillId="0" borderId="0" xfId="0" applyFont="1" applyAlignment="1">
      <alignment horizontal="center"/>
    </xf>
    <xf numFmtId="174" fontId="18" fillId="5" borderId="0" xfId="3" applyNumberFormat="1" applyFont="1" applyFill="1" applyBorder="1"/>
    <xf numFmtId="44" fontId="8" fillId="5" borderId="0" xfId="0" applyNumberFormat="1" applyFont="1" applyFill="1"/>
    <xf numFmtId="0" fontId="17" fillId="5" borderId="0" xfId="0" applyFont="1" applyFill="1"/>
    <xf numFmtId="165" fontId="18" fillId="5" borderId="0" xfId="0" applyNumberFormat="1" applyFont="1" applyFill="1" applyAlignment="1">
      <alignment horizontal="right"/>
    </xf>
    <xf numFmtId="0" fontId="8" fillId="0" borderId="1" xfId="0" applyFont="1" applyBorder="1"/>
    <xf numFmtId="0" fontId="8" fillId="5" borderId="1" xfId="0" applyFont="1" applyFill="1" applyBorder="1"/>
    <xf numFmtId="9" fontId="22" fillId="5" borderId="2" xfId="0" applyNumberFormat="1" applyFont="1" applyFill="1" applyBorder="1" applyAlignment="1">
      <alignment horizontal="right"/>
    </xf>
    <xf numFmtId="0" fontId="18" fillId="5" borderId="0" xfId="0" applyFont="1" applyFill="1" applyAlignment="1">
      <alignment horizontal="left"/>
    </xf>
    <xf numFmtId="4" fontId="8" fillId="2" borderId="0" xfId="3" applyNumberFormat="1" applyFont="1" applyFill="1" applyBorder="1"/>
    <xf numFmtId="0" fontId="8" fillId="5" borderId="0" xfId="0" applyFont="1" applyFill="1" applyAlignment="1">
      <alignment vertical="top" wrapText="1"/>
    </xf>
    <xf numFmtId="0" fontId="8" fillId="5" borderId="0" xfId="0" applyFont="1" applyFill="1" applyAlignment="1">
      <alignment vertical="top"/>
    </xf>
    <xf numFmtId="0" fontId="8" fillId="5" borderId="0" xfId="0" applyFont="1" applyFill="1" applyAlignment="1">
      <alignment horizontal="left" vertical="top" wrapText="1"/>
    </xf>
    <xf numFmtId="0" fontId="26" fillId="5" borderId="0" xfId="0" applyFont="1" applyFill="1"/>
    <xf numFmtId="3" fontId="28" fillId="0" borderId="0" xfId="0" applyNumberFormat="1" applyFont="1" applyProtection="1">
      <protection locked="0"/>
    </xf>
    <xf numFmtId="4" fontId="28" fillId="0" borderId="0" xfId="0" applyNumberFormat="1" applyFont="1" applyProtection="1">
      <protection locked="0"/>
    </xf>
    <xf numFmtId="164" fontId="28" fillId="0" borderId="0" xfId="0" applyNumberFormat="1" applyFont="1" applyProtection="1">
      <protection locked="0"/>
    </xf>
    <xf numFmtId="1" fontId="28" fillId="0" borderId="0" xfId="0" applyNumberFormat="1" applyFont="1" applyProtection="1">
      <protection locked="0"/>
    </xf>
    <xf numFmtId="171" fontId="21" fillId="0" borderId="0" xfId="0" applyNumberFormat="1" applyFont="1"/>
    <xf numFmtId="2" fontId="21" fillId="0" borderId="0" xfId="0" applyNumberFormat="1" applyFont="1"/>
    <xf numFmtId="2" fontId="28" fillId="0" borderId="0" xfId="0" applyNumberFormat="1" applyFont="1" applyProtection="1">
      <protection locked="0"/>
    </xf>
    <xf numFmtId="172" fontId="28" fillId="0" borderId="0" xfId="0" applyNumberFormat="1" applyFont="1" applyProtection="1">
      <protection locked="0"/>
    </xf>
    <xf numFmtId="164" fontId="28" fillId="0" borderId="0" xfId="0" applyNumberFormat="1" applyFont="1"/>
    <xf numFmtId="9" fontId="21" fillId="0" borderId="0" xfId="0" applyNumberFormat="1" applyFont="1"/>
    <xf numFmtId="173" fontId="28" fillId="0" borderId="0" xfId="0" applyNumberFormat="1" applyFont="1" applyProtection="1">
      <protection locked="0"/>
    </xf>
    <xf numFmtId="0" fontId="11" fillId="3" borderId="6" xfId="0" quotePrefix="1" applyFont="1" applyFill="1" applyBorder="1" applyAlignment="1">
      <alignment horizontal="center"/>
    </xf>
    <xf numFmtId="0" fontId="7" fillId="2" borderId="1" xfId="0" applyFont="1" applyFill="1" applyBorder="1"/>
    <xf numFmtId="0" fontId="8" fillId="0" borderId="9" xfId="0" applyFont="1" applyBorder="1"/>
    <xf numFmtId="3" fontId="8" fillId="0" borderId="0" xfId="0" applyNumberFormat="1" applyFont="1"/>
    <xf numFmtId="165" fontId="8" fillId="0" borderId="0" xfId="0" applyNumberFormat="1" applyFont="1"/>
    <xf numFmtId="43" fontId="8" fillId="2" borderId="0" xfId="3" applyFont="1" applyFill="1"/>
    <xf numFmtId="165" fontId="8" fillId="0" borderId="1" xfId="0" applyNumberFormat="1" applyFont="1" applyBorder="1"/>
    <xf numFmtId="43" fontId="8" fillId="2" borderId="1" xfId="3" applyFont="1" applyFill="1" applyBorder="1"/>
    <xf numFmtId="0" fontId="8" fillId="0" borderId="1" xfId="0" applyFont="1" applyBorder="1" applyAlignment="1">
      <alignment horizontal="center"/>
    </xf>
    <xf numFmtId="0" fontId="8" fillId="0" borderId="11" xfId="0" applyFont="1" applyBorder="1"/>
    <xf numFmtId="0" fontId="8" fillId="0" borderId="3" xfId="0" applyFont="1" applyBorder="1"/>
    <xf numFmtId="165" fontId="8" fillId="0" borderId="3" xfId="0" applyNumberFormat="1" applyFont="1" applyBorder="1"/>
    <xf numFmtId="43" fontId="8" fillId="2" borderId="3" xfId="3" applyFont="1" applyFill="1" applyBorder="1"/>
    <xf numFmtId="0" fontId="9" fillId="0" borderId="0" xfId="0" applyFont="1"/>
    <xf numFmtId="44" fontId="9" fillId="0" borderId="0" xfId="4" applyFont="1"/>
    <xf numFmtId="44" fontId="9" fillId="0" borderId="0" xfId="0" applyNumberFormat="1" applyFont="1"/>
    <xf numFmtId="0" fontId="19" fillId="0" borderId="5" xfId="0" applyFont="1" applyBorder="1"/>
    <xf numFmtId="0" fontId="19" fillId="0" borderId="6" xfId="0" applyFont="1" applyBorder="1"/>
    <xf numFmtId="0" fontId="8" fillId="0" borderId="0" xfId="0" applyFont="1" applyAlignment="1">
      <alignment horizontal="left" wrapText="1"/>
    </xf>
    <xf numFmtId="0" fontId="19" fillId="0" borderId="0" xfId="0" applyFont="1" applyAlignment="1">
      <alignment horizontal="center"/>
    </xf>
    <xf numFmtId="0" fontId="8" fillId="0" borderId="21" xfId="0" applyFont="1" applyBorder="1"/>
    <xf numFmtId="0" fontId="34" fillId="0" borderId="0" xfId="8" applyFont="1"/>
    <xf numFmtId="0" fontId="8" fillId="2" borderId="0" xfId="0" applyFont="1" applyFill="1"/>
    <xf numFmtId="0" fontId="8" fillId="0" borderId="2" xfId="0" applyFont="1" applyBorder="1"/>
    <xf numFmtId="0" fontId="8" fillId="0" borderId="2" xfId="0" applyFont="1" applyBorder="1" applyAlignment="1">
      <alignment horizontal="center"/>
    </xf>
    <xf numFmtId="9" fontId="8" fillId="0" borderId="2" xfId="1" applyFont="1" applyBorder="1"/>
    <xf numFmtId="9" fontId="8" fillId="0" borderId="0" xfId="1" applyFont="1"/>
    <xf numFmtId="0" fontId="8" fillId="2" borderId="1" xfId="0" applyFont="1" applyFill="1" applyBorder="1"/>
    <xf numFmtId="165" fontId="8" fillId="0" borderId="1" xfId="0" applyNumberFormat="1" applyFont="1" applyBorder="1" applyAlignment="1">
      <alignment horizontal="right"/>
    </xf>
    <xf numFmtId="1" fontId="8" fillId="0" borderId="0" xfId="0" applyNumberFormat="1" applyFont="1"/>
    <xf numFmtId="165" fontId="8" fillId="0" borderId="3" xfId="0" applyNumberFormat="1" applyFont="1" applyBorder="1" applyAlignment="1">
      <alignment horizontal="right"/>
    </xf>
    <xf numFmtId="0" fontId="8" fillId="0" borderId="5" xfId="0" applyFont="1" applyBorder="1"/>
    <xf numFmtId="165" fontId="8" fillId="0" borderId="5" xfId="0" applyNumberFormat="1" applyFont="1" applyBorder="1"/>
    <xf numFmtId="0" fontId="8" fillId="0" borderId="0" xfId="0" applyFont="1" applyAlignment="1">
      <alignment horizontal="left" vertical="top" wrapText="1"/>
    </xf>
    <xf numFmtId="0" fontId="8" fillId="0" borderId="0" xfId="0" applyFont="1" applyAlignment="1">
      <alignment vertical="top" wrapText="1"/>
    </xf>
    <xf numFmtId="174" fontId="17" fillId="0" borderId="0" xfId="5" applyNumberFormat="1" applyFont="1" applyFill="1" applyBorder="1" applyAlignment="1">
      <alignment horizontal="right"/>
    </xf>
    <xf numFmtId="174" fontId="17" fillId="0" borderId="1" xfId="5" applyNumberFormat="1" applyFont="1" applyFill="1" applyBorder="1" applyAlignment="1">
      <alignment horizontal="left"/>
    </xf>
    <xf numFmtId="174" fontId="17" fillId="0" borderId="1" xfId="5" applyNumberFormat="1" applyFont="1" applyFill="1" applyBorder="1" applyAlignment="1">
      <alignment horizontal="right"/>
    </xf>
    <xf numFmtId="174" fontId="17" fillId="0" borderId="1" xfId="5" applyNumberFormat="1" applyFont="1" applyFill="1" applyBorder="1" applyAlignment="1">
      <alignment horizontal="right" wrapText="1"/>
    </xf>
    <xf numFmtId="0" fontId="17" fillId="0" borderId="1" xfId="0" quotePrefix="1" applyFont="1" applyBorder="1"/>
    <xf numFmtId="0" fontId="17" fillId="0" borderId="1" xfId="0" applyFont="1" applyBorder="1" applyAlignment="1">
      <alignment horizontal="right"/>
    </xf>
    <xf numFmtId="174" fontId="17" fillId="5" borderId="0" xfId="5" applyNumberFormat="1" applyFont="1" applyFill="1" applyBorder="1" applyAlignment="1">
      <alignment horizontal="center"/>
    </xf>
    <xf numFmtId="37" fontId="8" fillId="5" borderId="0" xfId="4" applyNumberFormat="1" applyFont="1" applyFill="1"/>
    <xf numFmtId="44" fontId="8" fillId="5" borderId="0" xfId="4" applyFont="1" applyFill="1" applyBorder="1"/>
    <xf numFmtId="43" fontId="18" fillId="0" borderId="0" xfId="3" applyFont="1"/>
    <xf numFmtId="174" fontId="8" fillId="2" borderId="0" xfId="3" applyNumberFormat="1" applyFont="1" applyFill="1"/>
    <xf numFmtId="9" fontId="8" fillId="2" borderId="0" xfId="1" applyFont="1" applyFill="1"/>
    <xf numFmtId="9" fontId="8" fillId="5" borderId="0" xfId="1" applyFont="1" applyFill="1"/>
    <xf numFmtId="174" fontId="8" fillId="2" borderId="0" xfId="3" applyNumberFormat="1" applyFont="1" applyFill="1" applyBorder="1"/>
    <xf numFmtId="43" fontId="18" fillId="0" borderId="0" xfId="3" applyFont="1" applyBorder="1" applyAlignment="1">
      <alignment horizontal="left"/>
    </xf>
    <xf numFmtId="175" fontId="18" fillId="2" borderId="0" xfId="3" applyNumberFormat="1" applyFont="1" applyFill="1" applyBorder="1" applyAlignment="1">
      <alignment horizontal="center"/>
    </xf>
    <xf numFmtId="0" fontId="36" fillId="5" borderId="0" xfId="0" applyFont="1" applyFill="1" applyAlignment="1">
      <alignment horizontal="center"/>
    </xf>
    <xf numFmtId="0" fontId="17" fillId="5" borderId="0" xfId="0" applyFont="1" applyFill="1" applyAlignment="1">
      <alignment horizontal="center"/>
    </xf>
    <xf numFmtId="174" fontId="18" fillId="2" borderId="0" xfId="3" applyNumberFormat="1" applyFont="1" applyFill="1" applyBorder="1" applyAlignment="1">
      <alignment horizontal="left"/>
    </xf>
    <xf numFmtId="37" fontId="37" fillId="5" borderId="0" xfId="4" applyNumberFormat="1" applyFont="1" applyFill="1"/>
    <xf numFmtId="39" fontId="37" fillId="5" borderId="0" xfId="4" applyNumberFormat="1" applyFont="1" applyFill="1"/>
    <xf numFmtId="39" fontId="8" fillId="2" borderId="0" xfId="4" applyNumberFormat="1" applyFont="1" applyFill="1"/>
    <xf numFmtId="39" fontId="8" fillId="5" borderId="0" xfId="4" applyNumberFormat="1" applyFont="1" applyFill="1"/>
    <xf numFmtId="9" fontId="8" fillId="2" borderId="0" xfId="1" applyFont="1" applyFill="1" applyBorder="1"/>
    <xf numFmtId="166" fontId="8" fillId="2" borderId="0" xfId="1" applyNumberFormat="1" applyFont="1" applyFill="1"/>
    <xf numFmtId="166" fontId="8" fillId="2" borderId="1" xfId="1" applyNumberFormat="1" applyFont="1" applyFill="1" applyBorder="1"/>
    <xf numFmtId="3" fontId="8" fillId="2" borderId="0" xfId="0" applyNumberFormat="1" applyFont="1" applyFill="1"/>
    <xf numFmtId="10" fontId="8" fillId="2" borderId="0" xfId="1" applyNumberFormat="1" applyFont="1" applyFill="1"/>
    <xf numFmtId="43" fontId="18" fillId="0" borderId="0" xfId="3" applyFont="1" applyFill="1" applyBorder="1"/>
    <xf numFmtId="10" fontId="8" fillId="2" borderId="1" xfId="1" applyNumberFormat="1" applyFont="1" applyFill="1" applyBorder="1"/>
    <xf numFmtId="0" fontId="16" fillId="0" borderId="1" xfId="0" applyFont="1" applyBorder="1"/>
    <xf numFmtId="0" fontId="16" fillId="0" borderId="0" xfId="3" applyNumberFormat="1" applyFont="1" applyBorder="1" applyAlignment="1">
      <alignment horizontal="left"/>
    </xf>
    <xf numFmtId="43" fontId="16" fillId="0" borderId="0" xfId="3" applyFont="1" applyBorder="1" applyAlignment="1">
      <alignment horizontal="left"/>
    </xf>
    <xf numFmtId="2" fontId="8" fillId="2" borderId="0" xfId="0" applyNumberFormat="1" applyFont="1" applyFill="1"/>
    <xf numFmtId="2" fontId="8" fillId="2" borderId="1" xfId="0" applyNumberFormat="1" applyFont="1" applyFill="1" applyBorder="1"/>
    <xf numFmtId="9" fontId="8" fillId="2" borderId="1" xfId="1" applyFont="1" applyFill="1" applyBorder="1"/>
    <xf numFmtId="0" fontId="17" fillId="0" borderId="13" xfId="0" applyFont="1" applyBorder="1" applyAlignment="1">
      <alignment wrapText="1"/>
    </xf>
    <xf numFmtId="0" fontId="17" fillId="0" borderId="14" xfId="0" applyFont="1" applyBorder="1" applyAlignment="1">
      <alignment wrapText="1"/>
    </xf>
    <xf numFmtId="0" fontId="17" fillId="0" borderId="14" xfId="0" applyFont="1" applyBorder="1" applyAlignment="1">
      <alignment horizontal="right" wrapText="1"/>
    </xf>
    <xf numFmtId="0" fontId="17" fillId="0" borderId="15" xfId="0" applyFont="1" applyBorder="1" applyAlignment="1">
      <alignment horizontal="right" wrapText="1"/>
    </xf>
    <xf numFmtId="0" fontId="9" fillId="5" borderId="0" xfId="0" applyFont="1" applyFill="1" applyAlignment="1">
      <alignment horizontal="center"/>
    </xf>
    <xf numFmtId="3" fontId="18" fillId="0" borderId="0" xfId="0" applyNumberFormat="1" applyFont="1" applyAlignment="1">
      <alignment wrapText="1"/>
    </xf>
    <xf numFmtId="165" fontId="18" fillId="0" borderId="0" xfId="0" applyNumberFormat="1" applyFont="1" applyAlignment="1">
      <alignment wrapText="1"/>
    </xf>
    <xf numFmtId="0" fontId="18" fillId="3" borderId="0" xfId="0" quotePrefix="1" applyFont="1" applyFill="1" applyAlignment="1">
      <alignment horizontal="center" wrapText="1"/>
    </xf>
    <xf numFmtId="0" fontId="8" fillId="5" borderId="7" xfId="0" applyFont="1" applyFill="1" applyBorder="1" applyAlignment="1">
      <alignment vertical="top" wrapText="1"/>
    </xf>
    <xf numFmtId="39" fontId="8" fillId="0" borderId="0" xfId="0" applyNumberFormat="1" applyFont="1"/>
    <xf numFmtId="39" fontId="8" fillId="0" borderId="8" xfId="4" applyNumberFormat="1" applyFont="1" applyBorder="1"/>
    <xf numFmtId="3" fontId="8" fillId="0" borderId="3" xfId="0" applyNumberFormat="1" applyFont="1" applyBorder="1"/>
    <xf numFmtId="165" fontId="18" fillId="0" borderId="3" xfId="0" applyNumberFormat="1" applyFont="1" applyBorder="1" applyAlignment="1">
      <alignment wrapText="1"/>
    </xf>
    <xf numFmtId="39" fontId="8" fillId="0" borderId="3" xfId="0" applyNumberFormat="1" applyFont="1" applyBorder="1"/>
    <xf numFmtId="39" fontId="8" fillId="0" borderId="12" xfId="4" applyNumberFormat="1" applyFont="1" applyBorder="1"/>
    <xf numFmtId="3" fontId="18" fillId="5" borderId="0" xfId="0" applyNumberFormat="1" applyFont="1" applyFill="1" applyAlignment="1">
      <alignment wrapText="1"/>
    </xf>
    <xf numFmtId="2" fontId="18" fillId="5" borderId="0" xfId="0" applyNumberFormat="1" applyFont="1" applyFill="1" applyAlignment="1">
      <alignment wrapText="1"/>
    </xf>
    <xf numFmtId="0" fontId="18" fillId="5" borderId="0" xfId="0" applyFont="1" applyFill="1" applyAlignment="1">
      <alignment wrapText="1"/>
    </xf>
    <xf numFmtId="43" fontId="8" fillId="5" borderId="0" xfId="0" applyNumberFormat="1" applyFont="1" applyFill="1"/>
    <xf numFmtId="0" fontId="19" fillId="5" borderId="0" xfId="0" applyFont="1" applyFill="1" applyAlignment="1">
      <alignment wrapText="1"/>
    </xf>
    <xf numFmtId="0" fontId="17" fillId="0" borderId="13" xfId="0" applyFont="1" applyBorder="1"/>
    <xf numFmtId="0" fontId="17" fillId="0" borderId="14" xfId="0" applyFont="1" applyBorder="1"/>
    <xf numFmtId="0" fontId="17" fillId="0" borderId="14" xfId="0" applyFont="1" applyBorder="1" applyAlignment="1">
      <alignment horizontal="right"/>
    </xf>
    <xf numFmtId="0" fontId="17" fillId="0" borderId="15" xfId="0" applyFont="1" applyBorder="1" applyAlignment="1">
      <alignment horizontal="right"/>
    </xf>
    <xf numFmtId="174" fontId="8" fillId="0" borderId="0" xfId="0" applyNumberFormat="1" applyFont="1"/>
    <xf numFmtId="174" fontId="8" fillId="0" borderId="0" xfId="3" applyNumberFormat="1" applyFont="1" applyBorder="1"/>
    <xf numFmtId="0" fontId="19" fillId="5" borderId="0" xfId="0" applyFont="1" applyFill="1"/>
    <xf numFmtId="0" fontId="38" fillId="3" borderId="7" xfId="0" applyFont="1" applyFill="1" applyBorder="1"/>
    <xf numFmtId="0" fontId="38" fillId="3" borderId="8" xfId="0" applyFont="1" applyFill="1" applyBorder="1"/>
    <xf numFmtId="166" fontId="8" fillId="2" borderId="8" xfId="1" applyNumberFormat="1" applyFont="1" applyFill="1" applyBorder="1"/>
    <xf numFmtId="174" fontId="8" fillId="0" borderId="1" xfId="3" applyNumberFormat="1" applyFont="1" applyBorder="1"/>
    <xf numFmtId="39" fontId="8" fillId="0" borderId="1" xfId="0" applyNumberFormat="1" applyFont="1" applyBorder="1"/>
    <xf numFmtId="39" fontId="8" fillId="0" borderId="10" xfId="4" applyNumberFormat="1" applyFont="1" applyBorder="1"/>
    <xf numFmtId="0" fontId="8" fillId="0" borderId="18" xfId="0" applyFont="1" applyBorder="1"/>
    <xf numFmtId="0" fontId="8" fillId="0" borderId="19" xfId="0" applyFont="1" applyBorder="1"/>
    <xf numFmtId="0" fontId="9" fillId="0" borderId="19" xfId="0" applyFont="1" applyBorder="1"/>
    <xf numFmtId="2" fontId="9" fillId="0" borderId="19" xfId="0" applyNumberFormat="1" applyFont="1" applyBorder="1"/>
    <xf numFmtId="174" fontId="8" fillId="0" borderId="19" xfId="3" applyNumberFormat="1" applyFont="1" applyBorder="1"/>
    <xf numFmtId="0" fontId="9" fillId="0" borderId="3" xfId="0" applyFont="1" applyBorder="1" applyAlignment="1">
      <alignment horizontal="right"/>
    </xf>
    <xf numFmtId="39" fontId="9" fillId="0" borderId="12" xfId="0" applyNumberFormat="1" applyFont="1" applyBorder="1"/>
    <xf numFmtId="166" fontId="8" fillId="2" borderId="12" xfId="1" applyNumberFormat="1" applyFont="1" applyFill="1" applyBorder="1"/>
    <xf numFmtId="39" fontId="18" fillId="0" borderId="0" xfId="0" applyNumberFormat="1" applyFont="1"/>
    <xf numFmtId="39" fontId="18" fillId="0" borderId="8" xfId="0" applyNumberFormat="1" applyFont="1" applyBorder="1"/>
    <xf numFmtId="174" fontId="8" fillId="0" borderId="1" xfId="0" applyNumberFormat="1" applyFont="1" applyBorder="1"/>
    <xf numFmtId="0" fontId="9" fillId="0" borderId="19" xfId="0" applyFont="1" applyBorder="1" applyAlignment="1">
      <alignment horizontal="right"/>
    </xf>
    <xf numFmtId="39" fontId="9" fillId="0" borderId="20" xfId="0" applyNumberFormat="1" applyFont="1" applyBorder="1"/>
    <xf numFmtId="0" fontId="9" fillId="5" borderId="0" xfId="0" applyFont="1" applyFill="1"/>
    <xf numFmtId="2" fontId="9" fillId="5" borderId="0" xfId="0" applyNumberFormat="1" applyFont="1" applyFill="1"/>
    <xf numFmtId="174" fontId="8" fillId="5" borderId="0" xfId="3" applyNumberFormat="1" applyFont="1" applyFill="1" applyBorder="1"/>
    <xf numFmtId="44" fontId="9" fillId="5" borderId="0" xfId="0" applyNumberFormat="1" applyFont="1" applyFill="1"/>
    <xf numFmtId="4" fontId="8" fillId="0" borderId="0" xfId="0" applyNumberFormat="1" applyFont="1"/>
    <xf numFmtId="4" fontId="8" fillId="0" borderId="8" xfId="4" applyNumberFormat="1" applyFont="1" applyBorder="1"/>
    <xf numFmtId="4" fontId="8" fillId="0" borderId="1" xfId="0" applyNumberFormat="1" applyFont="1" applyBorder="1"/>
    <xf numFmtId="4" fontId="8" fillId="0" borderId="10" xfId="4" applyNumberFormat="1" applyFont="1" applyBorder="1"/>
    <xf numFmtId="4" fontId="9" fillId="0" borderId="3" xfId="0" applyNumberFormat="1" applyFont="1" applyBorder="1" applyAlignment="1">
      <alignment horizontal="right"/>
    </xf>
    <xf numFmtId="4" fontId="9" fillId="0" borderId="12" xfId="0" applyNumberFormat="1" applyFont="1" applyBorder="1"/>
    <xf numFmtId="0" fontId="17" fillId="0" borderId="1" xfId="0" applyFont="1" applyBorder="1"/>
    <xf numFmtId="0" fontId="17" fillId="0" borderId="1" xfId="0" applyFont="1" applyBorder="1" applyAlignment="1">
      <alignment vertical="center"/>
    </xf>
    <xf numFmtId="0" fontId="17" fillId="0" borderId="1" xfId="0" applyFont="1" applyBorder="1" applyAlignment="1">
      <alignment horizontal="right" vertical="center"/>
    </xf>
    <xf numFmtId="0" fontId="17" fillId="0" borderId="1" xfId="0" applyFont="1" applyBorder="1" applyAlignment="1">
      <alignment horizontal="center" vertical="center" wrapText="1"/>
    </xf>
    <xf numFmtId="0" fontId="17" fillId="0" borderId="1" xfId="0" applyFont="1" applyBorder="1" applyAlignment="1">
      <alignment horizontal="left"/>
    </xf>
    <xf numFmtId="0" fontId="9" fillId="0" borderId="1" xfId="0" applyFont="1" applyBorder="1"/>
    <xf numFmtId="164" fontId="8" fillId="2" borderId="0" xfId="4" applyNumberFormat="1" applyFont="1" applyFill="1"/>
    <xf numFmtId="164" fontId="8" fillId="2" borderId="0" xfId="3" applyNumberFormat="1" applyFont="1" applyFill="1" applyBorder="1"/>
    <xf numFmtId="164" fontId="8" fillId="5" borderId="0" xfId="4" applyNumberFormat="1" applyFont="1" applyFill="1"/>
    <xf numFmtId="164" fontId="8" fillId="2" borderId="0" xfId="0" applyNumberFormat="1" applyFont="1" applyFill="1"/>
    <xf numFmtId="164" fontId="8" fillId="2" borderId="1" xfId="0" applyNumberFormat="1" applyFont="1" applyFill="1" applyBorder="1"/>
    <xf numFmtId="164" fontId="8" fillId="2" borderId="0" xfId="4" applyNumberFormat="1" applyFont="1" applyFill="1" applyBorder="1"/>
    <xf numFmtId="164" fontId="8" fillId="2" borderId="1" xfId="4" applyNumberFormat="1" applyFont="1" applyFill="1" applyBorder="1"/>
    <xf numFmtId="172" fontId="8" fillId="2" borderId="0" xfId="0" applyNumberFormat="1" applyFont="1" applyFill="1"/>
    <xf numFmtId="172" fontId="8" fillId="2" borderId="1" xfId="0" applyNumberFormat="1" applyFont="1" applyFill="1" applyBorder="1"/>
    <xf numFmtId="172" fontId="8" fillId="0" borderId="0" xfId="0" applyNumberFormat="1" applyFont="1"/>
    <xf numFmtId="172" fontId="8" fillId="0" borderId="1" xfId="0" applyNumberFormat="1" applyFont="1" applyBorder="1"/>
    <xf numFmtId="9" fontId="22" fillId="5" borderId="0" xfId="0" applyNumberFormat="1" applyFont="1" applyFill="1"/>
    <xf numFmtId="0" fontId="22" fillId="5" borderId="0" xfId="0" applyFont="1" applyFill="1" applyAlignment="1">
      <alignment horizontal="right"/>
    </xf>
    <xf numFmtId="167" fontId="21" fillId="5" borderId="0" xfId="0" applyNumberFormat="1" applyFont="1" applyFill="1"/>
    <xf numFmtId="2" fontId="8" fillId="5" borderId="0" xfId="0" applyNumberFormat="1" applyFont="1" applyFill="1"/>
    <xf numFmtId="0" fontId="24" fillId="5" borderId="0" xfId="0" applyFont="1" applyFill="1"/>
    <xf numFmtId="0" fontId="17" fillId="5" borderId="0" xfId="0" applyFont="1" applyFill="1" applyAlignment="1">
      <alignment horizontal="right"/>
    </xf>
    <xf numFmtId="167" fontId="21" fillId="5" borderId="0" xfId="0" quotePrefix="1" applyNumberFormat="1" applyFont="1" applyFill="1"/>
    <xf numFmtId="0" fontId="22" fillId="5" borderId="0" xfId="0" applyFont="1" applyFill="1" applyAlignment="1">
      <alignment horizontal="left"/>
    </xf>
    <xf numFmtId="0" fontId="22" fillId="5" borderId="2" xfId="0" applyFont="1" applyFill="1" applyBorder="1"/>
    <xf numFmtId="0" fontId="21" fillId="5" borderId="2" xfId="0" applyFont="1" applyFill="1" applyBorder="1"/>
    <xf numFmtId="0" fontId="9" fillId="5" borderId="2" xfId="0" applyFont="1" applyFill="1" applyBorder="1" applyAlignment="1">
      <alignment horizontal="right"/>
    </xf>
    <xf numFmtId="0" fontId="22" fillId="5" borderId="17" xfId="0" applyFont="1" applyFill="1" applyBorder="1" applyAlignment="1">
      <alignment horizontal="left"/>
    </xf>
    <xf numFmtId="0" fontId="8" fillId="0" borderId="17" xfId="0" applyFont="1" applyBorder="1"/>
    <xf numFmtId="164" fontId="21" fillId="5" borderId="0" xfId="0" applyNumberFormat="1" applyFont="1" applyFill="1"/>
    <xf numFmtId="164" fontId="8" fillId="5" borderId="0" xfId="0" applyNumberFormat="1" applyFont="1" applyFill="1"/>
    <xf numFmtId="0" fontId="17" fillId="0" borderId="17" xfId="0" applyFont="1" applyBorder="1"/>
    <xf numFmtId="2" fontId="17" fillId="5" borderId="0" xfId="9" applyNumberFormat="1" applyFont="1" applyFill="1" applyAlignment="1">
      <alignment horizontal="left"/>
    </xf>
    <xf numFmtId="2" fontId="17" fillId="5" borderId="2" xfId="9" applyNumberFormat="1" applyFont="1" applyFill="1" applyBorder="1" applyAlignment="1">
      <alignment horizontal="left"/>
    </xf>
    <xf numFmtId="0" fontId="22" fillId="5" borderId="2" xfId="0" applyFont="1" applyFill="1" applyBorder="1" applyAlignment="1">
      <alignment horizontal="left"/>
    </xf>
    <xf numFmtId="164" fontId="22" fillId="5" borderId="0" xfId="0" applyNumberFormat="1" applyFont="1" applyFill="1"/>
    <xf numFmtId="164" fontId="9" fillId="5" borderId="0" xfId="0" applyNumberFormat="1" applyFont="1" applyFill="1"/>
    <xf numFmtId="164" fontId="21" fillId="0" borderId="0" xfId="0" applyNumberFormat="1" applyFont="1"/>
    <xf numFmtId="164" fontId="21" fillId="5" borderId="0" xfId="0" quotePrefix="1" applyNumberFormat="1" applyFont="1" applyFill="1"/>
    <xf numFmtId="164" fontId="21" fillId="5" borderId="1" xfId="0" applyNumberFormat="1" applyFont="1" applyFill="1" applyBorder="1"/>
    <xf numFmtId="164" fontId="8" fillId="5" borderId="1" xfId="0" applyNumberFormat="1" applyFont="1" applyFill="1" applyBorder="1"/>
    <xf numFmtId="164" fontId="17" fillId="5" borderId="0" xfId="0" applyNumberFormat="1" applyFont="1" applyFill="1"/>
    <xf numFmtId="164" fontId="22" fillId="0" borderId="0" xfId="0" applyNumberFormat="1" applyFont="1"/>
    <xf numFmtId="164" fontId="18" fillId="5" borderId="1" xfId="0" quotePrefix="1" applyNumberFormat="1" applyFont="1" applyFill="1" applyBorder="1"/>
    <xf numFmtId="164" fontId="22" fillId="5" borderId="17" xfId="0" quotePrefix="1" applyNumberFormat="1" applyFont="1" applyFill="1" applyBorder="1"/>
    <xf numFmtId="164" fontId="9" fillId="5" borderId="17" xfId="0" applyNumberFormat="1" applyFont="1" applyFill="1" applyBorder="1"/>
    <xf numFmtId="164" fontId="22" fillId="5" borderId="0" xfId="0" quotePrefix="1" applyNumberFormat="1" applyFont="1" applyFill="1"/>
    <xf numFmtId="164" fontId="22" fillId="5" borderId="2" xfId="0" applyNumberFormat="1" applyFont="1" applyFill="1" applyBorder="1"/>
    <xf numFmtId="164" fontId="9" fillId="5" borderId="2" xfId="0" applyNumberFormat="1" applyFont="1" applyFill="1" applyBorder="1"/>
    <xf numFmtId="164" fontId="9" fillId="5" borderId="0" xfId="0" applyNumberFormat="1" applyFont="1" applyFill="1" applyAlignment="1">
      <alignment vertical="top" wrapText="1"/>
    </xf>
    <xf numFmtId="164" fontId="9" fillId="0" borderId="1" xfId="0" applyNumberFormat="1" applyFont="1" applyBorder="1"/>
    <xf numFmtId="164" fontId="9" fillId="5" borderId="1" xfId="0" applyNumberFormat="1" applyFont="1" applyFill="1" applyBorder="1" applyAlignment="1">
      <alignment vertical="top" wrapText="1"/>
    </xf>
    <xf numFmtId="164" fontId="9" fillId="0" borderId="0" xfId="0" applyNumberFormat="1" applyFont="1"/>
    <xf numFmtId="0" fontId="8" fillId="5" borderId="2" xfId="0" applyFont="1" applyFill="1" applyBorder="1"/>
    <xf numFmtId="0" fontId="32" fillId="5" borderId="2" xfId="0" applyFont="1" applyFill="1" applyBorder="1"/>
    <xf numFmtId="0" fontId="18" fillId="2" borderId="0" xfId="0" applyFont="1" applyFill="1"/>
    <xf numFmtId="0" fontId="17" fillId="5" borderId="1" xfId="0" applyFont="1" applyFill="1" applyBorder="1" applyAlignment="1">
      <alignment horizontal="centerContinuous"/>
    </xf>
    <xf numFmtId="9" fontId="22" fillId="5" borderId="2" xfId="0" applyNumberFormat="1" applyFont="1" applyFill="1" applyBorder="1" applyAlignment="1">
      <alignment horizontal="center"/>
    </xf>
    <xf numFmtId="164" fontId="31" fillId="5" borderId="0" xfId="0" applyNumberFormat="1" applyFont="1" applyFill="1" applyAlignment="1">
      <alignment horizontal="center"/>
    </xf>
    <xf numFmtId="164" fontId="22" fillId="5" borderId="1" xfId="0" applyNumberFormat="1" applyFont="1" applyFill="1" applyBorder="1"/>
    <xf numFmtId="164" fontId="9" fillId="5" borderId="2" xfId="0" applyNumberFormat="1" applyFont="1" applyFill="1" applyBorder="1" applyAlignment="1">
      <alignment vertical="top" wrapText="1"/>
    </xf>
    <xf numFmtId="164" fontId="21" fillId="5" borderId="2" xfId="0" applyNumberFormat="1" applyFont="1" applyFill="1" applyBorder="1"/>
    <xf numFmtId="164" fontId="8" fillId="5" borderId="0" xfId="0" applyNumberFormat="1" applyFont="1" applyFill="1" applyAlignment="1">
      <alignment horizontal="right" vertical="top" wrapText="1"/>
    </xf>
    <xf numFmtId="164" fontId="17" fillId="5" borderId="1" xfId="0" applyNumberFormat="1" applyFont="1" applyFill="1" applyBorder="1"/>
    <xf numFmtId="164" fontId="9" fillId="5" borderId="2" xfId="0" applyNumberFormat="1" applyFont="1" applyFill="1" applyBorder="1" applyAlignment="1">
      <alignment horizontal="right" vertical="top" wrapText="1"/>
    </xf>
    <xf numFmtId="0" fontId="18" fillId="5" borderId="2" xfId="0" applyFont="1" applyFill="1" applyBorder="1"/>
    <xf numFmtId="164" fontId="17" fillId="5" borderId="2" xfId="0" applyNumberFormat="1" applyFont="1" applyFill="1" applyBorder="1"/>
    <xf numFmtId="164" fontId="8" fillId="5" borderId="2" xfId="0" applyNumberFormat="1" applyFont="1" applyFill="1" applyBorder="1" applyAlignment="1">
      <alignment horizontal="right" vertical="top" wrapText="1"/>
    </xf>
    <xf numFmtId="164" fontId="22" fillId="5" borderId="1" xfId="0" quotePrefix="1" applyNumberFormat="1" applyFont="1" applyFill="1" applyBorder="1"/>
    <xf numFmtId="43" fontId="8" fillId="2" borderId="0" xfId="3" applyFont="1" applyFill="1" applyBorder="1"/>
    <xf numFmtId="44" fontId="8" fillId="0" borderId="0" xfId="4" applyFont="1" applyBorder="1"/>
    <xf numFmtId="44" fontId="8" fillId="0" borderId="1" xfId="4" applyFont="1" applyBorder="1"/>
    <xf numFmtId="44" fontId="8" fillId="0" borderId="3" xfId="4" applyFont="1" applyBorder="1"/>
    <xf numFmtId="0" fontId="9" fillId="0" borderId="21" xfId="0" applyFont="1" applyBorder="1"/>
    <xf numFmtId="165" fontId="9" fillId="0" borderId="21" xfId="0" applyNumberFormat="1" applyFont="1" applyBorder="1"/>
    <xf numFmtId="44" fontId="9" fillId="0" borderId="21" xfId="0" applyNumberFormat="1" applyFont="1" applyBorder="1"/>
    <xf numFmtId="0" fontId="18" fillId="0" borderId="17" xfId="0" applyFont="1" applyBorder="1" applyAlignment="1">
      <alignment horizontal="left"/>
    </xf>
    <xf numFmtId="0" fontId="7" fillId="2" borderId="0" xfId="0" applyFont="1" applyFill="1"/>
    <xf numFmtId="39" fontId="8" fillId="2" borderId="0" xfId="4" applyNumberFormat="1" applyFont="1" applyFill="1" applyBorder="1"/>
    <xf numFmtId="0" fontId="7" fillId="2" borderId="0" xfId="0" quotePrefix="1" applyFont="1" applyFill="1"/>
    <xf numFmtId="39" fontId="8" fillId="2" borderId="1" xfId="4" applyNumberFormat="1" applyFont="1" applyFill="1" applyBorder="1"/>
    <xf numFmtId="165" fontId="8" fillId="0" borderId="0" xfId="0" applyNumberFormat="1" applyFont="1" applyAlignment="1">
      <alignment horizontal="right"/>
    </xf>
    <xf numFmtId="165" fontId="8" fillId="2" borderId="0" xfId="0" applyNumberFormat="1" applyFont="1" applyFill="1"/>
    <xf numFmtId="0" fontId="9" fillId="0" borderId="2" xfId="0" applyFont="1" applyBorder="1"/>
    <xf numFmtId="165" fontId="9" fillId="0" borderId="2" xfId="0" applyNumberFormat="1" applyFont="1" applyBorder="1"/>
    <xf numFmtId="0" fontId="9" fillId="0" borderId="21" xfId="0" applyFont="1" applyBorder="1" applyAlignment="1">
      <alignment horizontal="center"/>
    </xf>
    <xf numFmtId="44" fontId="8" fillId="0" borderId="2" xfId="4" applyFont="1" applyBorder="1"/>
    <xf numFmtId="0" fontId="8" fillId="0" borderId="0" xfId="0" applyFont="1" applyAlignment="1">
      <alignment wrapText="1"/>
    </xf>
    <xf numFmtId="0" fontId="9" fillId="0" borderId="0" xfId="0" applyFont="1" applyAlignment="1">
      <alignment wrapText="1"/>
    </xf>
    <xf numFmtId="44" fontId="8" fillId="2" borderId="0" xfId="4" applyFont="1" applyFill="1" applyBorder="1"/>
    <xf numFmtId="0" fontId="9" fillId="0" borderId="2" xfId="0" applyFont="1" applyBorder="1" applyAlignment="1">
      <alignment wrapText="1"/>
    </xf>
    <xf numFmtId="44" fontId="8" fillId="2" borderId="1" xfId="4" applyFont="1" applyFill="1" applyBorder="1"/>
    <xf numFmtId="0" fontId="9" fillId="0" borderId="1" xfId="0" applyFont="1" applyBorder="1" applyAlignment="1">
      <alignment wrapText="1"/>
    </xf>
    <xf numFmtId="164" fontId="8" fillId="0" borderId="0" xfId="0" applyNumberFormat="1" applyFont="1"/>
    <xf numFmtId="164" fontId="8" fillId="0" borderId="2" xfId="4" applyNumberFormat="1" applyFont="1" applyBorder="1"/>
    <xf numFmtId="164" fontId="8" fillId="0" borderId="2" xfId="0" applyNumberFormat="1" applyFont="1" applyBorder="1"/>
    <xf numFmtId="164" fontId="8" fillId="5" borderId="0" xfId="4" applyNumberFormat="1" applyFont="1" applyFill="1" applyBorder="1"/>
    <xf numFmtId="164" fontId="8" fillId="5" borderId="1" xfId="4" applyNumberFormat="1" applyFont="1" applyFill="1" applyBorder="1"/>
    <xf numFmtId="164" fontId="18" fillId="2" borderId="0" xfId="4" applyNumberFormat="1" applyFont="1" applyFill="1" applyBorder="1"/>
    <xf numFmtId="164" fontId="18" fillId="2" borderId="1" xfId="4" applyNumberFormat="1" applyFont="1" applyFill="1" applyBorder="1"/>
    <xf numFmtId="0" fontId="39" fillId="5" borderId="0" xfId="0" applyFont="1" applyFill="1"/>
    <xf numFmtId="0" fontId="33" fillId="3" borderId="0" xfId="0" applyFont="1" applyFill="1"/>
    <xf numFmtId="0" fontId="40" fillId="3" borderId="7" xfId="0" applyFont="1" applyFill="1" applyBorder="1"/>
    <xf numFmtId="0" fontId="40" fillId="3" borderId="0" xfId="0" applyFont="1" applyFill="1"/>
    <xf numFmtId="176" fontId="40" fillId="3" borderId="0" xfId="0" quotePrefix="1" applyNumberFormat="1" applyFont="1" applyFill="1"/>
    <xf numFmtId="0" fontId="41" fillId="5" borderId="0" xfId="9" applyFont="1" applyFill="1"/>
    <xf numFmtId="9" fontId="41" fillId="5" borderId="0" xfId="1" applyFont="1" applyFill="1" applyBorder="1" applyProtection="1"/>
    <xf numFmtId="7" fontId="41" fillId="5" borderId="22" xfId="3" applyNumberFormat="1" applyFont="1" applyFill="1" applyBorder="1" applyProtection="1"/>
    <xf numFmtId="6" fontId="41" fillId="5" borderId="23" xfId="4" applyNumberFormat="1" applyFont="1" applyFill="1" applyBorder="1" applyProtection="1"/>
    <xf numFmtId="7" fontId="41" fillId="0" borderId="22" xfId="3" applyNumberFormat="1" applyFont="1" applyBorder="1" applyProtection="1"/>
    <xf numFmtId="6" fontId="41" fillId="7" borderId="23" xfId="4" applyNumberFormat="1" applyFont="1" applyFill="1" applyBorder="1" applyProtection="1"/>
    <xf numFmtId="6" fontId="41" fillId="0" borderId="23" xfId="4" applyNumberFormat="1" applyFont="1" applyFill="1" applyBorder="1" applyProtection="1"/>
    <xf numFmtId="7" fontId="41" fillId="5" borderId="24" xfId="3" applyNumberFormat="1" applyFont="1" applyFill="1" applyBorder="1" applyProtection="1"/>
    <xf numFmtId="0" fontId="42" fillId="5" borderId="0" xfId="9" applyFont="1" applyFill="1"/>
    <xf numFmtId="175" fontId="41" fillId="0" borderId="0" xfId="3" applyNumberFormat="1" applyFont="1" applyBorder="1" applyProtection="1"/>
    <xf numFmtId="176" fontId="40" fillId="0" borderId="0" xfId="0" quotePrefix="1" applyNumberFormat="1" applyFont="1"/>
    <xf numFmtId="174" fontId="41" fillId="5" borderId="1" xfId="3" applyNumberFormat="1" applyFont="1" applyFill="1" applyBorder="1" applyProtection="1"/>
    <xf numFmtId="174" fontId="41" fillId="0" borderId="1" xfId="3" applyNumberFormat="1" applyFont="1" applyBorder="1" applyProtection="1"/>
    <xf numFmtId="9" fontId="21" fillId="2" borderId="0" xfId="1" applyFont="1" applyFill="1"/>
    <xf numFmtId="44" fontId="9" fillId="0" borderId="1" xfId="0" applyNumberFormat="1" applyFont="1" applyBorder="1"/>
    <xf numFmtId="39" fontId="8" fillId="2" borderId="2" xfId="4" applyNumberFormat="1" applyFont="1" applyFill="1" applyBorder="1"/>
    <xf numFmtId="0" fontId="12" fillId="3" borderId="13" xfId="0" quotePrefix="1" applyFont="1" applyFill="1" applyBorder="1" applyAlignment="1">
      <alignment horizontal="center"/>
    </xf>
    <xf numFmtId="0" fontId="12" fillId="3" borderId="14" xfId="0" quotePrefix="1" applyFont="1" applyFill="1" applyBorder="1" applyAlignment="1">
      <alignment horizontal="center"/>
    </xf>
    <xf numFmtId="0" fontId="12" fillId="3" borderId="15" xfId="0" quotePrefix="1" applyFont="1" applyFill="1" applyBorder="1" applyAlignment="1">
      <alignment horizontal="center"/>
    </xf>
    <xf numFmtId="0" fontId="8" fillId="0" borderId="0" xfId="7" applyFont="1" applyAlignment="1">
      <alignment horizontal="right"/>
    </xf>
    <xf numFmtId="0" fontId="8" fillId="0" borderId="0" xfId="7" applyFont="1"/>
    <xf numFmtId="0" fontId="11" fillId="3" borderId="13" xfId="7" applyFont="1" applyFill="1" applyBorder="1"/>
    <xf numFmtId="0" fontId="11" fillId="3" borderId="14" xfId="7" applyFont="1" applyFill="1" applyBorder="1"/>
    <xf numFmtId="0" fontId="10" fillId="4" borderId="0" xfId="6" applyFont="1" applyBorder="1" applyAlignment="1">
      <alignment horizontal="left" wrapText="1"/>
    </xf>
    <xf numFmtId="0" fontId="8" fillId="0" borderId="0" xfId="7" applyFont="1" applyAlignment="1">
      <alignment vertical="top" wrapText="1"/>
    </xf>
    <xf numFmtId="0" fontId="8" fillId="0" borderId="0" xfId="7" applyFont="1" applyAlignment="1">
      <alignment horizontal="left" vertical="top" wrapText="1"/>
    </xf>
    <xf numFmtId="0" fontId="33" fillId="3" borderId="0" xfId="0" quotePrefix="1" applyFont="1" applyFill="1" applyAlignment="1">
      <alignment horizontal="left"/>
    </xf>
    <xf numFmtId="0" fontId="17" fillId="0" borderId="2" xfId="0" applyFont="1" applyBorder="1" applyAlignment="1">
      <alignment horizontal="center"/>
    </xf>
    <xf numFmtId="0" fontId="33" fillId="3" borderId="0" xfId="0" quotePrefix="1" applyFont="1" applyFill="1" applyAlignment="1">
      <alignment horizontal="center"/>
    </xf>
    <xf numFmtId="174" fontId="17" fillId="0" borderId="1" xfId="5" applyNumberFormat="1" applyFont="1" applyFill="1" applyBorder="1" applyAlignment="1">
      <alignment horizontal="center"/>
    </xf>
    <xf numFmtId="43" fontId="17" fillId="0" borderId="2" xfId="3" applyFont="1" applyBorder="1" applyAlignment="1">
      <alignment horizontal="center"/>
    </xf>
    <xf numFmtId="0" fontId="33" fillId="3" borderId="4" xfId="0" quotePrefix="1" applyFont="1" applyFill="1" applyBorder="1" applyAlignment="1">
      <alignment horizontal="center"/>
    </xf>
    <xf numFmtId="0" fontId="33" fillId="3" borderId="5" xfId="0" quotePrefix="1" applyFont="1" applyFill="1" applyBorder="1" applyAlignment="1">
      <alignment horizontal="center"/>
    </xf>
    <xf numFmtId="0" fontId="33" fillId="3" borderId="6" xfId="0" quotePrefix="1" applyFont="1" applyFill="1" applyBorder="1" applyAlignment="1">
      <alignment horizontal="center"/>
    </xf>
    <xf numFmtId="43" fontId="14" fillId="5" borderId="17" xfId="3" applyFont="1" applyFill="1" applyBorder="1" applyAlignment="1">
      <alignment horizontal="center"/>
    </xf>
    <xf numFmtId="0" fontId="14" fillId="5" borderId="0" xfId="0" applyFont="1" applyFill="1" applyAlignment="1">
      <alignment horizontal="center"/>
    </xf>
    <xf numFmtId="0" fontId="8" fillId="0" borderId="11" xfId="0" applyFont="1" applyBorder="1"/>
    <xf numFmtId="0" fontId="8" fillId="0" borderId="3" xfId="0" applyFont="1" applyBorder="1"/>
    <xf numFmtId="0" fontId="8" fillId="0" borderId="7" xfId="0" applyFont="1" applyBorder="1"/>
    <xf numFmtId="0" fontId="8" fillId="0" borderId="0" xfId="0" applyFont="1"/>
    <xf numFmtId="0" fontId="20" fillId="3" borderId="4" xfId="0" quotePrefix="1" applyFont="1" applyFill="1" applyBorder="1" applyAlignment="1">
      <alignment horizontal="center"/>
    </xf>
    <xf numFmtId="0" fontId="20" fillId="3" borderId="5" xfId="0" quotePrefix="1" applyFont="1" applyFill="1" applyBorder="1" applyAlignment="1">
      <alignment horizontal="center"/>
    </xf>
    <xf numFmtId="0" fontId="20" fillId="3" borderId="6" xfId="0" quotePrefix="1" applyFont="1" applyFill="1" applyBorder="1" applyAlignment="1">
      <alignment horizontal="center"/>
    </xf>
    <xf numFmtId="0" fontId="17" fillId="6" borderId="4" xfId="0" applyFont="1" applyFill="1" applyBorder="1" applyAlignment="1">
      <alignment horizontal="center"/>
    </xf>
    <xf numFmtId="0" fontId="17" fillId="6" borderId="6" xfId="0" applyFont="1" applyFill="1" applyBorder="1" applyAlignment="1">
      <alignment horizontal="center"/>
    </xf>
    <xf numFmtId="0" fontId="9" fillId="0" borderId="0" xfId="0" applyFont="1" applyAlignment="1">
      <alignment horizontal="center"/>
    </xf>
    <xf numFmtId="0" fontId="12" fillId="3" borderId="0" xfId="0" quotePrefix="1" applyFont="1" applyFill="1" applyAlignment="1">
      <alignment horizontal="center"/>
    </xf>
    <xf numFmtId="0" fontId="21" fillId="5" borderId="17" xfId="0" applyFont="1" applyFill="1" applyBorder="1" applyAlignment="1">
      <alignment horizontal="left" wrapText="1"/>
    </xf>
    <xf numFmtId="0" fontId="42" fillId="0" borderId="0" xfId="9" applyFont="1" applyAlignment="1">
      <alignment horizontal="center" vertical="center" wrapText="1"/>
    </xf>
    <xf numFmtId="0" fontId="42" fillId="0" borderId="1" xfId="9" applyFont="1" applyBorder="1" applyAlignment="1">
      <alignment horizontal="center" vertical="center" wrapText="1"/>
    </xf>
    <xf numFmtId="0" fontId="42" fillId="0" borderId="0" xfId="9" applyFont="1" applyAlignment="1">
      <alignment horizontal="center" vertical="center" textRotation="90"/>
    </xf>
    <xf numFmtId="0" fontId="42" fillId="0" borderId="1" xfId="9" applyFont="1" applyBorder="1" applyAlignment="1">
      <alignment horizontal="center" vertical="center" textRotation="90"/>
    </xf>
    <xf numFmtId="0" fontId="42" fillId="5" borderId="0" xfId="9" applyFont="1" applyFill="1" applyAlignment="1">
      <alignment horizontal="center"/>
    </xf>
    <xf numFmtId="0" fontId="12" fillId="3" borderId="4" xfId="0" quotePrefix="1" applyFont="1" applyFill="1" applyBorder="1" applyAlignment="1">
      <alignment horizontal="center"/>
    </xf>
    <xf numFmtId="0" fontId="12" fillId="3" borderId="5" xfId="0" quotePrefix="1" applyFont="1" applyFill="1" applyBorder="1" applyAlignment="1">
      <alignment horizontal="center"/>
    </xf>
    <xf numFmtId="0" fontId="18" fillId="5" borderId="1" xfId="0" applyFont="1" applyFill="1" applyBorder="1" applyAlignment="1">
      <alignment horizontal="left"/>
    </xf>
    <xf numFmtId="0" fontId="17" fillId="5" borderId="0" xfId="0" applyFont="1" applyFill="1"/>
    <xf numFmtId="0" fontId="18" fillId="5" borderId="0" xfId="0" applyFont="1" applyFill="1" applyAlignment="1">
      <alignment horizontal="right"/>
    </xf>
    <xf numFmtId="0" fontId="8" fillId="5" borderId="0" xfId="0" applyFont="1" applyFill="1" applyAlignment="1">
      <alignment horizontal="center" wrapText="1"/>
    </xf>
    <xf numFmtId="0" fontId="33" fillId="3" borderId="4" xfId="0" applyFont="1" applyFill="1" applyBorder="1" applyAlignment="1">
      <alignment horizontal="center"/>
    </xf>
    <xf numFmtId="0" fontId="33" fillId="3" borderId="5" xfId="0" applyFont="1" applyFill="1" applyBorder="1" applyAlignment="1">
      <alignment horizontal="center"/>
    </xf>
    <xf numFmtId="0" fontId="33" fillId="3" borderId="6" xfId="0" applyFont="1" applyFill="1" applyBorder="1" applyAlignment="1">
      <alignment horizontal="center"/>
    </xf>
    <xf numFmtId="0" fontId="8" fillId="0" borderId="1" xfId="0" applyFont="1" applyBorder="1" applyAlignment="1">
      <alignment horizontal="center"/>
    </xf>
    <xf numFmtId="0" fontId="18" fillId="2" borderId="17" xfId="0" applyFont="1" applyFill="1" applyBorder="1" applyAlignment="1">
      <alignment horizontal="center"/>
    </xf>
    <xf numFmtId="0" fontId="33" fillId="3" borderId="3" xfId="0" applyFont="1" applyFill="1" applyBorder="1" applyAlignment="1">
      <alignment horizontal="center"/>
    </xf>
    <xf numFmtId="0" fontId="33" fillId="3" borderId="0" xfId="0" applyFont="1" applyFill="1" applyAlignment="1">
      <alignment horizontal="center"/>
    </xf>
    <xf numFmtId="0" fontId="8" fillId="0" borderId="0" xfId="0" applyFont="1" applyAlignment="1">
      <alignment horizontal="left" vertical="top" wrapText="1"/>
    </xf>
    <xf numFmtId="0" fontId="8" fillId="0" borderId="0" xfId="0" applyFont="1" applyAlignment="1">
      <alignment horizontal="left" wrapText="1"/>
    </xf>
    <xf numFmtId="0" fontId="35" fillId="3" borderId="0" xfId="0" applyFont="1" applyFill="1" applyAlignment="1">
      <alignment horizontal="center"/>
    </xf>
    <xf numFmtId="0" fontId="34" fillId="0" borderId="0" xfId="8" applyFont="1" applyAlignment="1">
      <alignment horizontal="left" vertical="top" wrapText="1"/>
    </xf>
  </cellXfs>
  <cellStyles count="10">
    <cellStyle name="Comma" xfId="3" builtinId="3"/>
    <cellStyle name="Comma 2" xfId="5" xr:uid="{F94871CD-C5B2-4ECF-9D97-087A3E964E30}"/>
    <cellStyle name="Currency" xfId="4" builtinId="4"/>
    <cellStyle name="Hyperlink" xfId="8" builtinId="8"/>
    <cellStyle name="Normal" xfId="0" builtinId="0"/>
    <cellStyle name="Normal 2" xfId="2" xr:uid="{714AC4DB-70AE-4642-82E9-C5C7E1FB2F08}"/>
    <cellStyle name="Normal 2 2" xfId="7" xr:uid="{E568F1D7-5FF5-43BE-AA60-DE0F367054E0}"/>
    <cellStyle name="Normal 2 3" xfId="9" xr:uid="{2D9D6C17-BDF2-46CF-9B55-7A2C79D70801}"/>
    <cellStyle name="Output" xfId="6" builtinId="21"/>
    <cellStyle name="Percent" xfId="1" builtinId="5"/>
  </cellStyles>
  <dxfs count="12">
    <dxf>
      <font>
        <strike val="0"/>
      </font>
      <fill>
        <patternFill patternType="darkGrid"/>
      </fill>
    </dxf>
    <dxf>
      <font>
        <strike val="0"/>
      </font>
      <fill>
        <patternFill patternType="darkGrid"/>
      </fill>
    </dxf>
    <dxf>
      <font>
        <strike val="0"/>
      </font>
      <fill>
        <patternFill patternType="darkGrid"/>
      </fill>
    </dxf>
    <dxf>
      <font>
        <strike val="0"/>
      </font>
      <fill>
        <patternFill patternType="darkGrid"/>
      </fill>
    </dxf>
    <dxf>
      <font>
        <strike val="0"/>
      </font>
      <fill>
        <patternFill patternType="darkGrid"/>
      </fill>
    </dxf>
    <dxf>
      <font>
        <strike val="0"/>
      </font>
      <fill>
        <patternFill patternType="darkGrid"/>
      </fill>
    </dxf>
    <dxf>
      <font>
        <strike val="0"/>
      </font>
      <fill>
        <patternFill patternType="darkGrid">
          <bgColor auto="1"/>
        </patternFill>
      </fill>
    </dxf>
    <dxf>
      <font>
        <strike val="0"/>
      </font>
      <fill>
        <patternFill patternType="darkGrid"/>
      </fill>
    </dxf>
    <dxf>
      <font>
        <strike val="0"/>
      </font>
      <fill>
        <patternFill patternType="darkGrid"/>
      </fill>
    </dxf>
    <dxf>
      <font>
        <color rgb="FF9C0006"/>
      </font>
    </dxf>
    <dxf>
      <fill>
        <patternFill>
          <bgColor theme="2"/>
        </patternFill>
      </fill>
    </dxf>
    <dxf>
      <font>
        <color rgb="FF9C0006"/>
      </font>
    </dxf>
  </dxfs>
  <tableStyles count="0" defaultTableStyle="TableStyleMedium2" defaultPivotStyle="PivotStyleLight16"/>
  <colors>
    <mruColors>
      <color rgb="FFFFFF00"/>
      <color rgb="FFF1B82D"/>
      <color rgb="FFF1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3171825</xdr:colOff>
      <xdr:row>3</xdr:row>
      <xdr:rowOff>184610</xdr:rowOff>
    </xdr:from>
    <xdr:to>
      <xdr:col>3</xdr:col>
      <xdr:colOff>123825</xdr:colOff>
      <xdr:row>7</xdr:row>
      <xdr:rowOff>3749</xdr:rowOff>
    </xdr:to>
    <xdr:pic>
      <xdr:nvPicPr>
        <xdr:cNvPr id="2" name="Picture 1">
          <a:extLst>
            <a:ext uri="{FF2B5EF4-FFF2-40B4-BE49-F238E27FC236}">
              <a16:creationId xmlns:a16="http://schemas.microsoft.com/office/drawing/2014/main" id="{431D9D7E-1DB3-4B23-882A-34F00C819D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38600" y="946610"/>
          <a:ext cx="1971675" cy="61923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xtension.missouri.edu/publications/g68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hyperlink" Target="chrome-extension://efaidnbmnnnibpcajpcglclefindmkaj/https:/dsrcattle.com/wp-content/uploads/Angus-Beef-Chart-PDF-1.pdf" TargetMode="External"/><Relationship Id="rId1" Type="http://schemas.openxmlformats.org/officeDocument/2006/relationships/hyperlink" Target="http://www.ams.usda.gov/sites/default/files/media/IMPS100SeriesDraft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7CCF0-1953-41A5-B178-E756ED9E2E64}">
  <dimension ref="A1:E33"/>
  <sheetViews>
    <sheetView showGridLines="0" tabSelected="1" topLeftCell="A6" workbookViewId="0"/>
  </sheetViews>
  <sheetFormatPr defaultColWidth="0" defaultRowHeight="15.75" zeroHeight="1"/>
  <cols>
    <col min="1" max="1" width="3.28515625" style="3" customWidth="1"/>
    <col min="2" max="2" width="9.140625" style="3" customWidth="1"/>
    <col min="3" max="3" width="75.28515625" style="3" customWidth="1"/>
    <col min="4" max="4" width="9.140625" style="3" customWidth="1"/>
    <col min="5" max="5" width="3.28515625" style="3" customWidth="1"/>
    <col min="6" max="6" width="9.140625" style="3" hidden="1" customWidth="1"/>
    <col min="7" max="16384" width="9.140625" style="3" hidden="1"/>
  </cols>
  <sheetData>
    <row r="1" spans="2:4" ht="16.5" thickBot="1"/>
    <row r="2" spans="2:4" ht="21.75" thickBot="1">
      <c r="B2" s="358" t="s">
        <v>347</v>
      </c>
      <c r="C2" s="359"/>
      <c r="D2" s="360"/>
    </row>
    <row r="3" spans="2:4">
      <c r="B3" s="361" t="s">
        <v>361</v>
      </c>
      <c r="C3" s="361"/>
      <c r="D3" s="361"/>
    </row>
    <row r="4" spans="2:4">
      <c r="B4" s="362"/>
      <c r="C4" s="362"/>
      <c r="D4" s="362"/>
    </row>
    <row r="5" spans="2:4">
      <c r="B5" s="4" t="s">
        <v>0</v>
      </c>
      <c r="C5" s="4"/>
    </row>
    <row r="6" spans="2:4">
      <c r="B6" s="5" t="s">
        <v>1</v>
      </c>
      <c r="C6" s="5"/>
    </row>
    <row r="7" spans="2:4">
      <c r="B7" s="5" t="s">
        <v>2</v>
      </c>
      <c r="C7" s="5"/>
    </row>
    <row r="8" spans="2:4"/>
    <row r="9" spans="2:4" ht="103.5" customHeight="1">
      <c r="B9" s="366" t="s">
        <v>358</v>
      </c>
      <c r="C9" s="366"/>
      <c r="D9" s="366"/>
    </row>
    <row r="10" spans="2:4" ht="10.5" customHeight="1">
      <c r="C10" s="1"/>
    </row>
    <row r="11" spans="2:4" ht="179.25" customHeight="1">
      <c r="B11" s="367" t="s">
        <v>359</v>
      </c>
      <c r="C11" s="367"/>
      <c r="D11" s="367"/>
    </row>
    <row r="12" spans="2:4" ht="11.25" customHeight="1">
      <c r="C12" s="2"/>
    </row>
    <row r="13" spans="2:4" ht="48.75" customHeight="1">
      <c r="B13" s="367" t="s">
        <v>360</v>
      </c>
      <c r="C13" s="367"/>
      <c r="D13" s="367"/>
    </row>
    <row r="14" spans="2:4" ht="11.25" customHeight="1">
      <c r="B14" s="2"/>
      <c r="C14" s="2"/>
      <c r="D14" s="2"/>
    </row>
    <row r="15" spans="2:4" ht="15.75" customHeight="1">
      <c r="B15" s="367" t="s">
        <v>387</v>
      </c>
      <c r="C15" s="367"/>
      <c r="D15" s="367"/>
    </row>
    <row r="16" spans="2:4" ht="15.75" customHeight="1">
      <c r="B16" s="411" t="s">
        <v>388</v>
      </c>
      <c r="C16" s="411"/>
      <c r="D16" s="411"/>
    </row>
    <row r="17" spans="2:5" ht="11.25" customHeight="1"/>
    <row r="18" spans="2:5" ht="33" customHeight="1">
      <c r="B18" s="365" t="s">
        <v>3</v>
      </c>
      <c r="C18" s="365"/>
      <c r="D18" s="365"/>
      <c r="E18" s="6"/>
    </row>
    <row r="19" spans="2:5" ht="15.75" customHeight="1" thickBot="1"/>
    <row r="20" spans="2:5" ht="16.5" thickBot="1">
      <c r="B20" s="363"/>
      <c r="C20" s="364"/>
      <c r="D20" s="364"/>
    </row>
    <row r="21" spans="2:5"/>
    <row r="33" s="3" customFormat="1" hidden="1"/>
  </sheetData>
  <sheetProtection sheet="1" objects="1" scenarios="1"/>
  <mergeCells count="10">
    <mergeCell ref="B2:D2"/>
    <mergeCell ref="B3:D3"/>
    <mergeCell ref="B4:D4"/>
    <mergeCell ref="B20:D20"/>
    <mergeCell ref="B18:D18"/>
    <mergeCell ref="B9:D9"/>
    <mergeCell ref="B11:D11"/>
    <mergeCell ref="B13:D13"/>
    <mergeCell ref="B15:D15"/>
    <mergeCell ref="B16:D16"/>
  </mergeCells>
  <hyperlinks>
    <hyperlink ref="B16:D16" r:id="rId1" display="On-Farm Beef Finishing Planning Budget." xr:uid="{CFEE28E0-785E-40D2-A300-4A81743F5A5C}"/>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51585-51DA-4B84-B3E6-0482C30419C6}">
  <dimension ref="A1:L58"/>
  <sheetViews>
    <sheetView showGridLines="0" workbookViewId="0"/>
  </sheetViews>
  <sheetFormatPr defaultColWidth="0" defaultRowHeight="15" zeroHeight="1"/>
  <cols>
    <col min="1" max="1" width="3.28515625" style="10" customWidth="1"/>
    <col min="2" max="2" width="32.42578125" style="10" bestFit="1" customWidth="1"/>
    <col min="3" max="3" width="13.140625" style="10" bestFit="1" customWidth="1"/>
    <col min="4" max="4" width="12" style="10" bestFit="1" customWidth="1"/>
    <col min="5" max="5" width="18.42578125" style="10" bestFit="1" customWidth="1"/>
    <col min="6" max="6" width="11.85546875" style="10" bestFit="1" customWidth="1"/>
    <col min="7" max="7" width="28.7109375" style="10" bestFit="1" customWidth="1"/>
    <col min="8" max="8" width="15.42578125" style="10" customWidth="1"/>
    <col min="9" max="9" width="11.7109375" style="10" bestFit="1" customWidth="1"/>
    <col min="10" max="10" width="9.140625" style="10" hidden="1" customWidth="1"/>
    <col min="11" max="11" width="3.28515625" style="10" customWidth="1"/>
    <col min="12" max="12" width="0" style="10" hidden="1" customWidth="1"/>
    <col min="13" max="16384" width="9.140625" style="10" hidden="1"/>
  </cols>
  <sheetData>
    <row r="1" spans="1:11" ht="18.75">
      <c r="A1" s="7"/>
      <c r="B1" s="373" t="s">
        <v>4</v>
      </c>
      <c r="C1" s="374"/>
      <c r="D1" s="375"/>
      <c r="E1" s="8"/>
      <c r="F1" s="8"/>
      <c r="G1" s="370" t="s">
        <v>5</v>
      </c>
      <c r="H1" s="370"/>
      <c r="I1" s="370"/>
      <c r="J1" s="7"/>
      <c r="K1" s="7"/>
    </row>
    <row r="2" spans="1:11" ht="15.75">
      <c r="A2" s="7"/>
      <c r="B2" s="145" t="s">
        <v>6</v>
      </c>
      <c r="C2" s="145" t="s">
        <v>7</v>
      </c>
      <c r="D2" s="146" t="s">
        <v>8</v>
      </c>
      <c r="E2" s="11"/>
      <c r="F2" s="11"/>
      <c r="G2" s="145" t="s">
        <v>6</v>
      </c>
      <c r="H2" s="145" t="s">
        <v>7</v>
      </c>
      <c r="I2" s="146" t="s">
        <v>9</v>
      </c>
      <c r="J2" s="7"/>
      <c r="K2" s="7"/>
    </row>
    <row r="3" spans="1:11" ht="15.75">
      <c r="A3" s="7"/>
      <c r="B3" s="371" t="s">
        <v>10</v>
      </c>
      <c r="C3" s="371"/>
      <c r="D3" s="371"/>
      <c r="E3" s="150"/>
      <c r="F3" s="150"/>
      <c r="G3" s="371" t="s">
        <v>11</v>
      </c>
      <c r="H3" s="371"/>
      <c r="I3" s="371"/>
      <c r="J3" s="7"/>
      <c r="K3" s="7"/>
    </row>
    <row r="4" spans="1:11" ht="15.75">
      <c r="A4" s="7"/>
      <c r="B4" s="14" t="s">
        <v>363</v>
      </c>
      <c r="C4" s="23" t="s">
        <v>12</v>
      </c>
      <c r="D4" s="242">
        <v>238</v>
      </c>
      <c r="E4" s="151"/>
      <c r="F4" s="151"/>
      <c r="G4" s="153" t="s">
        <v>13</v>
      </c>
      <c r="H4" s="23" t="s">
        <v>14</v>
      </c>
      <c r="I4" s="154">
        <v>210</v>
      </c>
      <c r="J4" s="7"/>
      <c r="K4" s="7"/>
    </row>
    <row r="5" spans="1:11" ht="15.75">
      <c r="A5" s="7"/>
      <c r="B5" s="14" t="s">
        <v>15</v>
      </c>
      <c r="C5" s="23" t="s">
        <v>16</v>
      </c>
      <c r="D5" s="155">
        <v>0.61</v>
      </c>
      <c r="E5" s="156"/>
      <c r="F5" s="156"/>
      <c r="G5" s="153" t="s">
        <v>17</v>
      </c>
      <c r="H5" s="23" t="s">
        <v>14</v>
      </c>
      <c r="I5" s="154">
        <v>120</v>
      </c>
      <c r="J5" s="7"/>
      <c r="K5" s="7"/>
    </row>
    <row r="6" spans="1:11" ht="15.75">
      <c r="A6" s="7"/>
      <c r="B6" s="14" t="s">
        <v>18</v>
      </c>
      <c r="C6" s="23" t="s">
        <v>19</v>
      </c>
      <c r="D6" s="155">
        <v>0.04</v>
      </c>
      <c r="E6" s="156"/>
      <c r="F6" s="156"/>
      <c r="G6" s="153" t="s">
        <v>20</v>
      </c>
      <c r="H6" s="23" t="s">
        <v>14</v>
      </c>
      <c r="I6" s="154">
        <v>210</v>
      </c>
      <c r="J6" s="7"/>
      <c r="K6" s="7"/>
    </row>
    <row r="7" spans="1:11" ht="15.75">
      <c r="A7" s="7"/>
      <c r="B7" s="14" t="s">
        <v>21</v>
      </c>
      <c r="C7" s="23" t="s">
        <v>22</v>
      </c>
      <c r="D7" s="243">
        <v>150</v>
      </c>
      <c r="E7" s="156"/>
      <c r="F7" s="156"/>
      <c r="G7" s="372" t="s">
        <v>23</v>
      </c>
      <c r="H7" s="372"/>
      <c r="I7" s="372"/>
      <c r="J7" s="7"/>
      <c r="K7" s="7"/>
    </row>
    <row r="8" spans="1:11" ht="15.75">
      <c r="A8" s="7"/>
      <c r="B8" s="14" t="s">
        <v>24</v>
      </c>
      <c r="C8" s="23" t="s">
        <v>25</v>
      </c>
      <c r="D8" s="243">
        <v>2500</v>
      </c>
      <c r="E8" s="156"/>
      <c r="F8" s="156"/>
      <c r="G8" s="158" t="s">
        <v>356</v>
      </c>
      <c r="H8" s="176" t="s">
        <v>357</v>
      </c>
      <c r="I8" s="159">
        <v>3.5</v>
      </c>
      <c r="J8" s="7"/>
      <c r="K8" s="7"/>
    </row>
    <row r="9" spans="1:11" ht="15.75">
      <c r="A9" s="7"/>
      <c r="B9" s="369" t="s">
        <v>28</v>
      </c>
      <c r="C9" s="369"/>
      <c r="D9" s="369"/>
      <c r="E9" s="160" t="s">
        <v>353</v>
      </c>
      <c r="F9" s="161"/>
      <c r="G9" s="153" t="s">
        <v>26</v>
      </c>
      <c r="H9" s="23" t="s">
        <v>27</v>
      </c>
      <c r="I9" s="162">
        <v>50</v>
      </c>
      <c r="J9" s="7"/>
      <c r="K9" s="7"/>
    </row>
    <row r="10" spans="1:11" ht="15.75">
      <c r="A10" s="7"/>
      <c r="B10" s="14" t="s">
        <v>31</v>
      </c>
      <c r="C10" s="23" t="s">
        <v>355</v>
      </c>
      <c r="D10" s="242">
        <v>106.7</v>
      </c>
      <c r="E10" s="163"/>
      <c r="F10" s="151"/>
      <c r="G10" s="153" t="s">
        <v>29</v>
      </c>
      <c r="H10" s="23" t="s">
        <v>30</v>
      </c>
      <c r="I10" s="157">
        <v>25</v>
      </c>
      <c r="J10" s="7"/>
      <c r="K10" s="7"/>
    </row>
    <row r="11" spans="1:11" ht="15.75">
      <c r="A11" s="7"/>
      <c r="B11" s="14" t="s">
        <v>34</v>
      </c>
      <c r="C11" s="23" t="s">
        <v>35</v>
      </c>
      <c r="D11" s="242">
        <v>65</v>
      </c>
      <c r="E11" s="164">
        <f>D11/2000</f>
        <v>3.2500000000000001E-2</v>
      </c>
      <c r="F11" s="151"/>
      <c r="G11" s="153" t="s">
        <v>32</v>
      </c>
      <c r="H11" s="23" t="s">
        <v>33</v>
      </c>
      <c r="I11" s="243">
        <v>3500</v>
      </c>
      <c r="J11" s="7"/>
      <c r="K11" s="7"/>
    </row>
    <row r="12" spans="1:11" ht="15.75">
      <c r="A12" s="7"/>
      <c r="B12" s="14" t="s">
        <v>37</v>
      </c>
      <c r="C12" s="23" t="s">
        <v>35</v>
      </c>
      <c r="D12" s="242">
        <v>90</v>
      </c>
      <c r="E12" s="164">
        <f t="shared" ref="E12:E21" si="0">D12/2000</f>
        <v>4.4999999999999998E-2</v>
      </c>
      <c r="F12" s="151"/>
      <c r="G12" s="153" t="s">
        <v>36</v>
      </c>
      <c r="H12" s="23" t="s">
        <v>25</v>
      </c>
      <c r="I12" s="243">
        <v>5000</v>
      </c>
      <c r="J12" s="7"/>
      <c r="K12" s="7"/>
    </row>
    <row r="13" spans="1:11" ht="15.75">
      <c r="A13" s="7"/>
      <c r="B13" s="14" t="s">
        <v>40</v>
      </c>
      <c r="C13" s="23" t="s">
        <v>35</v>
      </c>
      <c r="D13" s="242">
        <v>150</v>
      </c>
      <c r="E13" s="164">
        <f t="shared" si="0"/>
        <v>7.4999999999999997E-2</v>
      </c>
      <c r="F13" s="151"/>
      <c r="G13" s="153" t="s">
        <v>38</v>
      </c>
      <c r="H13" s="23" t="s">
        <v>39</v>
      </c>
      <c r="I13" s="157">
        <v>5</v>
      </c>
      <c r="J13" s="7"/>
      <c r="K13" s="7"/>
    </row>
    <row r="14" spans="1:11" ht="15.75">
      <c r="A14" s="7"/>
      <c r="B14" s="14" t="s">
        <v>351</v>
      </c>
      <c r="C14" s="23" t="s">
        <v>35</v>
      </c>
      <c r="D14" s="242">
        <v>42</v>
      </c>
      <c r="E14" s="164">
        <f t="shared" si="0"/>
        <v>2.1000000000000001E-2</v>
      </c>
      <c r="F14" s="151"/>
      <c r="G14" s="153" t="s">
        <v>41</v>
      </c>
      <c r="H14" s="23" t="s">
        <v>42</v>
      </c>
      <c r="I14" s="243">
        <v>4000</v>
      </c>
      <c r="J14" s="7"/>
      <c r="K14" s="7"/>
    </row>
    <row r="15" spans="1:11" ht="15.75">
      <c r="A15" s="7"/>
      <c r="B15" s="14" t="s">
        <v>382</v>
      </c>
      <c r="C15" s="23" t="s">
        <v>43</v>
      </c>
      <c r="D15" s="242">
        <v>5.25</v>
      </c>
      <c r="E15" s="164">
        <f>D15/56</f>
        <v>9.375E-2</v>
      </c>
      <c r="F15" s="166"/>
      <c r="G15" s="153" t="s">
        <v>44</v>
      </c>
      <c r="H15" s="23" t="s">
        <v>45</v>
      </c>
      <c r="I15" s="167">
        <v>0.14000000000000001</v>
      </c>
      <c r="J15" s="7"/>
      <c r="K15" s="7"/>
    </row>
    <row r="16" spans="1:11" ht="15.75">
      <c r="A16" s="7"/>
      <c r="B16" s="14" t="s">
        <v>381</v>
      </c>
      <c r="C16" s="23" t="s">
        <v>43</v>
      </c>
      <c r="D16" s="242">
        <v>4.2300000000000004</v>
      </c>
      <c r="E16" s="164">
        <f>D16/56</f>
        <v>7.5535714285714289E-2</v>
      </c>
      <c r="F16" s="166"/>
      <c r="G16" s="153" t="s">
        <v>47</v>
      </c>
      <c r="H16" s="23" t="s">
        <v>48</v>
      </c>
      <c r="I16" s="157">
        <v>1250</v>
      </c>
      <c r="J16" s="7"/>
      <c r="K16" s="7"/>
    </row>
    <row r="17" spans="1:11" ht="15.75">
      <c r="A17" s="7"/>
      <c r="B17" s="14" t="s">
        <v>46</v>
      </c>
      <c r="C17" s="23" t="s">
        <v>35</v>
      </c>
      <c r="D17" s="242">
        <v>175</v>
      </c>
      <c r="E17" s="164">
        <f t="shared" si="0"/>
        <v>8.7499999999999994E-2</v>
      </c>
      <c r="F17" s="151"/>
      <c r="G17" s="372" t="s">
        <v>49</v>
      </c>
      <c r="H17" s="372"/>
      <c r="I17" s="372"/>
      <c r="J17" s="7"/>
      <c r="K17" s="7"/>
    </row>
    <row r="18" spans="1:11" ht="15.75">
      <c r="A18" s="7"/>
      <c r="B18" s="14" t="s">
        <v>348</v>
      </c>
      <c r="C18" s="23" t="s">
        <v>35</v>
      </c>
      <c r="D18" s="242">
        <v>340</v>
      </c>
      <c r="E18" s="164">
        <f t="shared" si="0"/>
        <v>0.17</v>
      </c>
      <c r="F18" s="151"/>
      <c r="G18" s="153" t="s">
        <v>50</v>
      </c>
      <c r="H18" s="23" t="s">
        <v>51</v>
      </c>
      <c r="I18" s="155">
        <v>0.9</v>
      </c>
      <c r="J18" s="7"/>
      <c r="K18" s="7"/>
    </row>
    <row r="19" spans="1:11" ht="15.75">
      <c r="A19" s="7"/>
      <c r="B19" s="14" t="s">
        <v>352</v>
      </c>
      <c r="C19" s="23" t="s">
        <v>386</v>
      </c>
      <c r="D19" s="242">
        <v>0.6</v>
      </c>
      <c r="E19" s="164">
        <f>D19</f>
        <v>0.6</v>
      </c>
      <c r="F19" s="151"/>
      <c r="G19" s="153" t="s">
        <v>53</v>
      </c>
      <c r="H19" s="23" t="s">
        <v>51</v>
      </c>
      <c r="I19" s="155">
        <v>0.01</v>
      </c>
      <c r="J19" s="7"/>
      <c r="K19" s="7"/>
    </row>
    <row r="20" spans="1:11" ht="15.75">
      <c r="A20" s="7"/>
      <c r="B20" s="14" t="s">
        <v>52</v>
      </c>
      <c r="C20" s="23" t="s">
        <v>35</v>
      </c>
      <c r="D20" s="242">
        <v>315</v>
      </c>
      <c r="E20" s="164">
        <f>D20</f>
        <v>315</v>
      </c>
      <c r="F20" s="151"/>
      <c r="G20" s="153" t="s">
        <v>55</v>
      </c>
      <c r="H20" s="23" t="s">
        <v>51</v>
      </c>
      <c r="I20" s="155">
        <v>0.01</v>
      </c>
      <c r="J20" s="7"/>
      <c r="K20" s="7"/>
    </row>
    <row r="21" spans="1:11" ht="15.75">
      <c r="A21" s="7"/>
      <c r="B21" s="14" t="s">
        <v>54</v>
      </c>
      <c r="C21" s="23" t="s">
        <v>35</v>
      </c>
      <c r="D21" s="242">
        <v>260</v>
      </c>
      <c r="E21" s="164">
        <f t="shared" si="0"/>
        <v>0.13</v>
      </c>
      <c r="F21" s="151"/>
      <c r="G21" s="372" t="s">
        <v>56</v>
      </c>
      <c r="H21" s="372"/>
      <c r="I21" s="372"/>
      <c r="J21" s="7"/>
      <c r="K21" s="7"/>
    </row>
    <row r="22" spans="1:11" ht="15.75">
      <c r="A22" s="7"/>
      <c r="B22" s="369" t="s">
        <v>57</v>
      </c>
      <c r="C22" s="369"/>
      <c r="D22" s="369"/>
      <c r="E22" s="151"/>
      <c r="F22" s="151"/>
      <c r="G22" s="153" t="s">
        <v>58</v>
      </c>
      <c r="H22" s="23" t="s">
        <v>59</v>
      </c>
      <c r="I22" s="114">
        <v>8</v>
      </c>
      <c r="J22" s="7"/>
      <c r="K22" s="7"/>
    </row>
    <row r="23" spans="1:11" ht="15.75">
      <c r="A23" s="7"/>
      <c r="B23" s="14" t="s">
        <v>60</v>
      </c>
      <c r="C23" s="23" t="s">
        <v>61</v>
      </c>
      <c r="D23" s="242">
        <v>22</v>
      </c>
      <c r="E23" s="151"/>
      <c r="F23" s="151"/>
      <c r="G23" s="153" t="s">
        <v>62</v>
      </c>
      <c r="H23" s="23" t="s">
        <v>59</v>
      </c>
      <c r="I23" s="114">
        <v>9</v>
      </c>
      <c r="J23" s="7"/>
      <c r="K23" s="7"/>
    </row>
    <row r="24" spans="1:11" ht="15.75">
      <c r="A24" s="7"/>
      <c r="B24" s="14" t="s">
        <v>63</v>
      </c>
      <c r="C24" s="23" t="s">
        <v>64</v>
      </c>
      <c r="D24" s="168">
        <v>2.5000000000000001E-2</v>
      </c>
      <c r="E24" s="151"/>
      <c r="F24" s="151"/>
      <c r="G24" s="153" t="s">
        <v>349</v>
      </c>
      <c r="H24" s="23" t="s">
        <v>59</v>
      </c>
      <c r="I24" s="114">
        <v>8</v>
      </c>
      <c r="J24" s="7"/>
      <c r="K24" s="7"/>
    </row>
    <row r="25" spans="1:11" ht="15.75">
      <c r="A25" s="7"/>
      <c r="B25" s="15" t="s">
        <v>65</v>
      </c>
      <c r="C25" s="174" t="s">
        <v>66</v>
      </c>
      <c r="D25" s="169">
        <v>7.2499999999999995E-2</v>
      </c>
      <c r="E25" s="151"/>
      <c r="F25" s="151"/>
      <c r="G25" s="153" t="s">
        <v>350</v>
      </c>
      <c r="H25" s="23" t="s">
        <v>59</v>
      </c>
      <c r="I25" s="114">
        <v>8.5</v>
      </c>
      <c r="J25" s="7"/>
      <c r="K25" s="7"/>
    </row>
    <row r="26" spans="1:11" ht="15.75">
      <c r="A26" s="7"/>
      <c r="B26" s="369" t="s">
        <v>67</v>
      </c>
      <c r="C26" s="369"/>
      <c r="D26" s="369"/>
      <c r="E26" s="151"/>
      <c r="F26" s="151"/>
      <c r="G26" s="372" t="s">
        <v>68</v>
      </c>
      <c r="H26" s="372"/>
      <c r="I26" s="372"/>
      <c r="J26" s="13"/>
      <c r="K26" s="7"/>
    </row>
    <row r="27" spans="1:11" ht="15.75">
      <c r="A27" s="7"/>
      <c r="B27" s="14" t="s">
        <v>69</v>
      </c>
      <c r="C27" s="23" t="s">
        <v>66</v>
      </c>
      <c r="D27" s="168">
        <v>7.0000000000000007E-2</v>
      </c>
      <c r="E27" s="151"/>
      <c r="F27" s="151"/>
      <c r="G27" s="158" t="s">
        <v>70</v>
      </c>
      <c r="H27" s="175" t="s">
        <v>48</v>
      </c>
      <c r="I27" s="170">
        <v>75</v>
      </c>
      <c r="J27" s="13"/>
      <c r="K27" s="7"/>
    </row>
    <row r="28" spans="1:11" ht="15.75">
      <c r="A28" s="7"/>
      <c r="B28" s="14" t="s">
        <v>71</v>
      </c>
      <c r="C28" s="23" t="s">
        <v>72</v>
      </c>
      <c r="D28" s="171">
        <v>7.1999999999999998E-3</v>
      </c>
      <c r="E28" s="244"/>
      <c r="F28" s="151"/>
      <c r="G28" s="172" t="s">
        <v>73</v>
      </c>
      <c r="H28" s="23" t="s">
        <v>48</v>
      </c>
      <c r="I28" s="170">
        <v>570</v>
      </c>
      <c r="J28" s="13"/>
      <c r="K28" s="7"/>
    </row>
    <row r="29" spans="1:11" ht="15.75">
      <c r="A29" s="7"/>
      <c r="B29" s="14" t="s">
        <v>74</v>
      </c>
      <c r="C29" s="23" t="s">
        <v>72</v>
      </c>
      <c r="D29" s="171">
        <v>0.01</v>
      </c>
      <c r="E29" s="151"/>
      <c r="F29" s="151"/>
      <c r="G29" s="172" t="s">
        <v>75</v>
      </c>
      <c r="H29" s="23" t="s">
        <v>48</v>
      </c>
      <c r="I29" s="170">
        <v>785</v>
      </c>
      <c r="J29" s="13"/>
      <c r="K29" s="7"/>
    </row>
    <row r="30" spans="1:11" ht="19.5" customHeight="1">
      <c r="A30" s="7"/>
      <c r="B30" s="15" t="s">
        <v>76</v>
      </c>
      <c r="C30" s="174" t="s">
        <v>72</v>
      </c>
      <c r="D30" s="173">
        <v>2.5000000000000001E-3</v>
      </c>
      <c r="E30" s="151"/>
      <c r="F30" s="151"/>
      <c r="G30" s="172" t="s">
        <v>77</v>
      </c>
      <c r="H30" s="23" t="s">
        <v>48</v>
      </c>
      <c r="I30" s="170">
        <v>1460</v>
      </c>
      <c r="J30" s="13"/>
      <c r="K30" s="7"/>
    </row>
    <row r="31" spans="1:11" ht="15.75" thickBot="1">
      <c r="A31" s="7"/>
      <c r="B31" s="16"/>
      <c r="C31" s="16"/>
      <c r="D31" s="12"/>
      <c r="E31" s="12"/>
      <c r="F31" s="12"/>
      <c r="G31" s="376"/>
      <c r="H31" s="376"/>
      <c r="I31" s="376"/>
      <c r="J31" s="13"/>
      <c r="K31" s="7"/>
    </row>
    <row r="32" spans="1:11" ht="18.75">
      <c r="A32" s="7"/>
      <c r="B32" s="373" t="s">
        <v>78</v>
      </c>
      <c r="C32" s="374"/>
      <c r="D32" s="374"/>
      <c r="E32" s="374"/>
      <c r="F32" s="375"/>
      <c r="G32" s="17"/>
      <c r="H32" s="17"/>
      <c r="I32" s="17"/>
      <c r="J32" s="7"/>
      <c r="K32" s="7"/>
    </row>
    <row r="33" spans="1:11" ht="15.75">
      <c r="A33" s="7"/>
      <c r="B33" s="145" t="s">
        <v>6</v>
      </c>
      <c r="C33" s="145" t="s">
        <v>7</v>
      </c>
      <c r="D33" s="146" t="s">
        <v>79</v>
      </c>
      <c r="E33" s="147" t="s">
        <v>80</v>
      </c>
      <c r="F33" s="146" t="s">
        <v>81</v>
      </c>
      <c r="G33" s="17"/>
      <c r="H33" s="17"/>
      <c r="I33" s="17"/>
      <c r="J33" s="7"/>
      <c r="K33" s="7"/>
    </row>
    <row r="34" spans="1:11" ht="15.75">
      <c r="A34" s="7"/>
      <c r="B34" s="14" t="s">
        <v>60</v>
      </c>
      <c r="C34" s="23" t="s">
        <v>82</v>
      </c>
      <c r="D34" s="165">
        <v>8</v>
      </c>
      <c r="E34" s="165">
        <v>2.5</v>
      </c>
      <c r="F34" s="165">
        <v>2</v>
      </c>
      <c r="G34" s="17"/>
      <c r="H34" s="17"/>
      <c r="I34" s="17"/>
      <c r="J34" s="7"/>
      <c r="K34" s="7"/>
    </row>
    <row r="35" spans="1:11" ht="15.75">
      <c r="A35" s="7"/>
      <c r="B35" s="14" t="s">
        <v>83</v>
      </c>
      <c r="C35" s="23" t="s">
        <v>25</v>
      </c>
      <c r="D35" s="242">
        <v>37.5</v>
      </c>
      <c r="E35" s="242">
        <v>10</v>
      </c>
      <c r="F35" s="242">
        <v>5.75</v>
      </c>
      <c r="G35" s="17"/>
      <c r="H35" s="17"/>
      <c r="I35" s="17"/>
      <c r="J35" s="7"/>
      <c r="K35" s="7"/>
    </row>
    <row r="36" spans="1:11" ht="15.75">
      <c r="A36" s="7"/>
      <c r="B36" s="14" t="s">
        <v>84</v>
      </c>
      <c r="C36" s="23" t="s">
        <v>25</v>
      </c>
      <c r="D36" s="242">
        <v>10</v>
      </c>
      <c r="E36" s="242">
        <v>4</v>
      </c>
      <c r="F36" s="242">
        <v>10</v>
      </c>
      <c r="G36" s="18"/>
      <c r="H36" s="16"/>
      <c r="I36" s="7"/>
      <c r="J36" s="7"/>
      <c r="K36" s="7"/>
    </row>
    <row r="37" spans="1:11" ht="15.75">
      <c r="A37" s="7"/>
      <c r="B37" s="14" t="s">
        <v>85</v>
      </c>
      <c r="C37" s="23" t="s">
        <v>25</v>
      </c>
      <c r="D37" s="242">
        <v>15.5</v>
      </c>
      <c r="E37" s="242">
        <v>8</v>
      </c>
      <c r="F37" s="242">
        <v>11</v>
      </c>
      <c r="G37" s="7"/>
      <c r="H37" s="7"/>
      <c r="I37" s="7"/>
      <c r="J37" s="7"/>
    </row>
    <row r="38" spans="1:11" ht="15.75">
      <c r="A38" s="7"/>
      <c r="B38" s="14" t="s">
        <v>86</v>
      </c>
      <c r="C38" s="23" t="s">
        <v>25</v>
      </c>
      <c r="D38" s="247">
        <v>10</v>
      </c>
      <c r="E38" s="247">
        <v>5</v>
      </c>
      <c r="F38" s="247">
        <v>5</v>
      </c>
      <c r="H38" s="7"/>
      <c r="I38" s="7"/>
      <c r="J38" s="7"/>
      <c r="K38" s="7"/>
    </row>
    <row r="39" spans="1:11" ht="15.75">
      <c r="A39" s="7"/>
      <c r="B39" s="15" t="s">
        <v>87</v>
      </c>
      <c r="C39" s="174" t="s">
        <v>25</v>
      </c>
      <c r="D39" s="248">
        <v>6</v>
      </c>
      <c r="E39" s="248">
        <v>2</v>
      </c>
      <c r="F39" s="248">
        <v>2</v>
      </c>
      <c r="G39" s="7"/>
      <c r="H39" s="7"/>
      <c r="I39" s="7"/>
      <c r="J39" s="7"/>
      <c r="K39" s="7"/>
    </row>
    <row r="40" spans="1:11">
      <c r="A40" s="7"/>
      <c r="B40" s="377"/>
      <c r="C40" s="377"/>
      <c r="D40" s="377"/>
      <c r="E40" s="9"/>
      <c r="F40" s="9"/>
      <c r="G40" s="7"/>
      <c r="H40" s="7"/>
      <c r="I40" s="7"/>
      <c r="J40" s="7"/>
      <c r="K40" s="7"/>
    </row>
    <row r="41" spans="1:11" ht="18.75">
      <c r="A41" s="7"/>
      <c r="B41" s="368" t="s">
        <v>88</v>
      </c>
      <c r="C41" s="368"/>
      <c r="D41" s="144" t="s">
        <v>79</v>
      </c>
      <c r="E41" s="144" t="s">
        <v>80</v>
      </c>
      <c r="F41" s="144" t="s">
        <v>81</v>
      </c>
      <c r="G41" s="7"/>
      <c r="H41" s="7"/>
      <c r="I41" s="7"/>
      <c r="J41" s="7"/>
    </row>
    <row r="42" spans="1:11" ht="15.75">
      <c r="A42" s="7"/>
      <c r="B42" s="148" t="s">
        <v>6</v>
      </c>
      <c r="C42" s="149" t="s">
        <v>61</v>
      </c>
      <c r="D42" s="149" t="s">
        <v>82</v>
      </c>
      <c r="E42" s="149" t="s">
        <v>82</v>
      </c>
      <c r="F42" s="149" t="s">
        <v>82</v>
      </c>
      <c r="G42" s="7"/>
      <c r="H42" s="7"/>
      <c r="I42" s="7"/>
      <c r="J42" s="7"/>
      <c r="K42" s="7"/>
    </row>
    <row r="43" spans="1:11" ht="15.75">
      <c r="A43" s="7"/>
      <c r="B43" s="27" t="s">
        <v>89</v>
      </c>
      <c r="C43" s="245">
        <v>55</v>
      </c>
      <c r="D43" s="131">
        <v>50</v>
      </c>
      <c r="E43" s="131">
        <v>45</v>
      </c>
      <c r="F43" s="131">
        <v>94</v>
      </c>
      <c r="G43" s="7"/>
      <c r="H43" s="7"/>
      <c r="I43" s="7"/>
      <c r="J43" s="7"/>
      <c r="K43" s="7"/>
    </row>
    <row r="44" spans="1:11" ht="15.75">
      <c r="A44" s="7"/>
      <c r="B44" s="27" t="s">
        <v>366</v>
      </c>
      <c r="C44" s="245">
        <v>10</v>
      </c>
      <c r="D44" s="131">
        <v>30</v>
      </c>
      <c r="E44" s="131"/>
      <c r="F44" s="131"/>
      <c r="G44" s="7"/>
      <c r="H44" s="7"/>
      <c r="I44" s="7"/>
      <c r="J44" s="7"/>
      <c r="K44" s="7"/>
    </row>
    <row r="45" spans="1:11" ht="15.75">
      <c r="A45" s="7"/>
      <c r="B45" s="27" t="s">
        <v>90</v>
      </c>
      <c r="C45" s="245">
        <v>15</v>
      </c>
      <c r="D45" s="131">
        <v>0</v>
      </c>
      <c r="E45" s="131">
        <v>42</v>
      </c>
      <c r="F45" s="131">
        <v>68</v>
      </c>
      <c r="H45" s="337" t="s">
        <v>367</v>
      </c>
      <c r="I45" s="7"/>
      <c r="J45" s="7"/>
      <c r="K45" s="7"/>
    </row>
    <row r="46" spans="1:11" ht="15.75">
      <c r="A46" s="7"/>
      <c r="B46" s="27" t="s">
        <v>91</v>
      </c>
      <c r="C46" s="245">
        <v>32</v>
      </c>
      <c r="D46" s="131">
        <v>15</v>
      </c>
      <c r="E46" s="131">
        <v>8</v>
      </c>
      <c r="F46" s="131">
        <v>15</v>
      </c>
      <c r="G46" s="7"/>
      <c r="H46" s="7"/>
      <c r="I46" s="7"/>
      <c r="J46" s="7"/>
      <c r="K46" s="7"/>
    </row>
    <row r="47" spans="1:11" ht="15.75">
      <c r="A47" s="7"/>
      <c r="B47" s="27" t="s">
        <v>92</v>
      </c>
      <c r="C47" s="245">
        <v>20</v>
      </c>
      <c r="D47" s="131">
        <v>6</v>
      </c>
      <c r="E47" s="131">
        <v>4</v>
      </c>
      <c r="F47" s="131">
        <v>8</v>
      </c>
      <c r="G47" s="7"/>
      <c r="H47" s="7"/>
      <c r="I47" s="7"/>
      <c r="J47" s="7"/>
      <c r="K47" s="7"/>
    </row>
    <row r="48" spans="1:11" ht="15.75">
      <c r="A48" s="7"/>
      <c r="B48" s="89" t="s">
        <v>93</v>
      </c>
      <c r="C48" s="246">
        <v>12</v>
      </c>
      <c r="D48" s="136">
        <v>180</v>
      </c>
      <c r="E48" s="136">
        <v>28</v>
      </c>
      <c r="F48" s="136"/>
      <c r="G48" s="7"/>
      <c r="H48" s="7"/>
      <c r="I48" s="7"/>
      <c r="J48" s="7"/>
      <c r="K48" s="7"/>
    </row>
    <row r="49" spans="1:11">
      <c r="A49" s="7"/>
      <c r="B49" s="7"/>
      <c r="C49" s="7"/>
      <c r="D49" s="7"/>
      <c r="E49" s="7"/>
      <c r="F49" s="7"/>
      <c r="G49" s="7"/>
      <c r="H49" s="7"/>
      <c r="I49" s="7"/>
      <c r="J49" s="7"/>
      <c r="K49" s="7"/>
    </row>
    <row r="50" spans="1:11" ht="18.75">
      <c r="A50" s="7"/>
      <c r="B50" s="368" t="s">
        <v>94</v>
      </c>
      <c r="C50" s="368"/>
      <c r="D50" s="144"/>
      <c r="E50" s="144"/>
      <c r="F50" s="144"/>
      <c r="G50" s="7"/>
      <c r="H50" s="7"/>
      <c r="I50" s="7"/>
      <c r="J50" s="7"/>
      <c r="K50" s="7"/>
    </row>
    <row r="51" spans="1:11" ht="15.75">
      <c r="A51" s="7"/>
      <c r="B51" s="148" t="s">
        <v>95</v>
      </c>
      <c r="C51" s="149" t="s">
        <v>96</v>
      </c>
      <c r="D51" s="149" t="s">
        <v>97</v>
      </c>
      <c r="E51" s="149" t="s">
        <v>98</v>
      </c>
      <c r="F51" s="149" t="s">
        <v>99</v>
      </c>
      <c r="G51" s="7"/>
      <c r="H51" s="7"/>
      <c r="I51" s="7"/>
      <c r="J51" s="7"/>
      <c r="K51" s="7"/>
    </row>
    <row r="52" spans="1:11" ht="15.75">
      <c r="A52" s="7"/>
      <c r="B52" s="27" t="s">
        <v>100</v>
      </c>
      <c r="C52" s="249">
        <v>17500</v>
      </c>
      <c r="D52" s="131">
        <v>25</v>
      </c>
      <c r="E52" s="167">
        <v>0.25</v>
      </c>
      <c r="F52" s="251">
        <f>(C52-(E52*C52))/D52</f>
        <v>525</v>
      </c>
      <c r="G52" s="7"/>
      <c r="H52" s="7"/>
      <c r="I52" s="7"/>
      <c r="J52" s="7"/>
      <c r="K52" s="7"/>
    </row>
    <row r="53" spans="1:11" ht="15.75">
      <c r="A53" s="7"/>
      <c r="B53" s="27" t="s">
        <v>101</v>
      </c>
      <c r="C53" s="249">
        <v>2500</v>
      </c>
      <c r="D53" s="131">
        <v>25</v>
      </c>
      <c r="E53" s="167">
        <v>0.25</v>
      </c>
      <c r="F53" s="251">
        <f>(C53-(E53*C53))/D53</f>
        <v>75</v>
      </c>
      <c r="G53" s="7"/>
      <c r="H53" s="7"/>
      <c r="I53" s="7"/>
      <c r="J53" s="7"/>
      <c r="K53" s="7"/>
    </row>
    <row r="54" spans="1:11" ht="15.75">
      <c r="A54" s="7"/>
      <c r="B54" s="27" t="s">
        <v>102</v>
      </c>
      <c r="C54" s="249">
        <v>12000</v>
      </c>
      <c r="D54" s="131">
        <v>25</v>
      </c>
      <c r="E54" s="167">
        <v>0.25</v>
      </c>
      <c r="F54" s="251">
        <f>(C54-(E54*C54))/D54</f>
        <v>360</v>
      </c>
      <c r="G54" s="19"/>
      <c r="H54" s="7"/>
      <c r="I54" s="7"/>
      <c r="J54" s="7"/>
      <c r="K54" s="7"/>
    </row>
    <row r="55" spans="1:11" ht="15.75">
      <c r="A55" s="7"/>
      <c r="B55" s="89" t="s">
        <v>354</v>
      </c>
      <c r="C55" s="250">
        <v>5000</v>
      </c>
      <c r="D55" s="136">
        <v>25</v>
      </c>
      <c r="E55" s="179">
        <v>0.25</v>
      </c>
      <c r="F55" s="252">
        <f>(C55-(E55*C55))/D55</f>
        <v>150</v>
      </c>
      <c r="G55" s="20"/>
      <c r="J55" s="7"/>
      <c r="K55" s="7"/>
    </row>
    <row r="56" spans="1:11">
      <c r="A56" s="7"/>
      <c r="B56" s="7"/>
      <c r="C56" s="7"/>
      <c r="D56" s="7"/>
      <c r="E56" s="7"/>
      <c r="F56" s="7"/>
    </row>
    <row r="57" spans="1:11" hidden="1">
      <c r="B57" s="7"/>
      <c r="C57" s="7"/>
      <c r="D57" s="7"/>
      <c r="E57" s="7"/>
      <c r="F57" s="7"/>
    </row>
    <row r="58" spans="1:11" hidden="1">
      <c r="B58" s="7"/>
      <c r="C58" s="7"/>
      <c r="D58" s="7"/>
      <c r="E58" s="7"/>
      <c r="F58" s="7"/>
    </row>
  </sheetData>
  <sheetProtection sheet="1" objects="1" scenarios="1"/>
  <protectedRanges>
    <protectedRange sqref="D4:D8 D23:D25 D27:D30 D34:F39 C43:F48 C52:E55 I4:I6 I9:I16 I18:I20 I22:I25 I27:I30 D10:D21" name="Grey cells"/>
  </protectedRanges>
  <mergeCells count="16">
    <mergeCell ref="B50:C50"/>
    <mergeCell ref="B9:D9"/>
    <mergeCell ref="G1:I1"/>
    <mergeCell ref="G3:I3"/>
    <mergeCell ref="G17:I17"/>
    <mergeCell ref="G7:I7"/>
    <mergeCell ref="B1:D1"/>
    <mergeCell ref="B3:D3"/>
    <mergeCell ref="G21:I21"/>
    <mergeCell ref="B32:F32"/>
    <mergeCell ref="B41:C41"/>
    <mergeCell ref="B26:D26"/>
    <mergeCell ref="B22:D22"/>
    <mergeCell ref="G26:I26"/>
    <mergeCell ref="G31:I31"/>
    <mergeCell ref="B40:D40"/>
  </mergeCells>
  <dataValidations count="1">
    <dataValidation allowBlank="1" showInputMessage="1" showErrorMessage="1" prompt="Pasture cost includes the cash rental value of pasture, fertilizer applied, weed control costs, and grazing system management expenses including cost of fence and water infrastructure and their repair. See the Missouri Beef Budget Tool to calculate." sqref="D10" xr:uid="{1399DC40-AD5C-493F-952F-E66AE08F3A60}"/>
  </dataValidations>
  <pageMargins left="0.7" right="0.7" top="0.75" bottom="0.75" header="0.3" footer="0.3"/>
  <pageSetup orientation="portrait" r:id="rId1"/>
  <rowBreaks count="1" manualBreakCount="1">
    <brk id="36" max="16383" man="1"/>
  </rowBreaks>
  <ignoredErrors>
    <ignoredError sqref="E1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E814B-30CB-4A4A-A4D7-1BF1915263ED}">
  <dimension ref="A1:P35"/>
  <sheetViews>
    <sheetView showGridLines="0" workbookViewId="0"/>
  </sheetViews>
  <sheetFormatPr defaultColWidth="0" defaultRowHeight="15.75" zeroHeight="1"/>
  <cols>
    <col min="1" max="1" width="3.28515625" style="24" customWidth="1"/>
    <col min="2" max="2" width="25" style="27" customWidth="1"/>
    <col min="3" max="3" width="21.85546875" style="27" customWidth="1"/>
    <col min="4" max="4" width="8.7109375" style="27" customWidth="1"/>
    <col min="5" max="5" width="13.7109375" style="27" customWidth="1"/>
    <col min="6" max="6" width="11.85546875" style="27" customWidth="1"/>
    <col min="7" max="7" width="9.85546875" style="27" customWidth="1"/>
    <col min="8" max="8" width="11.85546875" style="27" bestFit="1" customWidth="1"/>
    <col min="9" max="9" width="11.140625" style="27" bestFit="1" customWidth="1"/>
    <col min="10" max="10" width="3.28515625" style="27" customWidth="1"/>
    <col min="11" max="13" width="9.140625" style="27" hidden="1" customWidth="1"/>
    <col min="14" max="14" width="19.5703125" style="27" customWidth="1"/>
    <col min="15" max="15" width="9.85546875" style="27" customWidth="1"/>
    <col min="16" max="16" width="3.28515625" style="27" customWidth="1"/>
    <col min="17" max="16384" width="9.140625" style="27" hidden="1"/>
  </cols>
  <sheetData>
    <row r="1" spans="2:15" ht="19.5" thickBot="1">
      <c r="B1" s="382" t="s">
        <v>364</v>
      </c>
      <c r="C1" s="383"/>
      <c r="D1" s="383"/>
      <c r="E1" s="383"/>
      <c r="F1" s="383"/>
      <c r="G1" s="383"/>
      <c r="H1" s="383"/>
      <c r="I1" s="384"/>
      <c r="J1" s="24"/>
      <c r="K1" s="24"/>
    </row>
    <row r="2" spans="2:15" ht="16.5" thickBot="1">
      <c r="B2" s="200"/>
      <c r="C2" s="201" t="s">
        <v>103</v>
      </c>
      <c r="D2" s="201" t="s">
        <v>7</v>
      </c>
      <c r="E2" s="202" t="s">
        <v>104</v>
      </c>
      <c r="F2" s="202" t="s">
        <v>105</v>
      </c>
      <c r="G2" s="202" t="s">
        <v>106</v>
      </c>
      <c r="H2" s="202" t="s">
        <v>107</v>
      </c>
      <c r="I2" s="203" t="s">
        <v>108</v>
      </c>
      <c r="J2" s="206"/>
      <c r="K2" s="24"/>
    </row>
    <row r="3" spans="2:15">
      <c r="B3" s="40" t="s">
        <v>111</v>
      </c>
      <c r="C3" s="131" t="s">
        <v>37</v>
      </c>
      <c r="D3" s="21" t="s">
        <v>110</v>
      </c>
      <c r="E3" s="131">
        <v>120</v>
      </c>
      <c r="F3" s="177">
        <v>34.5</v>
      </c>
      <c r="G3" s="205">
        <f>PRODUCT(E3,F3)/(Inputs!I18-Inputs!I19-Inputs!I20)</f>
        <v>4704.545454545455</v>
      </c>
      <c r="H3" s="230">
        <f>IFERROR(VLOOKUP(Feed!C3,Inputs!$B$11:$E$21,4,FALSE),"-")</f>
        <v>4.4999999999999998E-2</v>
      </c>
      <c r="I3" s="231">
        <f t="shared" ref="I3:I7" si="0">PRODUCT(G3*H3)</f>
        <v>211.70454545454547</v>
      </c>
      <c r="J3" s="152"/>
      <c r="K3" s="24"/>
    </row>
    <row r="4" spans="2:15">
      <c r="B4" s="40" t="s">
        <v>109</v>
      </c>
      <c r="C4" s="131" t="s">
        <v>37</v>
      </c>
      <c r="D4" s="21" t="s">
        <v>110</v>
      </c>
      <c r="E4" s="131">
        <v>120</v>
      </c>
      <c r="F4" s="177">
        <v>50</v>
      </c>
      <c r="G4" s="205">
        <f>PRODUCT(E4,F4)/Inputs!I10/(Inputs!I18-Inputs!I19-Inputs!I20)</f>
        <v>272.72727272727275</v>
      </c>
      <c r="H4" s="230">
        <f>IFERROR(VLOOKUP(Feed!C4,Inputs!$B$11:$E$21,4,FALSE),"-")</f>
        <v>4.4999999999999998E-2</v>
      </c>
      <c r="I4" s="231">
        <f>PRODUCT(G4*H4)</f>
        <v>12.272727272727273</v>
      </c>
      <c r="J4" s="152"/>
      <c r="K4" s="24"/>
    </row>
    <row r="5" spans="2:15">
      <c r="B5" s="40" t="s">
        <v>111</v>
      </c>
      <c r="C5" s="131" t="s">
        <v>46</v>
      </c>
      <c r="D5" s="21" t="s">
        <v>110</v>
      </c>
      <c r="E5" s="131">
        <v>30</v>
      </c>
      <c r="F5" s="177">
        <v>3</v>
      </c>
      <c r="G5" s="205">
        <f>PRODUCT(E5,F5)/(Inputs!I18-Inputs!I19-Inputs!I20)</f>
        <v>102.27272727272727</v>
      </c>
      <c r="H5" s="230">
        <f>IFERROR(VLOOKUP(Feed!C5,Inputs!$B$11:$E$21,4,FALSE),"-")</f>
        <v>8.7499999999999994E-2</v>
      </c>
      <c r="I5" s="231">
        <f t="shared" si="0"/>
        <v>8.9488636363636349</v>
      </c>
      <c r="J5" s="152"/>
      <c r="K5" s="24"/>
    </row>
    <row r="6" spans="2:15">
      <c r="B6" s="40" t="s">
        <v>109</v>
      </c>
      <c r="C6" s="131" t="s">
        <v>46</v>
      </c>
      <c r="D6" s="21" t="s">
        <v>110</v>
      </c>
      <c r="E6" s="131">
        <v>30</v>
      </c>
      <c r="F6" s="177">
        <v>3</v>
      </c>
      <c r="G6" s="205">
        <f>PRODUCT(E6,F6)/Inputs!I10/(Inputs!I18-Inputs!I19-Inputs!I20)</f>
        <v>4.0909090909090908</v>
      </c>
      <c r="H6" s="230">
        <f>IFERROR(VLOOKUP(Feed!C6,Inputs!$B$11:$E$21,4,FALSE),"-")</f>
        <v>8.7499999999999994E-2</v>
      </c>
      <c r="I6" s="231">
        <f t="shared" si="0"/>
        <v>0.35795454545454541</v>
      </c>
      <c r="J6" s="152"/>
      <c r="K6" s="24"/>
    </row>
    <row r="7" spans="2:15">
      <c r="B7" s="111" t="s">
        <v>111</v>
      </c>
      <c r="C7" s="136" t="s">
        <v>352</v>
      </c>
      <c r="D7" s="22" t="s">
        <v>110</v>
      </c>
      <c r="E7" s="136">
        <v>365</v>
      </c>
      <c r="F7" s="178">
        <v>0.25</v>
      </c>
      <c r="G7" s="210">
        <f>PRODUCT(E7,F7)/(Inputs!I18-Inputs!I19-Inputs!I20)</f>
        <v>103.69318181818181</v>
      </c>
      <c r="H7" s="232">
        <f>IFERROR(VLOOKUP(Feed!C7,Inputs!$B$11:$E$21,4,FALSE),"-")</f>
        <v>0.6</v>
      </c>
      <c r="I7" s="233">
        <f t="shared" si="0"/>
        <v>62.215909090909086</v>
      </c>
      <c r="J7" s="152"/>
      <c r="K7" s="24"/>
    </row>
    <row r="8" spans="2:15" ht="16.5" thickBot="1">
      <c r="B8" s="118" t="s">
        <v>112</v>
      </c>
      <c r="C8" s="119"/>
      <c r="D8" s="119"/>
      <c r="E8" s="119"/>
      <c r="F8" s="119"/>
      <c r="G8" s="119"/>
      <c r="H8" s="234" t="s">
        <v>106</v>
      </c>
      <c r="I8" s="235">
        <f>SUM(I3:I7)</f>
        <v>295.5</v>
      </c>
      <c r="J8" s="152"/>
      <c r="K8" s="24"/>
    </row>
    <row r="9" spans="2:15" ht="16.5" thickBot="1">
      <c r="C9" s="24"/>
      <c r="D9" s="24"/>
      <c r="E9" s="24"/>
      <c r="F9" s="24"/>
      <c r="G9" s="24"/>
      <c r="H9" s="226"/>
      <c r="I9" s="86"/>
      <c r="J9" s="152"/>
      <c r="K9" s="24"/>
    </row>
    <row r="10" spans="2:15" ht="19.5" thickBot="1">
      <c r="B10" s="382" t="s">
        <v>113</v>
      </c>
      <c r="C10" s="383"/>
      <c r="D10" s="383"/>
      <c r="E10" s="383"/>
      <c r="F10" s="383" t="s">
        <v>114</v>
      </c>
      <c r="G10" s="383"/>
      <c r="H10" s="383"/>
      <c r="I10" s="384"/>
      <c r="J10" s="86"/>
      <c r="K10" s="24"/>
    </row>
    <row r="11" spans="2:15" ht="16.5" thickBot="1">
      <c r="B11" s="200"/>
      <c r="C11" s="201" t="s">
        <v>103</v>
      </c>
      <c r="D11" s="201" t="s">
        <v>7</v>
      </c>
      <c r="E11" s="202" t="s">
        <v>104</v>
      </c>
      <c r="F11" s="202" t="s">
        <v>105</v>
      </c>
      <c r="G11" s="202" t="s">
        <v>106</v>
      </c>
      <c r="H11" s="202" t="s">
        <v>107</v>
      </c>
      <c r="I11" s="203" t="s">
        <v>108</v>
      </c>
      <c r="J11" s="24"/>
      <c r="K11" s="24"/>
    </row>
    <row r="12" spans="2:15">
      <c r="B12" s="40" t="s">
        <v>117</v>
      </c>
      <c r="C12" s="131" t="s">
        <v>381</v>
      </c>
      <c r="D12" s="23" t="s">
        <v>110</v>
      </c>
      <c r="E12" s="204">
        <f>Inputs!$I$5</f>
        <v>120</v>
      </c>
      <c r="F12" s="177">
        <f>(Inputs!$I$29-AVERAGE(Inputs!$I$28:$I$28))*AVERAGE(Inputs!$I$22:$I$23)/Feed!E12*Feed!O14</f>
        <v>4.5687499999999996</v>
      </c>
      <c r="G12" s="205">
        <f>E12*F12/(1-Inputs!I19-Inputs!I20)</f>
        <v>559.4387755102041</v>
      </c>
      <c r="H12" s="221">
        <f>IFERROR(VLOOKUP(Feed!C12,Inputs!$B$11:$E$21,4,FALSE),"-")</f>
        <v>7.5535714285714289E-2</v>
      </c>
      <c r="I12" s="222">
        <f>G12*H12</f>
        <v>42.257607507288633</v>
      </c>
      <c r="J12" s="24"/>
      <c r="K12" s="24"/>
      <c r="N12" s="385" t="s">
        <v>115</v>
      </c>
      <c r="O12" s="386"/>
    </row>
    <row r="13" spans="2:15">
      <c r="B13" s="40" t="s">
        <v>117</v>
      </c>
      <c r="C13" s="131" t="s">
        <v>46</v>
      </c>
      <c r="D13" s="23" t="s">
        <v>110</v>
      </c>
      <c r="E13" s="204">
        <f>Inputs!$I$5</f>
        <v>120</v>
      </c>
      <c r="F13" s="177">
        <f>(Inputs!$I$29-AVERAGE(Inputs!$I$28:$I$28))*AVERAGE(Inputs!$I$22:$I$23)/Feed!E13*Feed!O15</f>
        <v>2.74125</v>
      </c>
      <c r="G13" s="205">
        <f>PRODUCT(E13,F13)/(1-Inputs!I19-Inputs!I20)</f>
        <v>335.66326530612247</v>
      </c>
      <c r="H13" s="221">
        <f>IFERROR(VLOOKUP(Feed!C13,Inputs!$B$11:$E$21,4,FALSE),"-")</f>
        <v>8.7499999999999994E-2</v>
      </c>
      <c r="I13" s="190">
        <f>IFERROR(PRODUCT(G13*H13),"-")</f>
        <v>29.370535714285715</v>
      </c>
      <c r="J13" s="24"/>
      <c r="K13" s="24"/>
      <c r="N13" s="207" t="s">
        <v>116</v>
      </c>
      <c r="O13" s="208" t="s">
        <v>51</v>
      </c>
    </row>
    <row r="14" spans="2:15">
      <c r="B14" s="40" t="s">
        <v>117</v>
      </c>
      <c r="C14" s="131" t="s">
        <v>37</v>
      </c>
      <c r="D14" s="21" t="s">
        <v>110</v>
      </c>
      <c r="E14" s="204">
        <f>Inputs!$I$5</f>
        <v>120</v>
      </c>
      <c r="F14" s="177">
        <f>(Inputs!$I$29-AVERAGE(Inputs!$I$28:$I$28))*AVERAGE(Inputs!$I$22:$I$23)/Feed!E14*Feed!O16</f>
        <v>7.6907291666666664</v>
      </c>
      <c r="G14" s="205">
        <f>PRODUCT(E14,F14)/(1-Inputs!I19-Inputs!I20)</f>
        <v>941.72193877551013</v>
      </c>
      <c r="H14" s="221">
        <f>IFERROR(VLOOKUP(Feed!C14,Inputs!$B$11:$E$21,4,FALSE),"-")</f>
        <v>4.4999999999999998E-2</v>
      </c>
      <c r="I14" s="190">
        <f t="shared" ref="I14:I16" si="1">IFERROR(PRODUCT(G14*H14),"-")</f>
        <v>42.377487244897956</v>
      </c>
      <c r="J14" s="24"/>
      <c r="K14" s="24"/>
      <c r="N14" s="40" t="s">
        <v>118</v>
      </c>
      <c r="O14" s="209">
        <v>0.3</v>
      </c>
    </row>
    <row r="15" spans="2:15">
      <c r="B15" s="40" t="s">
        <v>117</v>
      </c>
      <c r="C15" s="131" t="s">
        <v>54</v>
      </c>
      <c r="D15" s="21" t="s">
        <v>110</v>
      </c>
      <c r="E15" s="204">
        <f>Inputs!$I$5</f>
        <v>120</v>
      </c>
      <c r="F15" s="177">
        <f>(Inputs!$I$29-AVERAGE(Inputs!$I$28:$I$28))*AVERAGE(Inputs!$I$22:$I$23)/Feed!E15*Feed!O17</f>
        <v>7.6145833333333329E-2</v>
      </c>
      <c r="G15" s="205">
        <f>PRODUCT(E15,F15)/(1-Inputs!I19-Inputs!I20)</f>
        <v>9.3239795918367339</v>
      </c>
      <c r="H15" s="221">
        <f>IFERROR(VLOOKUP(Feed!C15,Inputs!$B$11:$E$21,4,FALSE),"-")</f>
        <v>0.13</v>
      </c>
      <c r="I15" s="190">
        <f t="shared" si="1"/>
        <v>1.2121173469387754</v>
      </c>
      <c r="J15" s="24"/>
      <c r="K15" s="24"/>
      <c r="N15" s="40" t="s">
        <v>119</v>
      </c>
      <c r="O15" s="209">
        <v>0.18</v>
      </c>
    </row>
    <row r="16" spans="2:15">
      <c r="B16" s="40" t="s">
        <v>117</v>
      </c>
      <c r="C16" s="131" t="s">
        <v>352</v>
      </c>
      <c r="D16" s="22" t="s">
        <v>110</v>
      </c>
      <c r="E16" s="223">
        <f>Inputs!$I$5</f>
        <v>120</v>
      </c>
      <c r="F16" s="177">
        <f>(Inputs!$I$29-AVERAGE(Inputs!$I$28:$I$28))*AVERAGE(Inputs!$I$22:$I$23)/Feed!E16*Feed!O18</f>
        <v>0.15229166666666666</v>
      </c>
      <c r="G16" s="210">
        <f>PRODUCT(E16,F16)/(1-Inputs!I19-Inputs!I20)</f>
        <v>18.647959183673468</v>
      </c>
      <c r="H16" s="221">
        <f>IFERROR(VLOOKUP(Feed!C16,Inputs!$B$11:$E$21,4,FALSE),"-")</f>
        <v>0.6</v>
      </c>
      <c r="I16" s="212">
        <f t="shared" si="1"/>
        <v>11.18877551020408</v>
      </c>
      <c r="J16" s="24"/>
      <c r="K16" s="24"/>
      <c r="N16" s="40" t="s">
        <v>37</v>
      </c>
      <c r="O16" s="209">
        <v>0.505</v>
      </c>
    </row>
    <row r="17" spans="2:15" ht="16.5" thickBot="1">
      <c r="B17" s="213"/>
      <c r="C17" s="214"/>
      <c r="D17" s="214"/>
      <c r="E17" s="215" t="s">
        <v>120</v>
      </c>
      <c r="F17" s="216">
        <f>SUM(F12:F16)</f>
        <v>15.229166666666666</v>
      </c>
      <c r="G17" s="214"/>
      <c r="H17" s="224" t="s">
        <v>106</v>
      </c>
      <c r="I17" s="225">
        <f>SUM(I12:I16)</f>
        <v>126.40652332361515</v>
      </c>
      <c r="J17" s="24"/>
      <c r="K17" s="24"/>
      <c r="N17" s="40" t="s">
        <v>54</v>
      </c>
      <c r="O17" s="209">
        <v>5.0000000000000001E-3</v>
      </c>
    </row>
    <row r="18" spans="2:15" ht="16.5" thickBot="1">
      <c r="B18" s="40"/>
      <c r="C18" s="24"/>
      <c r="D18" s="24"/>
      <c r="E18" s="226"/>
      <c r="F18" s="227"/>
      <c r="G18" s="228"/>
      <c r="H18" s="229"/>
      <c r="I18" s="152"/>
      <c r="J18" s="24"/>
      <c r="K18" s="24"/>
      <c r="N18" s="118" t="s">
        <v>352</v>
      </c>
      <c r="O18" s="220">
        <v>0.01</v>
      </c>
    </row>
    <row r="19" spans="2:15" ht="19.5" thickBot="1">
      <c r="B19" s="382" t="s">
        <v>121</v>
      </c>
      <c r="C19" s="383"/>
      <c r="D19" s="383"/>
      <c r="E19" s="383"/>
      <c r="F19" s="383"/>
      <c r="G19" s="383"/>
      <c r="H19" s="383"/>
      <c r="I19" s="384"/>
      <c r="J19" s="206"/>
      <c r="K19" s="24"/>
    </row>
    <row r="20" spans="2:15" ht="16.5" thickBot="1">
      <c r="B20" s="200"/>
      <c r="C20" s="201" t="s">
        <v>103</v>
      </c>
      <c r="D20" s="201" t="s">
        <v>7</v>
      </c>
      <c r="E20" s="202" t="s">
        <v>104</v>
      </c>
      <c r="F20" s="202" t="s">
        <v>105</v>
      </c>
      <c r="G20" s="202" t="s">
        <v>106</v>
      </c>
      <c r="H20" s="202" t="s">
        <v>107</v>
      </c>
      <c r="I20" s="203" t="s">
        <v>108</v>
      </c>
      <c r="J20" s="24"/>
      <c r="K20" s="24"/>
      <c r="N20" s="385" t="s">
        <v>122</v>
      </c>
      <c r="O20" s="386"/>
    </row>
    <row r="21" spans="2:15">
      <c r="B21" s="40" t="s">
        <v>117</v>
      </c>
      <c r="C21" s="131" t="s">
        <v>381</v>
      </c>
      <c r="D21" s="21" t="s">
        <v>110</v>
      </c>
      <c r="E21" s="204">
        <f>Inputs!$I$6</f>
        <v>210</v>
      </c>
      <c r="F21" s="177">
        <f>(AVERAGE(Inputs!$I$30:$I$30)-AVERAGE(Inputs!$I$29:$I$29))*AVERAGE(Inputs!$I$24:$I$25)*Feed!O22/E21</f>
        <v>18.032142857142858</v>
      </c>
      <c r="G21" s="205">
        <f>PRODUCT(E21,F21)/(1-Inputs!I20)</f>
        <v>3825.0000000000005</v>
      </c>
      <c r="H21" s="189">
        <f>IFERROR(VLOOKUP(Feed!C21,Inputs!$B$11:$E$21,4,FALSE),"-")</f>
        <v>7.5535714285714289E-2</v>
      </c>
      <c r="I21" s="190">
        <f>PRODUCT(G21*H21)</f>
        <v>288.92410714285717</v>
      </c>
      <c r="J21" s="206"/>
      <c r="K21" s="24"/>
      <c r="N21" s="207" t="s">
        <v>116</v>
      </c>
      <c r="O21" s="208" t="s">
        <v>51</v>
      </c>
    </row>
    <row r="22" spans="2:15">
      <c r="B22" s="40" t="s">
        <v>117</v>
      </c>
      <c r="C22" s="131" t="s">
        <v>46</v>
      </c>
      <c r="D22" s="21" t="s">
        <v>110</v>
      </c>
      <c r="E22" s="204">
        <f>Inputs!$I$6</f>
        <v>210</v>
      </c>
      <c r="F22" s="177">
        <f>(AVERAGE(Inputs!$I$30:$I$30)-AVERAGE(Inputs!$I$29:$I$29))*AVERAGE(Inputs!$I$24:$I$25)*Feed!O23/E22</f>
        <v>4.7732142857142854</v>
      </c>
      <c r="G22" s="205">
        <f>PRODUCT(E22,F22)/(1-Inputs!I20)</f>
        <v>1012.4999999999999</v>
      </c>
      <c r="H22" s="189">
        <f>IFERROR(VLOOKUP(Feed!C22,Inputs!$B$11:$E$21,4,FALSE),"-")</f>
        <v>8.7499999999999994E-2</v>
      </c>
      <c r="I22" s="190">
        <f t="shared" ref="I22:I25" si="2">IFERROR(PRODUCT(G22*H22),"-")</f>
        <v>88.593749999999986</v>
      </c>
      <c r="J22" s="152"/>
      <c r="K22" s="24"/>
      <c r="N22" s="40" t="s">
        <v>118</v>
      </c>
      <c r="O22" s="209">
        <v>0.68</v>
      </c>
    </row>
    <row r="23" spans="2:15">
      <c r="B23" s="40" t="s">
        <v>117</v>
      </c>
      <c r="C23" s="131" t="s">
        <v>37</v>
      </c>
      <c r="D23" s="21" t="s">
        <v>110</v>
      </c>
      <c r="E23" s="204">
        <f>Inputs!$I$6</f>
        <v>210</v>
      </c>
      <c r="F23" s="177">
        <f>(AVERAGE(Inputs!$I$30:$I$30)-AVERAGE(Inputs!$I$29:$I$29))*AVERAGE(Inputs!$I$24:$I$25)*Feed!O24/E23</f>
        <v>3.1821428571428569</v>
      </c>
      <c r="G23" s="205">
        <f>PRODUCT(E23,F23)/(1-Inputs!I20)</f>
        <v>675</v>
      </c>
      <c r="H23" s="189">
        <f>IFERROR(VLOOKUP(Feed!C23,Inputs!$B$11:$E$21,4,FALSE),"-")</f>
        <v>4.4999999999999998E-2</v>
      </c>
      <c r="I23" s="190">
        <f t="shared" si="2"/>
        <v>30.375</v>
      </c>
      <c r="J23" s="24"/>
      <c r="K23" s="24"/>
      <c r="N23" s="40" t="s">
        <v>119</v>
      </c>
      <c r="O23" s="209">
        <v>0.18</v>
      </c>
    </row>
    <row r="24" spans="2:15">
      <c r="B24" s="40" t="s">
        <v>117</v>
      </c>
      <c r="C24" s="131" t="s">
        <v>54</v>
      </c>
      <c r="D24" s="21" t="s">
        <v>110</v>
      </c>
      <c r="E24" s="204">
        <f>Inputs!$I$6</f>
        <v>210</v>
      </c>
      <c r="F24" s="177">
        <f>(AVERAGE(Inputs!$I$30:$I$30)-AVERAGE(Inputs!$I$29:$I$29))*AVERAGE(Inputs!$I$24:$I$25)*Feed!O25/E24</f>
        <v>0.26517857142857143</v>
      </c>
      <c r="G24" s="205">
        <f>PRODUCT(E24,F24)/(1-Inputs!I20)</f>
        <v>56.25</v>
      </c>
      <c r="H24" s="189">
        <f>IFERROR(VLOOKUP(Feed!C24,Inputs!$B$11:$E$21,4,FALSE),"-")</f>
        <v>0.13</v>
      </c>
      <c r="I24" s="190">
        <f t="shared" si="2"/>
        <v>7.3125</v>
      </c>
      <c r="J24" s="24"/>
      <c r="K24" s="24"/>
      <c r="N24" s="40" t="s">
        <v>37</v>
      </c>
      <c r="O24" s="209">
        <v>0.12</v>
      </c>
    </row>
    <row r="25" spans="2:15">
      <c r="B25" s="40" t="s">
        <v>117</v>
      </c>
      <c r="C25" s="131" t="s">
        <v>352</v>
      </c>
      <c r="D25" s="22" t="s">
        <v>110</v>
      </c>
      <c r="E25" s="204">
        <f>Inputs!$I$6</f>
        <v>210</v>
      </c>
      <c r="F25" s="177">
        <f>(AVERAGE(Inputs!$I$30:$I$30)-AVERAGE(Inputs!$I$29:$I$29))*AVERAGE(Inputs!$I$24:$I$25)*Feed!O26/E25</f>
        <v>0.26517857142857143</v>
      </c>
      <c r="G25" s="210">
        <f>PRODUCT(E25,F25)/(1-Inputs!I20)</f>
        <v>56.25</v>
      </c>
      <c r="H25" s="211">
        <f>IFERROR(VLOOKUP(Feed!C25,Inputs!$B$11:$E$21,4,FALSE),"-")</f>
        <v>0.6</v>
      </c>
      <c r="I25" s="212">
        <f t="shared" si="2"/>
        <v>33.75</v>
      </c>
      <c r="J25" s="24"/>
      <c r="K25" s="24"/>
      <c r="N25" s="40" t="s">
        <v>54</v>
      </c>
      <c r="O25" s="209">
        <v>0.01</v>
      </c>
    </row>
    <row r="26" spans="2:15" ht="16.5" thickBot="1">
      <c r="B26" s="213"/>
      <c r="C26" s="214"/>
      <c r="D26" s="214"/>
      <c r="E26" s="215" t="s">
        <v>120</v>
      </c>
      <c r="F26" s="216">
        <f>SUM(F21:F25)</f>
        <v>26.517857142857142</v>
      </c>
      <c r="G26" s="217"/>
      <c r="H26" s="218" t="s">
        <v>106</v>
      </c>
      <c r="I26" s="219">
        <f>SUM(I21:I25)</f>
        <v>448.95535714285717</v>
      </c>
      <c r="J26" s="24"/>
      <c r="K26" s="24"/>
      <c r="N26" s="118" t="s">
        <v>352</v>
      </c>
      <c r="O26" s="220">
        <v>0.01</v>
      </c>
    </row>
    <row r="27" spans="2:15" ht="16.5" thickBot="1">
      <c r="B27" s="24"/>
      <c r="C27" s="24"/>
      <c r="D27" s="24"/>
      <c r="E27" s="24"/>
      <c r="F27" s="198"/>
      <c r="G27" s="24"/>
      <c r="H27" s="24"/>
      <c r="I27" s="24"/>
      <c r="J27" s="24"/>
      <c r="K27" s="24"/>
    </row>
    <row r="28" spans="2:15" ht="19.5" thickBot="1">
      <c r="B28" s="382" t="s">
        <v>123</v>
      </c>
      <c r="C28" s="383"/>
      <c r="D28" s="383"/>
      <c r="E28" s="383"/>
      <c r="F28" s="383"/>
      <c r="G28" s="384"/>
      <c r="H28" s="24"/>
      <c r="I28" s="184"/>
      <c r="J28" s="184"/>
      <c r="K28" s="24"/>
    </row>
    <row r="29" spans="2:15" ht="48" thickBot="1">
      <c r="B29" s="180" t="s">
        <v>95</v>
      </c>
      <c r="C29" s="181"/>
      <c r="D29" s="181" t="s">
        <v>124</v>
      </c>
      <c r="E29" s="182" t="s">
        <v>120</v>
      </c>
      <c r="F29" s="182" t="s">
        <v>125</v>
      </c>
      <c r="G29" s="183" t="s">
        <v>126</v>
      </c>
      <c r="H29" s="24"/>
      <c r="I29" s="184"/>
      <c r="J29" s="24"/>
    </row>
    <row r="30" spans="2:15">
      <c r="B30" s="380" t="s">
        <v>127</v>
      </c>
      <c r="C30" s="381"/>
      <c r="D30" s="185">
        <f>Inputs!I28-Inputs!I27</f>
        <v>495</v>
      </c>
      <c r="E30" s="186">
        <f>D30/Inputs!$I$4</f>
        <v>2.3571428571428572</v>
      </c>
      <c r="F30" s="187" t="s">
        <v>128</v>
      </c>
      <c r="G30" s="187" t="s">
        <v>128</v>
      </c>
      <c r="H30" s="188"/>
      <c r="I30" s="94"/>
      <c r="J30" s="24"/>
    </row>
    <row r="31" spans="2:15" ht="16.5" customHeight="1">
      <c r="B31" s="380" t="s">
        <v>129</v>
      </c>
      <c r="C31" s="381"/>
      <c r="D31" s="112">
        <f>Inputs!I29-Inputs!I28</f>
        <v>215</v>
      </c>
      <c r="E31" s="186">
        <f>D31/Inputs!$I$5</f>
        <v>1.7916666666666667</v>
      </c>
      <c r="F31" s="189">
        <f>I17/D31</f>
        <v>0.58793731778425651</v>
      </c>
      <c r="G31" s="190">
        <f>I17/Inputs!I5</f>
        <v>1.0533876943634595</v>
      </c>
      <c r="H31" s="188"/>
      <c r="I31" s="94"/>
      <c r="J31" s="24"/>
    </row>
    <row r="32" spans="2:15" ht="16.5" thickBot="1">
      <c r="B32" s="378" t="s">
        <v>130</v>
      </c>
      <c r="C32" s="379"/>
      <c r="D32" s="191">
        <f>Inputs!I30-Inputs!I29</f>
        <v>675</v>
      </c>
      <c r="E32" s="192">
        <f>D32/Inputs!$I$6</f>
        <v>3.2142857142857144</v>
      </c>
      <c r="F32" s="193">
        <f>I26/D32</f>
        <v>0.66511904761904761</v>
      </c>
      <c r="G32" s="194">
        <f>I26/Inputs!I6</f>
        <v>2.1378826530612245</v>
      </c>
      <c r="H32" s="188"/>
      <c r="I32" s="94"/>
      <c r="J32" s="24"/>
    </row>
    <row r="33" spans="2:11">
      <c r="B33" s="24"/>
      <c r="C33" s="24"/>
      <c r="D33" s="26"/>
      <c r="E33" s="195"/>
      <c r="F33" s="196"/>
      <c r="G33" s="197"/>
      <c r="H33" s="197"/>
      <c r="I33" s="184"/>
      <c r="J33" s="24"/>
    </row>
    <row r="34" spans="2:11" hidden="1">
      <c r="B34" s="24"/>
      <c r="C34" s="24"/>
      <c r="D34" s="24"/>
      <c r="E34" s="24"/>
      <c r="F34" s="198"/>
      <c r="G34" s="86"/>
      <c r="H34" s="152"/>
      <c r="I34" s="199"/>
      <c r="J34" s="199"/>
      <c r="K34" s="24"/>
    </row>
    <row r="35" spans="2:11" hidden="1">
      <c r="J35" s="197"/>
      <c r="K35" s="24"/>
    </row>
  </sheetData>
  <sheetProtection sheet="1" objects="1" scenarios="1"/>
  <protectedRanges>
    <protectedRange sqref="E3:F7 F12:F16 F21:F25 C3:C7 C12:C16 C21:C25 O14:O18 O22:O26" name="Grey cells"/>
  </protectedRanges>
  <mergeCells count="9">
    <mergeCell ref="N20:O20"/>
    <mergeCell ref="N12:O12"/>
    <mergeCell ref="B32:C32"/>
    <mergeCell ref="B31:C31"/>
    <mergeCell ref="B30:C30"/>
    <mergeCell ref="B1:I1"/>
    <mergeCell ref="B10:I10"/>
    <mergeCell ref="B19:I19"/>
    <mergeCell ref="B28:G28"/>
  </mergeCells>
  <pageMargins left="0.7" right="0.7" top="0.75" bottom="0.75" header="0.3" footer="0.3"/>
  <pageSetup orientation="landscape" r:id="rId1"/>
  <rowBreaks count="1" manualBreakCount="1">
    <brk id="27" max="16383" man="1"/>
  </rowBreaks>
  <colBreaks count="1" manualBreakCount="1">
    <brk id="9"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1481F6E3-69B4-4848-B955-4DF4706350E6}">
          <x14:formula1>
            <xm:f>Inputs!$B$11:$B$21</xm:f>
          </x14:formula1>
          <xm:sqref>C21:C25 C3:C7 C12:C16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EC299-0D16-4649-ABAC-F7EB8D5284DB}">
  <dimension ref="A1:W116"/>
  <sheetViews>
    <sheetView showGridLines="0" workbookViewId="0"/>
  </sheetViews>
  <sheetFormatPr defaultColWidth="0" defaultRowHeight="15.75" zeroHeight="1"/>
  <cols>
    <col min="1" max="2" width="3.28515625" style="27" customWidth="1"/>
    <col min="3" max="3" width="15" style="27" customWidth="1"/>
    <col min="4" max="7" width="12.7109375" style="27" customWidth="1"/>
    <col min="8" max="8" width="17" style="27" customWidth="1"/>
    <col min="9" max="9" width="15.42578125" style="27" customWidth="1"/>
    <col min="10" max="10" width="3.28515625" style="27" customWidth="1"/>
    <col min="11" max="11" width="9.140625" style="27" hidden="1" customWidth="1"/>
    <col min="12" max="12" width="29.7109375" style="27" hidden="1" customWidth="1"/>
    <col min="13" max="13" width="9.140625" style="27" hidden="1" customWidth="1"/>
    <col min="14" max="14" width="9.7109375" style="27" hidden="1" customWidth="1"/>
    <col min="15" max="16384" width="9.140625" style="27" hidden="1"/>
  </cols>
  <sheetData>
    <row r="1" spans="1:23" ht="21">
      <c r="A1" s="24"/>
      <c r="B1" s="388" t="s">
        <v>131</v>
      </c>
      <c r="C1" s="388"/>
      <c r="D1" s="388"/>
      <c r="E1" s="388"/>
      <c r="F1" s="388"/>
      <c r="G1" s="388"/>
      <c r="H1" s="388"/>
      <c r="I1" s="388"/>
      <c r="J1" s="24"/>
    </row>
    <row r="2" spans="1:23">
      <c r="A2" s="24"/>
      <c r="B2" s="28"/>
      <c r="C2" s="28"/>
      <c r="D2" s="28"/>
      <c r="E2" s="28"/>
      <c r="F2" s="28"/>
      <c r="G2" s="28"/>
      <c r="H2" s="253"/>
      <c r="I2" s="24"/>
      <c r="J2" s="26"/>
      <c r="K2" s="14"/>
      <c r="L2" s="14"/>
      <c r="M2" s="14"/>
      <c r="N2" s="14"/>
      <c r="O2" s="14"/>
      <c r="P2" s="14"/>
      <c r="Q2" s="14"/>
      <c r="R2" s="14"/>
      <c r="S2" s="14"/>
      <c r="T2" s="14"/>
      <c r="U2" s="14"/>
      <c r="V2" s="14"/>
      <c r="W2" s="14"/>
    </row>
    <row r="3" spans="1:23">
      <c r="A3" s="24"/>
      <c r="B3" s="261" t="s">
        <v>132</v>
      </c>
      <c r="C3" s="262"/>
      <c r="D3" s="262"/>
      <c r="E3" s="262"/>
      <c r="F3" s="262"/>
      <c r="G3" s="262"/>
      <c r="H3" s="29" t="s">
        <v>133</v>
      </c>
      <c r="I3" s="263" t="s">
        <v>134</v>
      </c>
      <c r="J3" s="26"/>
      <c r="K3" s="14"/>
      <c r="L3" s="14"/>
      <c r="M3" s="14"/>
      <c r="N3" s="14"/>
      <c r="O3" s="14"/>
      <c r="P3" s="14"/>
      <c r="Q3" s="14"/>
      <c r="R3" s="14"/>
      <c r="S3" s="14"/>
      <c r="T3" s="14"/>
      <c r="U3" s="14"/>
      <c r="V3" s="14"/>
      <c r="W3" s="14"/>
    </row>
    <row r="4" spans="1:23">
      <c r="A4" s="24"/>
      <c r="B4" s="255" t="s">
        <v>135</v>
      </c>
      <c r="C4" s="28" t="s">
        <v>136</v>
      </c>
      <c r="D4" s="28"/>
      <c r="E4" s="28"/>
      <c r="F4" s="28"/>
      <c r="G4" s="26"/>
      <c r="H4" s="266">
        <f>Inputs!I30/100*Inputs!D4</f>
        <v>3474.7999999999997</v>
      </c>
      <c r="I4" s="267"/>
      <c r="J4" s="26"/>
      <c r="K4" s="14"/>
      <c r="L4" s="14"/>
      <c r="M4" s="14"/>
      <c r="N4" s="14"/>
      <c r="O4" s="14"/>
      <c r="P4" s="14"/>
      <c r="Q4" s="14"/>
      <c r="R4" s="14"/>
      <c r="S4" s="14"/>
      <c r="T4" s="14"/>
      <c r="U4" s="14"/>
      <c r="V4" s="14"/>
      <c r="W4" s="14"/>
    </row>
    <row r="5" spans="1:23">
      <c r="A5" s="24"/>
      <c r="B5" s="255" t="s">
        <v>137</v>
      </c>
      <c r="C5" s="28" t="s">
        <v>138</v>
      </c>
      <c r="D5" s="28"/>
      <c r="E5" s="28"/>
      <c r="F5" s="28"/>
      <c r="G5" s="28"/>
      <c r="H5" s="276">
        <f>(Inputs!I15*Inputs!I16*Inputs!D7/100)+Inputs!I9/Inputs!I10/Inputs!I13*Inputs!I12/3/Inputs!I9</f>
        <v>275.83333333333337</v>
      </c>
      <c r="I5" s="277"/>
      <c r="J5" s="26"/>
      <c r="K5" s="14"/>
      <c r="L5" s="14"/>
      <c r="M5" s="14"/>
      <c r="N5" s="14"/>
      <c r="O5" s="14"/>
      <c r="P5" s="14"/>
      <c r="Q5" s="14"/>
      <c r="R5" s="14"/>
      <c r="S5" s="14"/>
      <c r="T5" s="14"/>
      <c r="U5" s="14"/>
      <c r="V5" s="14"/>
      <c r="W5" s="14"/>
    </row>
    <row r="6" spans="1:23">
      <c r="A6" s="24"/>
      <c r="B6" s="28"/>
      <c r="C6" s="44"/>
      <c r="D6" s="44"/>
      <c r="E6" s="44"/>
      <c r="F6" s="44"/>
      <c r="G6" s="254" t="s">
        <v>139</v>
      </c>
      <c r="H6" s="279">
        <f>SUM(H4:H5)</f>
        <v>3750.6333333333332</v>
      </c>
      <c r="I6" s="273">
        <f>H6/Inputs!$I$30</f>
        <v>2.5689269406392694</v>
      </c>
      <c r="J6" s="26"/>
      <c r="K6" s="14"/>
      <c r="L6" s="14"/>
      <c r="M6" s="14"/>
      <c r="N6" s="14"/>
      <c r="O6" s="14"/>
      <c r="P6" s="14"/>
      <c r="Q6" s="14"/>
      <c r="R6" s="14"/>
      <c r="S6" s="14"/>
      <c r="T6" s="14"/>
      <c r="U6" s="14"/>
      <c r="V6" s="14"/>
      <c r="W6" s="14"/>
    </row>
    <row r="7" spans="1:23">
      <c r="A7" s="24"/>
      <c r="B7" s="261" t="s">
        <v>140</v>
      </c>
      <c r="C7" s="262"/>
      <c r="D7" s="262"/>
      <c r="E7" s="262"/>
      <c r="F7" s="262"/>
      <c r="G7" s="262"/>
      <c r="H7" s="29" t="s">
        <v>133</v>
      </c>
      <c r="I7" s="263" t="s">
        <v>134</v>
      </c>
      <c r="J7" s="26"/>
      <c r="K7" s="14"/>
      <c r="L7" s="14"/>
      <c r="M7" s="14"/>
      <c r="N7" s="14"/>
      <c r="O7" s="14"/>
      <c r="P7" s="14"/>
      <c r="Q7" s="14"/>
      <c r="R7" s="14"/>
      <c r="S7" s="14"/>
      <c r="T7" s="14"/>
      <c r="U7" s="14"/>
      <c r="V7" s="14"/>
      <c r="W7" s="14"/>
    </row>
    <row r="8" spans="1:23">
      <c r="A8" s="24"/>
      <c r="B8" s="44"/>
      <c r="C8" s="28" t="s">
        <v>31</v>
      </c>
      <c r="D8" s="28"/>
      <c r="E8" s="28"/>
      <c r="F8" s="28"/>
      <c r="G8" s="28"/>
      <c r="H8" s="266">
        <f>Inputs!D10*Inputs!I8</f>
        <v>373.45</v>
      </c>
      <c r="I8" s="267">
        <f>H8/Inputs!$I$30</f>
        <v>0.25578767123287671</v>
      </c>
      <c r="J8" s="26"/>
      <c r="K8" s="14"/>
      <c r="L8" s="14"/>
      <c r="M8" s="14"/>
      <c r="N8" s="14"/>
      <c r="O8" s="14"/>
      <c r="P8" s="14"/>
      <c r="Q8" s="14"/>
      <c r="R8" s="14"/>
      <c r="S8" s="14"/>
      <c r="T8" s="14"/>
      <c r="U8" s="14"/>
      <c r="V8" s="14"/>
      <c r="W8" s="14"/>
    </row>
    <row r="9" spans="1:23">
      <c r="A9" s="24"/>
      <c r="B9" s="44"/>
      <c r="C9" s="28" t="s">
        <v>141</v>
      </c>
      <c r="D9" s="28"/>
      <c r="E9" s="28"/>
      <c r="F9" s="28"/>
      <c r="G9" s="28"/>
      <c r="H9" s="266"/>
      <c r="I9" s="273"/>
      <c r="J9" s="26"/>
      <c r="K9" s="14"/>
      <c r="L9" s="14"/>
      <c r="M9" s="14"/>
      <c r="N9" s="14"/>
      <c r="O9" s="14"/>
      <c r="P9" s="14"/>
      <c r="Q9" s="14"/>
      <c r="R9" s="14"/>
      <c r="S9" s="14"/>
      <c r="T9" s="14"/>
      <c r="U9" s="14"/>
      <c r="V9" s="14"/>
      <c r="W9" s="14"/>
    </row>
    <row r="10" spans="1:23">
      <c r="A10" s="24"/>
      <c r="B10" s="28"/>
      <c r="C10" s="33" t="s">
        <v>142</v>
      </c>
      <c r="D10" s="33"/>
      <c r="E10" s="33"/>
      <c r="F10" s="33"/>
      <c r="G10" s="28"/>
      <c r="H10" s="266">
        <f>Feed!I8</f>
        <v>295.5</v>
      </c>
      <c r="I10" s="267">
        <f>H10/Inputs!$I$30</f>
        <v>0.20239726027397259</v>
      </c>
      <c r="J10" s="26"/>
      <c r="K10" s="14"/>
      <c r="L10" s="14"/>
      <c r="M10" s="14"/>
      <c r="N10" s="14"/>
      <c r="O10" s="14"/>
      <c r="P10" s="14"/>
      <c r="Q10" s="14"/>
      <c r="R10" s="14"/>
      <c r="S10" s="14"/>
      <c r="T10" s="14"/>
      <c r="U10" s="14"/>
      <c r="V10" s="14"/>
      <c r="W10" s="14"/>
    </row>
    <row r="11" spans="1:23">
      <c r="A11" s="24"/>
      <c r="B11" s="28"/>
      <c r="C11" s="33" t="s">
        <v>143</v>
      </c>
      <c r="D11" s="33"/>
      <c r="E11" s="33"/>
      <c r="F11" s="33"/>
      <c r="G11" s="28"/>
      <c r="H11" s="266">
        <f>Feed!I17</f>
        <v>126.40652332361515</v>
      </c>
      <c r="I11" s="267">
        <f>H11/Inputs!$I$30</f>
        <v>8.6579810495626811E-2</v>
      </c>
      <c r="J11" s="26"/>
      <c r="K11" s="14"/>
      <c r="L11" s="14"/>
      <c r="M11" s="14"/>
      <c r="N11" s="14"/>
      <c r="O11" s="14"/>
      <c r="P11" s="14"/>
      <c r="Q11" s="14"/>
      <c r="R11" s="14"/>
      <c r="S11" s="14"/>
      <c r="T11" s="14"/>
      <c r="U11" s="14"/>
      <c r="V11" s="14"/>
      <c r="W11" s="14"/>
    </row>
    <row r="12" spans="1:23">
      <c r="A12" s="24"/>
      <c r="B12" s="28"/>
      <c r="C12" s="33" t="s">
        <v>144</v>
      </c>
      <c r="D12" s="33"/>
      <c r="E12" s="33"/>
      <c r="F12" s="33"/>
      <c r="G12" s="28"/>
      <c r="H12" s="266">
        <f>Feed!I26</f>
        <v>448.95535714285717</v>
      </c>
      <c r="I12" s="267">
        <f>H12/Inputs!$I$30</f>
        <v>0.30750366927592959</v>
      </c>
      <c r="J12" s="26"/>
      <c r="K12" s="14"/>
      <c r="L12" s="14"/>
      <c r="M12" s="14"/>
      <c r="N12" s="14"/>
      <c r="O12" s="14"/>
      <c r="P12" s="14"/>
      <c r="Q12" s="14"/>
      <c r="R12" s="14"/>
      <c r="S12" s="14"/>
      <c r="T12" s="14"/>
      <c r="U12" s="14"/>
      <c r="V12" s="14"/>
      <c r="W12" s="14"/>
    </row>
    <row r="13" spans="1:23">
      <c r="A13" s="24"/>
      <c r="B13" s="28"/>
      <c r="C13" s="28" t="s">
        <v>60</v>
      </c>
      <c r="D13" s="28"/>
      <c r="E13" s="28"/>
      <c r="F13" s="28"/>
      <c r="G13" s="28"/>
      <c r="H13" s="266">
        <f>((Inputs!D34*Inputs!D23)/(Inputs!$I$18)+(Inputs!E34*Inputs!D23)/(1-Inputs!$I$19)+(Inputs!F34*Inputs!D23/(1-Inputs!$I$20)))</f>
        <v>295.55555555555554</v>
      </c>
      <c r="I13" s="267">
        <f>H13/Inputs!$I$30</f>
        <v>0.20243531202435311</v>
      </c>
      <c r="J13" s="26"/>
      <c r="K13" s="14"/>
      <c r="L13" s="14"/>
      <c r="M13" s="14"/>
      <c r="N13" s="14"/>
      <c r="O13" s="14"/>
      <c r="P13" s="14"/>
      <c r="Q13" s="14"/>
      <c r="R13" s="14"/>
      <c r="S13" s="14"/>
      <c r="T13" s="14"/>
      <c r="U13" s="14"/>
      <c r="V13" s="14"/>
      <c r="W13" s="14"/>
    </row>
    <row r="14" spans="1:23">
      <c r="A14" s="24"/>
      <c r="B14" s="28"/>
      <c r="C14" s="28" t="s">
        <v>83</v>
      </c>
      <c r="D14" s="28"/>
      <c r="E14" s="28"/>
      <c r="F14" s="28"/>
      <c r="G14" s="28"/>
      <c r="H14" s="266">
        <f>(Inputs!D35/Inputs!$I$18)+(Inputs!E35/(1-Inputs!$I$19))+(Inputs!F35/(1-Inputs!$I$20))</f>
        <v>57.575757575757571</v>
      </c>
      <c r="I14" s="267">
        <f>H14/Inputs!$I$30</f>
        <v>3.9435450394354497E-2</v>
      </c>
      <c r="J14" s="26"/>
      <c r="K14" s="14"/>
      <c r="L14" s="14"/>
      <c r="M14" s="14"/>
      <c r="N14" s="14"/>
      <c r="O14" s="14"/>
      <c r="P14" s="14"/>
      <c r="Q14" s="14"/>
      <c r="R14" s="14"/>
      <c r="S14" s="14"/>
      <c r="T14" s="14"/>
      <c r="U14" s="14"/>
      <c r="V14" s="14"/>
      <c r="W14" s="14"/>
    </row>
    <row r="15" spans="1:23">
      <c r="A15" s="24"/>
      <c r="B15" s="28"/>
      <c r="C15" s="28" t="s">
        <v>88</v>
      </c>
      <c r="D15" s="28"/>
      <c r="E15" s="28"/>
      <c r="F15" s="28"/>
      <c r="G15" s="28"/>
      <c r="H15" s="266">
        <f>SUMPRODUCT(Inputs!C43:C48,Inputs!D43:D48)/Inputs!I9/Inputs!I18+SUMPRODUCT(Inputs!C43:C48,Inputs!E43:E48)/Inputs!I9/(1-Inputs!I19)+SUMPRODUCT(Inputs!C43:C48,Inputs!F43:F48)/Inputs!I9/(1-Inputs!I20)</f>
        <v>343.39393939393938</v>
      </c>
      <c r="I15" s="267">
        <f>H15/Inputs!$I$30</f>
        <v>0.23520132835201327</v>
      </c>
      <c r="J15" s="26"/>
      <c r="K15" s="14"/>
      <c r="L15" s="14"/>
      <c r="M15" s="14"/>
      <c r="N15" s="14"/>
      <c r="O15" s="14"/>
      <c r="P15" s="14"/>
      <c r="Q15" s="14"/>
      <c r="R15" s="14"/>
      <c r="S15" s="14"/>
      <c r="T15" s="14"/>
      <c r="U15" s="14"/>
      <c r="V15" s="14"/>
      <c r="W15" s="14"/>
    </row>
    <row r="16" spans="1:23">
      <c r="A16" s="24"/>
      <c r="B16" s="28"/>
      <c r="C16" s="28" t="s">
        <v>84</v>
      </c>
      <c r="D16" s="28"/>
      <c r="E16" s="28"/>
      <c r="F16" s="28"/>
      <c r="G16" s="28"/>
      <c r="H16" s="266">
        <f>(Inputs!D36/Inputs!$I$18)+(Inputs!E36/(1-Inputs!$I$19))+(Inputs!F36/(1-Inputs!$I$20))</f>
        <v>25.252525252525253</v>
      </c>
      <c r="I16" s="267">
        <f>H16/Inputs!$I$30</f>
        <v>1.7296250172962501E-2</v>
      </c>
      <c r="J16" s="26"/>
      <c r="K16" s="14"/>
      <c r="L16" s="14"/>
      <c r="M16" s="14"/>
      <c r="N16" s="14"/>
      <c r="O16" s="14"/>
      <c r="P16" s="14"/>
      <c r="Q16" s="14"/>
      <c r="R16" s="14"/>
      <c r="S16" s="14"/>
      <c r="T16" s="14"/>
      <c r="U16" s="14"/>
      <c r="V16" s="14"/>
      <c r="W16" s="14"/>
    </row>
    <row r="17" spans="1:23">
      <c r="A17" s="24"/>
      <c r="B17" s="28"/>
      <c r="C17" s="28" t="s">
        <v>85</v>
      </c>
      <c r="D17" s="28"/>
      <c r="E17" s="28"/>
      <c r="F17" s="28"/>
      <c r="G17" s="28"/>
      <c r="H17" s="266">
        <f>(Inputs!D37/Inputs!$I$18)+(Inputs!E37/(1-Inputs!$I$19))+(Inputs!F37/(1-Inputs!$I$20))</f>
        <v>36.414141414141412</v>
      </c>
      <c r="I17" s="267">
        <f>H17/Inputs!$I$30</f>
        <v>2.4941192749411926E-2</v>
      </c>
      <c r="J17" s="26"/>
      <c r="K17" s="14"/>
      <c r="L17" s="14"/>
      <c r="M17" s="14"/>
      <c r="N17" s="14"/>
      <c r="O17" s="14"/>
      <c r="P17" s="14"/>
      <c r="Q17" s="14"/>
      <c r="R17" s="14"/>
      <c r="S17" s="14"/>
      <c r="T17" s="14"/>
      <c r="U17" s="14"/>
      <c r="V17" s="14"/>
      <c r="W17" s="14"/>
    </row>
    <row r="18" spans="1:23">
      <c r="A18" s="24"/>
      <c r="B18" s="28"/>
      <c r="C18" s="28" t="s">
        <v>145</v>
      </c>
      <c r="D18" s="28"/>
      <c r="E18" s="28"/>
      <c r="F18" s="28"/>
      <c r="G18" s="257"/>
      <c r="H18" s="266">
        <f>(Inputs!$I$14*Inputs!$I$15)/(Inputs!I18-Inputs!$I$19-Inputs!$I$20)</f>
        <v>636.36363636363637</v>
      </c>
      <c r="I18" s="267">
        <f>H18/Inputs!$I$30</f>
        <v>0.43586550435865506</v>
      </c>
      <c r="J18" s="26"/>
      <c r="K18" s="14"/>
      <c r="L18" s="34"/>
      <c r="M18" s="14"/>
      <c r="N18" s="14"/>
      <c r="O18" s="14"/>
      <c r="P18" s="14"/>
      <c r="Q18" s="14"/>
      <c r="R18" s="14"/>
      <c r="S18" s="14"/>
      <c r="T18" s="14"/>
      <c r="U18" s="14"/>
      <c r="V18" s="14"/>
      <c r="W18" s="14"/>
    </row>
    <row r="19" spans="1:23">
      <c r="A19" s="24"/>
      <c r="B19" s="255" t="s">
        <v>146</v>
      </c>
      <c r="C19" s="28" t="s">
        <v>147</v>
      </c>
      <c r="D19" s="28"/>
      <c r="E19" s="28"/>
      <c r="F19" s="28"/>
      <c r="G19" s="28"/>
      <c r="H19" s="274">
        <f>SUM(H4:H5)*Inputs!$D$24</f>
        <v>93.765833333333333</v>
      </c>
      <c r="I19" s="267">
        <f>H19/Inputs!$I$30</f>
        <v>6.4223173515981738E-2</v>
      </c>
      <c r="J19" s="26"/>
      <c r="K19" s="14"/>
      <c r="L19" s="14"/>
      <c r="M19" s="14"/>
      <c r="N19" s="14"/>
      <c r="O19" s="14"/>
      <c r="P19" s="14"/>
      <c r="Q19" s="14"/>
      <c r="R19" s="14"/>
      <c r="S19" s="14"/>
      <c r="T19" s="14"/>
      <c r="U19" s="14"/>
      <c r="V19" s="14"/>
      <c r="W19" s="14"/>
    </row>
    <row r="20" spans="1:23">
      <c r="A20" s="24"/>
      <c r="B20" s="255"/>
      <c r="C20" s="28" t="s">
        <v>148</v>
      </c>
      <c r="D20" s="28"/>
      <c r="E20" s="28"/>
      <c r="F20" s="28"/>
      <c r="G20" s="33"/>
      <c r="H20" s="275">
        <f>((Inputs!I12-Inputs!D8)/Inputs!I10/Inputs!I13)/(Inputs!I18-Inputs!$I$19-Inputs!$I$20)</f>
        <v>22.727272727272727</v>
      </c>
      <c r="I20" s="267">
        <f>H20/Inputs!$I$30</f>
        <v>1.5566625155666251E-2</v>
      </c>
      <c r="J20" s="26"/>
      <c r="K20" s="36"/>
      <c r="L20" s="37"/>
      <c r="M20" s="14"/>
      <c r="N20" s="14"/>
      <c r="O20" s="14"/>
      <c r="P20" s="14"/>
      <c r="Q20" s="14"/>
      <c r="R20" s="14"/>
      <c r="S20" s="14"/>
      <c r="T20" s="14"/>
      <c r="U20" s="14"/>
      <c r="V20" s="14"/>
      <c r="W20" s="14"/>
    </row>
    <row r="21" spans="1:23">
      <c r="A21" s="24"/>
      <c r="B21" s="33"/>
      <c r="C21" s="28" t="s">
        <v>149</v>
      </c>
      <c r="D21" s="28"/>
      <c r="E21" s="28"/>
      <c r="F21" s="28"/>
      <c r="G21" s="28"/>
      <c r="H21" s="266">
        <f>(Inputs!D38/Inputs!$I$18)+(Inputs!E38/(1-Inputs!$I$19))+(Inputs!F38/(1-Inputs!$I$20))</f>
        <v>21.212121212121211</v>
      </c>
      <c r="I21" s="267">
        <f>H21/Inputs!$I$30</f>
        <v>1.4528850145288501E-2</v>
      </c>
      <c r="J21" s="26"/>
      <c r="K21" s="14"/>
      <c r="L21" s="14"/>
      <c r="M21" s="14"/>
      <c r="N21" s="14"/>
      <c r="O21" s="14"/>
      <c r="P21" s="14"/>
      <c r="Q21" s="14"/>
      <c r="R21" s="14"/>
      <c r="S21" s="14"/>
      <c r="T21" s="14"/>
      <c r="U21" s="14"/>
      <c r="V21" s="14"/>
      <c r="W21" s="14"/>
    </row>
    <row r="22" spans="1:23">
      <c r="A22" s="24"/>
      <c r="B22" s="28"/>
      <c r="C22" s="28" t="s">
        <v>87</v>
      </c>
      <c r="D22" s="28"/>
      <c r="E22" s="28"/>
      <c r="F22" s="28"/>
      <c r="G22" s="28"/>
      <c r="H22" s="266">
        <f>SUM(Inputs!D39:F39)</f>
        <v>10</v>
      </c>
      <c r="I22" s="267">
        <f>H22/Inputs!$I$30</f>
        <v>6.8493150684931503E-3</v>
      </c>
      <c r="J22" s="26"/>
      <c r="K22" s="14"/>
      <c r="L22" s="14"/>
      <c r="M22" s="14"/>
      <c r="N22" s="14"/>
      <c r="O22" s="14"/>
      <c r="P22" s="14"/>
      <c r="Q22" s="14"/>
      <c r="R22" s="14"/>
      <c r="S22" s="14"/>
      <c r="T22" s="14"/>
      <c r="U22" s="14"/>
      <c r="V22" s="14"/>
      <c r="W22" s="14"/>
    </row>
    <row r="23" spans="1:23">
      <c r="A23" s="24"/>
      <c r="B23" s="28"/>
      <c r="C23" s="28" t="str">
        <f>"Operating interest"</f>
        <v>Operating interest</v>
      </c>
      <c r="D23" s="28"/>
      <c r="E23" s="28"/>
      <c r="F23" s="28"/>
      <c r="G23" s="28"/>
      <c r="H23" s="276">
        <f>(SUM(H8:H22)/2)*(Inputs!$D$25*(SUM(Inputs!I4:I6)/365))</f>
        <v>149.44427365478032</v>
      </c>
      <c r="I23" s="277">
        <f>H23/Inputs!$I$30</f>
        <v>0.10235909154437008</v>
      </c>
      <c r="J23" s="26"/>
      <c r="K23" s="14"/>
      <c r="L23" s="14"/>
      <c r="M23" s="14"/>
      <c r="N23" s="14"/>
      <c r="O23" s="14"/>
      <c r="P23" s="14"/>
      <c r="Q23" s="14"/>
      <c r="R23" s="14"/>
      <c r="S23" s="14"/>
      <c r="T23" s="14"/>
      <c r="U23" s="14"/>
      <c r="V23" s="14"/>
      <c r="W23" s="14"/>
    </row>
    <row r="24" spans="1:23">
      <c r="A24" s="24"/>
      <c r="B24" s="28"/>
      <c r="C24" s="26"/>
      <c r="D24" s="26"/>
      <c r="E24" s="26"/>
      <c r="F24" s="26"/>
      <c r="G24" s="258" t="s">
        <v>150</v>
      </c>
      <c r="H24" s="278">
        <f>SUM(H8:H23)</f>
        <v>2936.0169369495352</v>
      </c>
      <c r="I24" s="273">
        <f>H24/Inputs!$I$30</f>
        <v>2.0109705047599555</v>
      </c>
      <c r="J24" s="26"/>
      <c r="K24" s="14"/>
      <c r="L24" s="14"/>
      <c r="M24" s="14"/>
      <c r="N24" s="14"/>
      <c r="O24" s="14"/>
      <c r="P24" s="14"/>
      <c r="Q24" s="14"/>
      <c r="R24" s="14"/>
      <c r="S24" s="14"/>
      <c r="T24" s="14"/>
      <c r="U24" s="14"/>
      <c r="V24" s="14"/>
      <c r="W24" s="14"/>
    </row>
    <row r="25" spans="1:23">
      <c r="A25" s="24"/>
      <c r="B25" s="261" t="s">
        <v>151</v>
      </c>
      <c r="C25" s="262"/>
      <c r="D25" s="262"/>
      <c r="E25" s="262"/>
      <c r="F25" s="262"/>
      <c r="G25" s="262"/>
      <c r="H25" s="29" t="s">
        <v>133</v>
      </c>
      <c r="I25" s="263" t="s">
        <v>134</v>
      </c>
      <c r="J25" s="26"/>
      <c r="K25" s="14"/>
      <c r="L25" s="14"/>
      <c r="M25" s="14"/>
      <c r="N25" s="14"/>
      <c r="O25" s="14"/>
      <c r="P25" s="14"/>
      <c r="Q25" s="14"/>
      <c r="R25" s="14"/>
      <c r="S25" s="14"/>
      <c r="T25" s="14"/>
      <c r="U25" s="14"/>
      <c r="V25" s="14"/>
      <c r="W25" s="14"/>
    </row>
    <row r="26" spans="1:23">
      <c r="A26" s="24"/>
      <c r="B26" s="44"/>
      <c r="C26" s="28" t="s">
        <v>368</v>
      </c>
      <c r="D26" s="28"/>
      <c r="E26" s="28"/>
      <c r="F26" s="28"/>
      <c r="G26" s="355">
        <v>0.01</v>
      </c>
      <c r="H26" s="30">
        <f>G26*H6</f>
        <v>37.50633333333333</v>
      </c>
      <c r="I26" s="256"/>
      <c r="J26" s="26"/>
      <c r="K26" s="14"/>
      <c r="L26" s="14"/>
      <c r="M26" s="14"/>
      <c r="N26" s="14"/>
      <c r="O26" s="14"/>
      <c r="P26" s="14"/>
      <c r="Q26" s="14"/>
      <c r="R26" s="14"/>
      <c r="S26" s="14"/>
      <c r="T26" s="14"/>
      <c r="U26" s="14"/>
      <c r="V26" s="14"/>
      <c r="W26" s="14"/>
    </row>
    <row r="27" spans="1:23">
      <c r="A27" s="24"/>
      <c r="C27" s="28" t="s">
        <v>369</v>
      </c>
      <c r="D27" s="28"/>
      <c r="E27" s="28"/>
      <c r="F27" s="28"/>
      <c r="G27" s="28"/>
      <c r="H27" s="275">
        <f>(SUM(Inputs!$F$52:$F$54)/Inputs!$I$9)/(Inputs!$I$18-Inputs!$I$19-Inputs!$I$20)</f>
        <v>21.818181818181817</v>
      </c>
      <c r="I27" s="267">
        <f>H27/Inputs!$I$30</f>
        <v>1.4943960149439601E-2</v>
      </c>
      <c r="J27" s="26"/>
      <c r="K27" s="26"/>
      <c r="L27" s="26"/>
      <c r="M27" s="26"/>
      <c r="N27" s="26"/>
      <c r="O27" s="26"/>
      <c r="P27" s="26"/>
      <c r="Q27" s="26"/>
      <c r="R27" s="14"/>
      <c r="S27" s="14"/>
      <c r="T27" s="14"/>
      <c r="U27" s="14"/>
      <c r="V27" s="14"/>
      <c r="W27" s="14"/>
    </row>
    <row r="28" spans="1:23">
      <c r="A28" s="24"/>
      <c r="B28" s="259" t="s">
        <v>153</v>
      </c>
      <c r="C28" s="28" t="s">
        <v>370</v>
      </c>
      <c r="D28" s="28"/>
      <c r="E28" s="28"/>
      <c r="F28" s="28"/>
      <c r="G28" s="28"/>
      <c r="H28" s="275">
        <f>((Inputs!$I$11)+(Inputs!$I$12/Inputs!$I$10+Inputs!$D$8/Inputs!I10))*Inputs!$D$25</f>
        <v>275.5</v>
      </c>
      <c r="I28" s="267">
        <f>H28/Inputs!$I$30</f>
        <v>0.18869863013698629</v>
      </c>
      <c r="J28" s="24"/>
      <c r="K28" s="26"/>
      <c r="L28" s="26"/>
      <c r="M28" s="26"/>
      <c r="N28" s="41"/>
      <c r="O28" s="42"/>
      <c r="P28" s="42"/>
      <c r="Q28" s="42"/>
      <c r="R28" s="42"/>
      <c r="S28" s="42"/>
      <c r="T28" s="42"/>
      <c r="U28" s="42"/>
      <c r="V28" s="42"/>
      <c r="W28" s="26"/>
    </row>
    <row r="29" spans="1:23">
      <c r="A29" s="24"/>
      <c r="B29" s="259"/>
      <c r="C29" s="28" t="s">
        <v>371</v>
      </c>
      <c r="D29" s="28"/>
      <c r="E29" s="28"/>
      <c r="F29" s="28"/>
      <c r="G29" s="28"/>
      <c r="H29" s="275">
        <f>((SUM(Inputs!$C$52:$C$54)/Inputs!$I$9/2)*Inputs!$D$27)/(Inputs!$I$18-Inputs!$I$19-Inputs!$I$20)</f>
        <v>25.454545454545457</v>
      </c>
      <c r="I29" s="267">
        <f>H29/Inputs!$I$30</f>
        <v>1.7434620174346202E-2</v>
      </c>
      <c r="J29" s="24"/>
      <c r="K29" s="14"/>
      <c r="N29" s="37"/>
    </row>
    <row r="30" spans="1:23">
      <c r="A30" s="24"/>
      <c r="B30" s="28"/>
      <c r="C30" s="28" t="s">
        <v>156</v>
      </c>
      <c r="D30" s="28"/>
      <c r="E30" s="28"/>
      <c r="F30" s="28"/>
      <c r="G30" s="28"/>
      <c r="H30" s="280">
        <f>SUM($M$40:$M$43)</f>
        <v>79.372727272727275</v>
      </c>
      <c r="I30" s="277">
        <f>H30/Inputs!$I$30</f>
        <v>5.4364881693648816E-2</v>
      </c>
      <c r="J30" s="26"/>
      <c r="K30" s="26"/>
      <c r="L30" s="26"/>
      <c r="M30" s="26"/>
      <c r="N30" s="37"/>
      <c r="O30" s="37"/>
      <c r="P30" s="37"/>
      <c r="Q30" s="37"/>
      <c r="R30" s="37"/>
      <c r="S30" s="37"/>
      <c r="T30" s="37"/>
      <c r="U30" s="37"/>
      <c r="V30" s="37"/>
      <c r="W30" s="37"/>
    </row>
    <row r="31" spans="1:23">
      <c r="A31" s="24"/>
      <c r="B31" s="28"/>
      <c r="C31" s="28"/>
      <c r="D31" s="28"/>
      <c r="E31" s="28"/>
      <c r="F31" s="28"/>
      <c r="G31" s="254" t="s">
        <v>157</v>
      </c>
      <c r="H31" s="272">
        <f>SUM(H26:H30)</f>
        <v>439.65178787878784</v>
      </c>
      <c r="I31" s="273">
        <f>H31/Inputs!$I$30</f>
        <v>0.3011313615608136</v>
      </c>
      <c r="J31" s="42"/>
      <c r="K31" s="37"/>
      <c r="L31" s="37"/>
      <c r="M31" s="37"/>
      <c r="N31" s="37"/>
      <c r="O31" s="37"/>
      <c r="P31" s="37"/>
      <c r="Q31" s="37"/>
      <c r="R31" s="37"/>
      <c r="S31" s="37"/>
      <c r="T31" s="37"/>
      <c r="U31" s="37"/>
      <c r="V31" s="37"/>
      <c r="W31" s="37"/>
    </row>
    <row r="32" spans="1:23">
      <c r="A32" s="24"/>
      <c r="B32" s="28"/>
      <c r="C32" s="28"/>
      <c r="D32" s="28"/>
      <c r="E32" s="28"/>
      <c r="F32" s="28"/>
      <c r="G32" s="254"/>
      <c r="H32" s="272"/>
      <c r="I32" s="273"/>
      <c r="J32" s="42"/>
      <c r="K32" s="37"/>
      <c r="L32" s="37"/>
      <c r="M32" s="37"/>
      <c r="N32" s="37"/>
      <c r="O32" s="37"/>
      <c r="P32" s="37"/>
      <c r="Q32" s="37"/>
      <c r="R32" s="37"/>
      <c r="S32" s="37"/>
      <c r="T32" s="37"/>
      <c r="U32" s="37"/>
      <c r="V32" s="37"/>
      <c r="W32" s="37"/>
    </row>
    <row r="33" spans="1:23">
      <c r="A33" s="24"/>
      <c r="B33" s="28"/>
      <c r="C33" s="28"/>
      <c r="D33" s="28"/>
      <c r="E33" s="28"/>
      <c r="F33" s="28"/>
      <c r="G33" s="254" t="s">
        <v>372</v>
      </c>
      <c r="H33" s="272">
        <f>H34-SUM(H26:H29,H13)</f>
        <v>2719.8341086667069</v>
      </c>
      <c r="I33" s="273">
        <f>H33/Inputs!I30</f>
        <v>1.8629000744292514</v>
      </c>
      <c r="J33" s="42"/>
      <c r="K33" s="37"/>
      <c r="L33" s="37"/>
      <c r="M33" s="37"/>
      <c r="N33" s="37"/>
      <c r="O33" s="37"/>
      <c r="P33" s="37"/>
      <c r="Q33" s="37"/>
      <c r="R33" s="37"/>
      <c r="S33" s="37"/>
      <c r="T33" s="37"/>
      <c r="U33" s="37"/>
      <c r="V33" s="37"/>
      <c r="W33" s="37"/>
    </row>
    <row r="34" spans="1:23">
      <c r="A34" s="24"/>
      <c r="B34" s="28"/>
      <c r="C34" s="28"/>
      <c r="D34" s="28"/>
      <c r="E34" s="28"/>
      <c r="F34" s="28"/>
      <c r="G34" s="254" t="s">
        <v>373</v>
      </c>
      <c r="H34" s="272">
        <f>H24+H31</f>
        <v>3375.6687248283229</v>
      </c>
      <c r="I34" s="273">
        <f>I24+I31</f>
        <v>2.3121018663207691</v>
      </c>
      <c r="J34" s="24"/>
    </row>
    <row r="35" spans="1:23">
      <c r="A35" s="24"/>
      <c r="B35" s="44"/>
      <c r="C35" s="268" t="s">
        <v>374</v>
      </c>
      <c r="D35" s="264"/>
      <c r="E35" s="264"/>
      <c r="F35" s="264"/>
      <c r="G35" s="265"/>
      <c r="H35" s="281">
        <f>H6-H33</f>
        <v>1030.7992246666263</v>
      </c>
      <c r="I35" s="282"/>
      <c r="J35" s="24"/>
      <c r="N35" s="45"/>
    </row>
    <row r="36" spans="1:23">
      <c r="A36" s="24"/>
      <c r="B36" s="44"/>
      <c r="C36" s="269" t="s">
        <v>375</v>
      </c>
      <c r="D36" s="260"/>
      <c r="E36" s="260"/>
      <c r="F36" s="260"/>
      <c r="H36" s="283">
        <f>H6-H24</f>
        <v>814.61639638379802</v>
      </c>
      <c r="I36" s="273"/>
      <c r="J36" s="24"/>
      <c r="N36" s="45"/>
    </row>
    <row r="37" spans="1:23">
      <c r="A37" s="24"/>
      <c r="B37" s="28"/>
      <c r="C37" s="269" t="s">
        <v>376</v>
      </c>
      <c r="D37" s="260"/>
      <c r="E37" s="260"/>
      <c r="F37" s="260"/>
      <c r="H37" s="272">
        <f>H6-H34</f>
        <v>374.96460850501035</v>
      </c>
      <c r="I37" s="273">
        <f>H37/Inputs!$I$30</f>
        <v>0.25682507431850021</v>
      </c>
      <c r="J37" s="24"/>
    </row>
    <row r="38" spans="1:23">
      <c r="A38" s="24"/>
      <c r="B38" s="28"/>
      <c r="C38" s="270" t="s">
        <v>378</v>
      </c>
      <c r="D38" s="271"/>
      <c r="E38" s="271"/>
      <c r="F38" s="271"/>
      <c r="G38" s="271"/>
      <c r="H38" s="284"/>
      <c r="I38" s="285">
        <f>H33/Inputs!I30</f>
        <v>1.8629000744292514</v>
      </c>
      <c r="J38" s="24"/>
    </row>
    <row r="39" spans="1:23" ht="31.5" customHeight="1">
      <c r="A39" s="24"/>
      <c r="B39" s="28"/>
      <c r="C39" s="389" t="s">
        <v>377</v>
      </c>
      <c r="D39" s="389"/>
      <c r="E39" s="389"/>
      <c r="F39" s="389"/>
      <c r="G39" s="389"/>
      <c r="H39" s="389"/>
      <c r="I39" s="389"/>
      <c r="J39" s="24"/>
      <c r="L39" s="387" t="s">
        <v>158</v>
      </c>
      <c r="M39" s="387"/>
    </row>
    <row r="40" spans="1:23">
      <c r="A40" s="24"/>
      <c r="B40" s="28"/>
      <c r="C40" s="28"/>
      <c r="D40" s="28"/>
      <c r="E40" s="28"/>
      <c r="F40" s="28"/>
      <c r="G40" s="28"/>
      <c r="H40" s="28"/>
      <c r="L40" s="27" t="s">
        <v>159</v>
      </c>
      <c r="M40" s="46">
        <f>Inputs!D29*(Inputs!I11+(Inputs!I12/Inputs!I10))/(Inputs!I18-Inputs!I19-Inputs!I20)</f>
        <v>42.045454545454547</v>
      </c>
    </row>
    <row r="41" spans="1:23" ht="18.75">
      <c r="A41" s="24"/>
      <c r="B41" s="338" t="s">
        <v>383</v>
      </c>
      <c r="C41" s="339"/>
      <c r="D41" s="340"/>
      <c r="E41" s="340"/>
      <c r="F41" s="340"/>
      <c r="G41" s="340"/>
      <c r="H41" s="340"/>
      <c r="I41" s="341"/>
      <c r="J41" s="352"/>
      <c r="L41" s="27" t="s">
        <v>160</v>
      </c>
      <c r="M41" s="46">
        <f>(Inputs!D30*SUM(Inputs!C52:C54)/Inputs!I9)/(Inputs!I18-Inputs!I19-Inputs!I20)</f>
        <v>1.8181818181818183</v>
      </c>
    </row>
    <row r="42" spans="1:23">
      <c r="B42" s="342"/>
      <c r="C42" s="394" t="s">
        <v>385</v>
      </c>
      <c r="D42" s="394"/>
      <c r="E42" s="394"/>
      <c r="F42" s="394"/>
      <c r="G42" s="394"/>
      <c r="H42" s="394"/>
      <c r="I42" s="394"/>
      <c r="J42" s="350"/>
      <c r="L42" s="27" t="s">
        <v>161</v>
      </c>
      <c r="M42" s="46">
        <f>Inputs!D28*(Inputs!I11+(Inputs!I12/Inputs!I10))/(Inputs!I18-Inputs!I19-Inputs!I20)</f>
        <v>30.272727272727273</v>
      </c>
    </row>
    <row r="43" spans="1:23" ht="15.75" customHeight="1">
      <c r="B43" s="392"/>
      <c r="C43" s="390" t="s">
        <v>384</v>
      </c>
      <c r="D43" s="343"/>
      <c r="E43" s="353">
        <f>G43*0.9</f>
        <v>1314</v>
      </c>
      <c r="F43" s="353">
        <f>G43*0.95</f>
        <v>1387</v>
      </c>
      <c r="G43" s="353">
        <f>Inputs!I30</f>
        <v>1460</v>
      </c>
      <c r="H43" s="353">
        <f>G43*1.05</f>
        <v>1533</v>
      </c>
      <c r="I43" s="354">
        <f>H43*1.1</f>
        <v>1686.3000000000002</v>
      </c>
      <c r="J43" s="351"/>
      <c r="L43" s="27" t="s">
        <v>162</v>
      </c>
      <c r="M43" s="46">
        <f>(Inputs!D28*SUM(Inputs!C52:C54)/Inputs!I9)/(Inputs!I18-Inputs!I19-Inputs!I20)</f>
        <v>5.2363636363636372</v>
      </c>
    </row>
    <row r="44" spans="1:23">
      <c r="B44" s="392"/>
      <c r="C44" s="390"/>
      <c r="D44" s="344">
        <f>D47*0.7</f>
        <v>166.6</v>
      </c>
      <c r="E44" s="345">
        <f>E$43/100*$D44+$H$5-((Inputs!$D$24*(($D44*E$43/100)+$H$5))+Feed!$F$32*(E$43-Inputs!$I$29)+$H$33-SUM($H$23,$H$19,$H$12))*(1+0.55*(Inputs!$D$25*(SUM(Inputs!$I$4:$I$6)/365)))</f>
        <v>-120.19379327494471</v>
      </c>
      <c r="F44" s="345">
        <f>F$43/100*$D44+$H$5-((Inputs!$D$24*(($D44*F$43/100)+$H$5))+Feed!$F$32*(F$43-Inputs!$I$29)+$H$33-SUM($H$23,$H$19,$H$12))*(1+0.55*(Inputs!$D$25*(SUM(Inputs!$I$4:$I$6)/365)))</f>
        <v>-53.213634654705857</v>
      </c>
      <c r="G44" s="345">
        <f>G$43/100*$D44+$H$5-((Inputs!$D$24*(($D44*G$43/100)+$H$5))+Feed!$F$32*(G$43-Inputs!$I$29)+$H$33-SUM($H$23,$H$19,$H$12))*(1+0.55*(Inputs!$D$25*(SUM(Inputs!$I$4:$I$6)/365)))</f>
        <v>13.766523965532087</v>
      </c>
      <c r="H44" s="345">
        <f>H$43/100*$D44+$H$5-((Inputs!$D$24*(($D44*H$43/100)+$H$5))+Feed!$F$32*(H$43-Inputs!$I$29)+$H$33-SUM($H$23,$H$19,$H$12))*(1+0.55*(Inputs!$D$25*(SUM(Inputs!$I$4:$I$6)/365)))</f>
        <v>80.746682585770031</v>
      </c>
      <c r="I44" s="345">
        <f>I$43/100*$D44+$H$5-((Inputs!$D$24*(($D44*I$43/100)+$H$5))+Feed!$F$32*(I$43-Inputs!$I$29)+$H$33-SUM($H$23,$H$19,$H$12))*(1+0.55*(Inputs!$D$25*(SUM(Inputs!$I$4:$I$6)/365)))</f>
        <v>221.40501568826994</v>
      </c>
    </row>
    <row r="45" spans="1:23">
      <c r="B45" s="392"/>
      <c r="C45" s="390"/>
      <c r="D45" s="344">
        <f>D47*0.8</f>
        <v>190.4</v>
      </c>
      <c r="E45" s="345">
        <f>E$43/100*$D45+$H$5-((Inputs!$D$24*(($D45*E$43/100)+$H$5))+Feed!$F$32*(E$43-Inputs!$I$29)+$H$33-SUM($H$23,$H$19,$H$12))*(1+0.55*(Inputs!$D$25*(SUM(Inputs!$I$4:$I$6)/365)))</f>
        <v>184.25868057505568</v>
      </c>
      <c r="F45" s="345">
        <f>F$43/100*$D45+$H$5-((Inputs!$D$24*(($D45*F$43/100)+$H$5))+Feed!$F$32*(F$43-Inputs!$I$29)+$H$33-SUM($H$23,$H$19,$H$12))*(1+0.55*(Inputs!$D$25*(SUM(Inputs!$I$4:$I$6)/365)))</f>
        <v>268.15286552029374</v>
      </c>
      <c r="G45" s="345">
        <f>G$43/100*$D45+$H$5-((Inputs!$D$24*(($D45*G$43/100)+$H$5))+Feed!$F$32*(G$43-Inputs!$I$29)+$H$33-SUM($H$23,$H$19,$H$12))*(1+0.55*(Inputs!$D$25*(SUM(Inputs!$I$4:$I$6)/365)))</f>
        <v>352.04705046553272</v>
      </c>
      <c r="H45" s="345">
        <f>H$43/100*$D45+$H$5-((Inputs!$D$24*(($D45*H$43/100)+$H$5))+Feed!$F$32*(H$43-Inputs!$I$29)+$H$33-SUM($H$23,$H$19,$H$12))*(1+0.55*(Inputs!$D$25*(SUM(Inputs!$I$4:$I$6)/365)))</f>
        <v>435.94123541076988</v>
      </c>
      <c r="I45" s="345">
        <f>I$43/100*$D45+$H$5-((Inputs!$D$24*(($D45*I$43/100)+$H$5))+Feed!$F$32*(I$43-Inputs!$I$29)+$H$33-SUM($H$23,$H$19,$H$12))*(1+0.55*(Inputs!$D$25*(SUM(Inputs!$I$4:$I$6)/365)))</f>
        <v>612.11902379577032</v>
      </c>
    </row>
    <row r="46" spans="1:23">
      <c r="B46" s="392"/>
      <c r="C46" s="390"/>
      <c r="D46" s="344">
        <f>D47*0.9</f>
        <v>214.20000000000002</v>
      </c>
      <c r="E46" s="345">
        <f>E$43/100*$D46+$H$5-((Inputs!$D$24*(($D46*E$43/100)+$H$5))+Feed!$F$32*(E$43-Inputs!$I$29)+$H$33-SUM($H$23,$H$19,$H$12))*(1+0.55*(Inputs!$D$25*(SUM(Inputs!$I$4:$I$6)/365)))</f>
        <v>488.71115442505607</v>
      </c>
      <c r="F46" s="345">
        <f>F$43/100*$D46+$H$5-((Inputs!$D$24*(($D46*F$43/100)+$H$5))+Feed!$F$32*(F$43-Inputs!$I$29)+$H$33-SUM($H$23,$H$19,$H$12))*(1+0.55*(Inputs!$D$25*(SUM(Inputs!$I$4:$I$6)/365)))</f>
        <v>589.5193656952938</v>
      </c>
      <c r="G46" s="345">
        <f>G$43/100*$D46+$H$5-((Inputs!$D$24*(($D46*G$43/100)+$H$5))+Feed!$F$32*(G$43-Inputs!$I$29)+$H$33-SUM($H$23,$H$19,$H$12))*(1+0.55*(Inputs!$D$25*(SUM(Inputs!$I$4:$I$6)/365)))</f>
        <v>690.32757696553244</v>
      </c>
      <c r="H46" s="345">
        <f>H$43/100*$D46+$H$5-((Inputs!$D$24*(($D46*H$43/100)+$H$5))+Feed!$F$32*(H$43-Inputs!$I$29)+$H$33-SUM($H$23,$H$19,$H$12))*(1+0.55*(Inputs!$D$25*(SUM(Inputs!$I$4:$I$6)/365)))</f>
        <v>791.13578823577063</v>
      </c>
      <c r="I46" s="345">
        <f>I$43/100*$D46+$H$5-((Inputs!$D$24*(($D46*I$43/100)+$H$5))+Feed!$F$32*(I$43-Inputs!$I$29)+$H$33-SUM($H$23,$H$19,$H$12))*(1+0.55*(Inputs!$D$25*(SUM(Inputs!$I$4:$I$6)/365)))</f>
        <v>1002.8330319032707</v>
      </c>
    </row>
    <row r="47" spans="1:23">
      <c r="B47" s="392"/>
      <c r="C47" s="390"/>
      <c r="D47" s="346">
        <f>Inputs!D4</f>
        <v>238</v>
      </c>
      <c r="E47" s="345">
        <f>E$43/100*$D47+$H$5-((Inputs!$D$24*(($D47*E$43/100)+$H$5))+Feed!$F$32*(E$43-Inputs!$I$29)+$H$33-SUM($H$23,$H$19,$H$12))*(1+0.55*(Inputs!$D$25*(SUM(Inputs!$I$4:$I$6)/365)))</f>
        <v>793.163628275056</v>
      </c>
      <c r="F47" s="345">
        <f>F$43/100*$D47+$H$5-((Inputs!$D$24*(($D47*F$43/100)+$H$5))+Feed!$F$32*(F$43-Inputs!$I$29)+$H$33-SUM($H$23,$H$19,$H$12))*(1+0.55*(Inputs!$D$25*(SUM(Inputs!$I$4:$I$6)/365)))</f>
        <v>910.88586587029431</v>
      </c>
      <c r="G47" s="347">
        <f>G$43/100*$D47+$H$5-((Inputs!$D$24*(($D47*G$43/100)+$H$5))+Feed!$F$32*(G$43-Inputs!$I$29)+$H$33-SUM($H$23,$H$19,$H$12))*(1+0.55*(Inputs!$D$25*(SUM(Inputs!$I$4:$I$6)/365)))</f>
        <v>1028.6081034655313</v>
      </c>
      <c r="H47" s="345">
        <f>H$43/100*$D47+$H$5-((Inputs!$D$24*(($D47*H$43/100)+$H$5))+Feed!$F$32*(H$43-Inputs!$I$29)+$H$33-SUM($H$23,$H$19,$H$12))*(1+0.55*(Inputs!$D$25*(SUM(Inputs!$I$4:$I$6)/365)))</f>
        <v>1146.33034106077</v>
      </c>
      <c r="I47" s="348">
        <f>I$43/100*$D47+$H$5-((Inputs!$D$24*(($D47*I$43/100)+$H$5))+Feed!$F$32*(I$43-Inputs!$I$29)+$H$33-SUM($H$23,$H$19,$H$12))*(1+0.55*(Inputs!$D$25*(SUM(Inputs!$I$4:$I$6)/365)))</f>
        <v>1393.5470400107706</v>
      </c>
    </row>
    <row r="48" spans="1:23">
      <c r="B48" s="392"/>
      <c r="C48" s="390"/>
      <c r="D48" s="344">
        <f>D47*1.05</f>
        <v>249.9</v>
      </c>
      <c r="E48" s="345">
        <f>E$43/100*$D48+$H$5-((Inputs!$D$24*(($D48*E$43/100)+$H$5))+Feed!$F$32*(E$43-Inputs!$I$29)+$H$33-SUM($H$23,$H$19,$H$12))*(1+0.55*(Inputs!$D$25*(SUM(Inputs!$I$4:$I$6)/365)))</f>
        <v>945.38986520005665</v>
      </c>
      <c r="F48" s="345">
        <f>F$43/100*$D48+$H$5-((Inputs!$D$24*(($D48*F$43/100)+$H$5))+Feed!$F$32*(F$43-Inputs!$I$29)+$H$33-SUM($H$23,$H$19,$H$12))*(1+0.55*(Inputs!$D$25*(SUM(Inputs!$I$4:$I$6)/365)))</f>
        <v>1071.5691159577937</v>
      </c>
      <c r="G48" s="345">
        <f>G$43/100*$D48+$H$5-((Inputs!$D$24*(($D48*G$43/100)+$H$5))+Feed!$F$32*(G$43-Inputs!$I$29)+$H$33-SUM($H$23,$H$19,$H$12))*(1+0.55*(Inputs!$D$25*(SUM(Inputs!$I$4:$I$6)/365)))</f>
        <v>1197.7483667155316</v>
      </c>
      <c r="H48" s="345">
        <f>H$43/100*$D48+$H$5-((Inputs!$D$24*(($D48*H$43/100)+$H$5))+Feed!$F$32*(H$43-Inputs!$I$29)+$H$33-SUM($H$23,$H$19,$H$12))*(1+0.55*(Inputs!$D$25*(SUM(Inputs!$I$4:$I$6)/365)))</f>
        <v>1323.9276174732704</v>
      </c>
      <c r="I48" s="345">
        <f>I$43/100*$D48+$H$5-((Inputs!$D$24*(($D48*I$43/100)+$H$5))+Feed!$F$32*(I$43-Inputs!$I$29)+$H$33-SUM($H$23,$H$19,$H$12))*(1+0.55*(Inputs!$D$25*(SUM(Inputs!$I$4:$I$6)/365)))</f>
        <v>1588.9040440645203</v>
      </c>
    </row>
    <row r="49" spans="2:9">
      <c r="B49" s="392"/>
      <c r="C49" s="390"/>
      <c r="D49" s="344">
        <f>D47*1.1</f>
        <v>261.8</v>
      </c>
      <c r="E49" s="345">
        <f>E$43/100*$D49+$H$5-((Inputs!$D$24*(($D49*E$43/100)+$H$5))+Feed!$F$32*(E$43-Inputs!$I$29)+$H$33-SUM($H$23,$H$19,$H$12))*(1+0.55*(Inputs!$D$25*(SUM(Inputs!$I$4:$I$6)/365)))</f>
        <v>1097.6161021250559</v>
      </c>
      <c r="F49" s="345">
        <f>F$43/100*$D49+$H$5-((Inputs!$D$24*(($D49*F$43/100)+$H$5))+Feed!$F$32*(F$43-Inputs!$I$29)+$H$33-SUM($H$23,$H$19,$H$12))*(1+0.55*(Inputs!$D$25*(SUM(Inputs!$I$4:$I$6)/365)))</f>
        <v>1232.2523660452939</v>
      </c>
      <c r="G49" s="345">
        <f>G$43/100*$D49+$H$5-((Inputs!$D$24*(($D49*G$43/100)+$H$5))+Feed!$F$32*(G$43-Inputs!$I$29)+$H$33-SUM($H$23,$H$19,$H$12))*(1+0.55*(Inputs!$D$25*(SUM(Inputs!$I$4:$I$6)/365)))</f>
        <v>1366.8886299655319</v>
      </c>
      <c r="H49" s="345">
        <f>H$43/100*$D49+$H$5-((Inputs!$D$24*(($D49*H$43/100)+$H$5))+Feed!$F$32*(H$43-Inputs!$I$29)+$H$33-SUM($H$23,$H$19,$H$12))*(1+0.55*(Inputs!$D$25*(SUM(Inputs!$I$4:$I$6)/365)))</f>
        <v>1501.5248938857694</v>
      </c>
      <c r="I49" s="345">
        <f>I$43/100*$D49+$H$5-((Inputs!$D$24*(($D49*I$43/100)+$H$5))+Feed!$F$32*(I$43-Inputs!$I$29)+$H$33-SUM($H$23,$H$19,$H$12))*(1+0.55*(Inputs!$D$25*(SUM(Inputs!$I$4:$I$6)/365)))</f>
        <v>1784.2610481182705</v>
      </c>
    </row>
    <row r="50" spans="2:9">
      <c r="B50" s="393"/>
      <c r="C50" s="391"/>
      <c r="D50" s="349">
        <f>D47*1.15</f>
        <v>273.7</v>
      </c>
      <c r="E50" s="345">
        <f>E$43/100*$D50+$H$5-((Inputs!$D$24*(($D50*E$43/100)+$H$5))+Feed!$F$32*(E$43-Inputs!$I$29)+$H$33-SUM($H$23,$H$19,$H$12))*(1+0.55*(Inputs!$D$25*(SUM(Inputs!$I$4:$I$6)/365)))</f>
        <v>1249.8423390500557</v>
      </c>
      <c r="F50" s="345">
        <f>F$43/100*$D50+$H$5-((Inputs!$D$24*(($D50*F$43/100)+$H$5))+Feed!$F$32*(F$43-Inputs!$I$29)+$H$33-SUM($H$23,$H$19,$H$12))*(1+0.55*(Inputs!$D$25*(SUM(Inputs!$I$4:$I$6)/365)))</f>
        <v>1392.9356161327933</v>
      </c>
      <c r="G50" s="345">
        <f>G$43/100*$D50+$H$5-((Inputs!$D$24*(($D50*G$43/100)+$H$5))+Feed!$F$32*(G$43-Inputs!$I$29)+$H$33-SUM($H$23,$H$19,$H$12))*(1+0.55*(Inputs!$D$25*(SUM(Inputs!$I$4:$I$6)/365)))</f>
        <v>1536.0288932155308</v>
      </c>
      <c r="H50" s="345">
        <f>H$43/100*$D50+$H$5-((Inputs!$D$24*(($D50*H$43/100)+$H$5))+Feed!$F$32*(H$43-Inputs!$I$29)+$H$33-SUM($H$23,$H$19,$H$12))*(1+0.55*(Inputs!$D$25*(SUM(Inputs!$I$4:$I$6)/365)))</f>
        <v>1679.1221702982693</v>
      </c>
      <c r="I50" s="345">
        <f>I$43/100*$D50+$H$5-((Inputs!$D$24*(($D50*I$43/100)+$H$5))+Feed!$F$32*(I$43-Inputs!$I$29)+$H$33-SUM($H$23,$H$19,$H$12))*(1+0.55*(Inputs!$D$25*(SUM(Inputs!$I$4:$I$6)/365)))</f>
        <v>1979.6180521720203</v>
      </c>
    </row>
    <row r="51" spans="2:9">
      <c r="B51" s="47"/>
      <c r="C51" s="47"/>
      <c r="D51" s="47"/>
      <c r="E51" s="47"/>
      <c r="F51" s="47"/>
      <c r="G51" s="47"/>
      <c r="H51" s="49"/>
    </row>
    <row r="52" spans="2:9" hidden="1">
      <c r="B52" s="14"/>
      <c r="C52" s="47"/>
      <c r="D52" s="47"/>
      <c r="E52" s="47"/>
      <c r="F52" s="47"/>
      <c r="G52" s="47"/>
      <c r="H52" s="50"/>
    </row>
    <row r="53" spans="2:9" hidden="1">
      <c r="B53" s="47"/>
      <c r="C53" s="47"/>
      <c r="D53" s="47"/>
      <c r="E53" s="47"/>
      <c r="F53" s="47"/>
      <c r="G53" s="47"/>
      <c r="H53" s="51"/>
    </row>
    <row r="54" spans="2:9" hidden="1">
      <c r="B54" s="47"/>
      <c r="C54" s="47"/>
      <c r="D54" s="47"/>
      <c r="E54" s="47"/>
      <c r="F54" s="47"/>
      <c r="G54" s="49"/>
      <c r="H54" s="52"/>
    </row>
    <row r="55" spans="2:9" hidden="1">
      <c r="B55" s="48"/>
      <c r="C55" s="47"/>
      <c r="D55" s="47"/>
      <c r="E55" s="47"/>
      <c r="F55" s="47"/>
      <c r="G55" s="50"/>
      <c r="H55" s="53"/>
    </row>
    <row r="56" spans="2:9" hidden="1">
      <c r="B56" s="47"/>
      <c r="C56" s="47"/>
      <c r="D56" s="47"/>
      <c r="E56" s="47"/>
      <c r="F56" s="47"/>
      <c r="G56" s="50"/>
      <c r="H56" s="53"/>
    </row>
    <row r="57" spans="2:9" hidden="1">
      <c r="B57" s="47"/>
      <c r="C57" s="47"/>
      <c r="D57" s="47"/>
      <c r="E57" s="47"/>
      <c r="F57" s="47"/>
      <c r="G57" s="50"/>
      <c r="H57" s="53"/>
    </row>
    <row r="58" spans="2:9" hidden="1">
      <c r="B58" s="47"/>
      <c r="C58" s="47"/>
      <c r="D58" s="47"/>
      <c r="E58" s="47"/>
      <c r="F58" s="47"/>
      <c r="G58" s="50"/>
      <c r="H58" s="54"/>
    </row>
    <row r="59" spans="2:9" hidden="1">
      <c r="B59" s="47"/>
      <c r="C59" s="47"/>
      <c r="D59" s="47"/>
      <c r="E59" s="47"/>
      <c r="F59" s="47"/>
      <c r="G59" s="14"/>
      <c r="H59" s="55"/>
    </row>
    <row r="60" spans="2:9" hidden="1">
      <c r="B60" s="47"/>
      <c r="C60" s="14"/>
      <c r="D60" s="14"/>
      <c r="E60" s="14"/>
      <c r="F60" s="14"/>
      <c r="G60" s="14"/>
      <c r="H60" s="14"/>
    </row>
    <row r="61" spans="2:9" hidden="1">
      <c r="B61" s="14"/>
      <c r="C61" s="47"/>
      <c r="D61" s="47"/>
      <c r="E61" s="47"/>
      <c r="F61" s="47"/>
      <c r="G61" s="47"/>
      <c r="H61" s="51"/>
    </row>
    <row r="62" spans="2:9" hidden="1">
      <c r="B62" s="48"/>
      <c r="C62" s="14"/>
      <c r="D62" s="14"/>
      <c r="E62" s="14"/>
      <c r="F62" s="14"/>
      <c r="G62" s="14"/>
      <c r="H62" s="49"/>
    </row>
    <row r="63" spans="2:9" hidden="1">
      <c r="B63" s="56"/>
      <c r="C63" s="47"/>
      <c r="D63" s="47"/>
      <c r="E63" s="47"/>
      <c r="F63" s="47"/>
      <c r="G63" s="14"/>
      <c r="H63" s="57"/>
    </row>
    <row r="64" spans="2:9" hidden="1">
      <c r="B64" s="47"/>
      <c r="C64" s="47"/>
      <c r="D64" s="47"/>
      <c r="E64" s="47"/>
      <c r="F64" s="47"/>
      <c r="G64" s="14"/>
      <c r="H64" s="57"/>
    </row>
    <row r="65" spans="2:9" hidden="1">
      <c r="B65" s="47"/>
      <c r="C65" s="58"/>
      <c r="D65" s="58"/>
      <c r="E65" s="58"/>
      <c r="F65" s="58"/>
      <c r="G65" s="58"/>
      <c r="H65" s="59"/>
    </row>
    <row r="66" spans="2:9" hidden="1">
      <c r="B66" s="60"/>
      <c r="C66" s="58"/>
      <c r="D66" s="58"/>
      <c r="E66" s="58"/>
      <c r="F66" s="58"/>
      <c r="G66" s="58"/>
      <c r="H66" s="59"/>
    </row>
    <row r="67" spans="2:9" hidden="1">
      <c r="B67" s="60"/>
      <c r="C67" s="14"/>
      <c r="D67" s="14"/>
      <c r="E67" s="14"/>
      <c r="F67" s="14"/>
      <c r="G67" s="49"/>
      <c r="H67" s="49"/>
    </row>
    <row r="68" spans="2:9" hidden="1">
      <c r="B68" s="56"/>
      <c r="C68" s="47"/>
      <c r="D68" s="47"/>
      <c r="E68" s="47"/>
      <c r="F68" s="47"/>
      <c r="G68" s="61"/>
      <c r="H68" s="57"/>
    </row>
    <row r="69" spans="2:9" hidden="1">
      <c r="B69" s="47"/>
      <c r="C69" s="47"/>
      <c r="D69" s="47"/>
      <c r="E69" s="47"/>
      <c r="F69" s="47"/>
      <c r="G69" s="61"/>
      <c r="H69" s="57"/>
    </row>
    <row r="70" spans="2:9" hidden="1">
      <c r="B70" s="47"/>
      <c r="C70" s="47"/>
      <c r="D70" s="47"/>
      <c r="E70" s="47"/>
      <c r="F70" s="47"/>
      <c r="G70" s="61"/>
      <c r="H70" s="57"/>
    </row>
    <row r="71" spans="2:9" hidden="1">
      <c r="B71" s="47"/>
      <c r="C71" s="47"/>
      <c r="D71" s="47"/>
      <c r="E71" s="47"/>
      <c r="F71" s="47"/>
      <c r="G71" s="61"/>
      <c r="H71" s="57"/>
    </row>
    <row r="72" spans="2:9" hidden="1">
      <c r="B72" s="47"/>
      <c r="C72" s="14"/>
      <c r="D72" s="14"/>
      <c r="E72" s="14"/>
      <c r="F72" s="14"/>
      <c r="G72" s="14"/>
      <c r="H72" s="62"/>
    </row>
    <row r="73" spans="2:9" hidden="1">
      <c r="B73" s="60"/>
      <c r="C73" s="47"/>
      <c r="D73" s="47"/>
      <c r="E73" s="47"/>
      <c r="F73" s="47"/>
      <c r="G73" s="47"/>
      <c r="H73" s="51"/>
    </row>
    <row r="74" spans="2:9" hidden="1">
      <c r="B74" s="47"/>
      <c r="C74" s="14"/>
      <c r="D74" s="14"/>
      <c r="E74" s="14"/>
      <c r="F74" s="14"/>
      <c r="G74" s="49"/>
      <c r="H74" s="49"/>
    </row>
    <row r="75" spans="2:9" hidden="1">
      <c r="B75" s="56"/>
      <c r="C75" s="14"/>
      <c r="D75" s="14"/>
      <c r="E75" s="14"/>
      <c r="F75" s="14"/>
      <c r="G75" s="63"/>
      <c r="H75" s="64"/>
      <c r="I75" s="14"/>
    </row>
    <row r="76" spans="2:9" hidden="1">
      <c r="B76" s="47"/>
      <c r="C76" s="14"/>
      <c r="D76" s="14"/>
      <c r="E76" s="14"/>
      <c r="F76" s="14"/>
      <c r="G76" s="63"/>
      <c r="H76" s="64"/>
      <c r="I76" s="14"/>
    </row>
    <row r="77" spans="2:9" hidden="1">
      <c r="B77" s="47"/>
      <c r="C77" s="14"/>
      <c r="D77" s="14"/>
      <c r="E77" s="14"/>
      <c r="F77" s="14"/>
      <c r="G77" s="63"/>
      <c r="H77" s="65"/>
      <c r="I77" s="14"/>
    </row>
    <row r="78" spans="2:9" hidden="1">
      <c r="B78" s="47"/>
      <c r="C78" s="14"/>
      <c r="D78" s="14"/>
      <c r="E78" s="14"/>
      <c r="F78" s="14"/>
      <c r="G78" s="14"/>
      <c r="H78" s="66"/>
      <c r="I78" s="14"/>
    </row>
    <row r="79" spans="2:9" hidden="1">
      <c r="B79" s="60"/>
      <c r="C79" s="14"/>
      <c r="D79" s="14"/>
      <c r="E79" s="14"/>
      <c r="F79" s="14"/>
      <c r="G79" s="14"/>
      <c r="H79" s="66"/>
      <c r="I79" s="14"/>
    </row>
    <row r="80" spans="2:9" hidden="1">
      <c r="B80" s="60"/>
      <c r="C80" s="14"/>
      <c r="D80" s="14"/>
      <c r="E80" s="14"/>
      <c r="F80" s="14"/>
      <c r="G80" s="67"/>
      <c r="H80" s="67"/>
      <c r="I80" s="14"/>
    </row>
    <row r="81" spans="2:9" hidden="1">
      <c r="B81" s="56"/>
      <c r="C81" s="14"/>
      <c r="D81" s="14"/>
      <c r="E81" s="14"/>
      <c r="F81" s="14"/>
      <c r="G81" s="63"/>
      <c r="H81" s="68"/>
      <c r="I81" s="14"/>
    </row>
    <row r="82" spans="2:9" hidden="1">
      <c r="B82" s="47"/>
      <c r="C82" s="14"/>
      <c r="D82" s="14"/>
      <c r="E82" s="14"/>
      <c r="F82" s="14"/>
      <c r="G82" s="63"/>
      <c r="H82" s="68"/>
      <c r="I82" s="14"/>
    </row>
    <row r="83" spans="2:9" hidden="1">
      <c r="B83" s="47"/>
      <c r="C83" s="14"/>
      <c r="D83" s="14"/>
      <c r="E83" s="14"/>
      <c r="F83" s="14"/>
      <c r="G83" s="63"/>
      <c r="H83" s="68"/>
      <c r="I83" s="14"/>
    </row>
    <row r="84" spans="2:9" hidden="1">
      <c r="B84" s="47"/>
      <c r="C84" s="14"/>
      <c r="D84" s="14"/>
      <c r="E84" s="14"/>
      <c r="F84" s="14"/>
      <c r="G84" s="14"/>
      <c r="H84" s="68"/>
      <c r="I84" s="14"/>
    </row>
    <row r="85" spans="2:9" hidden="1">
      <c r="B85" s="60"/>
      <c r="C85" s="14"/>
      <c r="D85" s="14"/>
      <c r="E85" s="14"/>
      <c r="F85" s="14"/>
      <c r="G85" s="14"/>
      <c r="H85" s="69"/>
      <c r="I85" s="14"/>
    </row>
    <row r="86" spans="2:9" hidden="1">
      <c r="B86" s="47"/>
      <c r="C86" s="14"/>
      <c r="D86" s="14"/>
      <c r="E86" s="14"/>
      <c r="F86" s="14"/>
      <c r="G86" s="67"/>
      <c r="H86" s="67"/>
      <c r="I86" s="14"/>
    </row>
    <row r="87" spans="2:9" hidden="1">
      <c r="B87" s="56"/>
      <c r="C87" s="14"/>
      <c r="D87" s="14"/>
      <c r="E87" s="14"/>
      <c r="F87" s="14"/>
      <c r="G87" s="70"/>
      <c r="H87" s="57"/>
      <c r="I87" s="14"/>
    </row>
    <row r="88" spans="2:9" hidden="1">
      <c r="B88" s="47"/>
      <c r="C88" s="14"/>
      <c r="D88" s="14"/>
      <c r="E88" s="14"/>
      <c r="F88" s="14"/>
      <c r="G88" s="70"/>
      <c r="H88" s="65"/>
      <c r="I88" s="14"/>
    </row>
    <row r="89" spans="2:9" hidden="1">
      <c r="B89" s="47"/>
      <c r="C89" s="14"/>
      <c r="D89" s="14"/>
      <c r="E89" s="14"/>
      <c r="F89" s="14"/>
      <c r="G89" s="14"/>
      <c r="H89" s="14"/>
      <c r="I89" s="14"/>
    </row>
    <row r="90" spans="2:9" hidden="1">
      <c r="B90" s="71"/>
      <c r="C90" s="14"/>
      <c r="D90" s="14"/>
      <c r="E90" s="14"/>
      <c r="F90" s="14"/>
      <c r="G90" s="14"/>
      <c r="H90" s="72"/>
      <c r="I90" s="14"/>
    </row>
    <row r="91" spans="2:9" hidden="1">
      <c r="B91" s="14"/>
      <c r="C91" s="14"/>
      <c r="D91" s="14"/>
      <c r="E91" s="14"/>
      <c r="F91" s="14"/>
      <c r="G91" s="14"/>
      <c r="H91" s="14"/>
      <c r="I91" s="14"/>
    </row>
    <row r="92" spans="2:9" hidden="1">
      <c r="B92" s="14"/>
      <c r="C92" s="14"/>
      <c r="D92" s="14"/>
      <c r="E92" s="14"/>
      <c r="F92" s="14"/>
      <c r="G92" s="14"/>
      <c r="H92" s="14"/>
      <c r="I92" s="14"/>
    </row>
    <row r="93" spans="2:9" hidden="1">
      <c r="B93" s="14"/>
      <c r="C93" s="14"/>
      <c r="D93" s="14"/>
      <c r="E93" s="14"/>
      <c r="F93" s="14"/>
      <c r="G93" s="14"/>
      <c r="H93" s="14"/>
      <c r="I93" s="14"/>
    </row>
    <row r="94" spans="2:9" hidden="1">
      <c r="B94" s="14"/>
      <c r="C94" s="14"/>
      <c r="D94" s="14"/>
      <c r="E94" s="14"/>
      <c r="F94" s="14"/>
      <c r="G94" s="14"/>
      <c r="H94" s="14"/>
      <c r="I94" s="14"/>
    </row>
    <row r="95" spans="2:9" hidden="1">
      <c r="B95" s="14"/>
      <c r="C95" s="14"/>
      <c r="D95" s="14"/>
      <c r="E95" s="14"/>
      <c r="F95" s="14"/>
      <c r="G95" s="14"/>
      <c r="H95" s="14"/>
      <c r="I95" s="14"/>
    </row>
    <row r="96" spans="2:9" hidden="1">
      <c r="B96" s="14"/>
      <c r="C96" s="14"/>
      <c r="D96" s="14"/>
      <c r="E96" s="14"/>
      <c r="F96" s="14"/>
      <c r="G96" s="14"/>
      <c r="H96" s="14"/>
      <c r="I96" s="14"/>
    </row>
    <row r="97" spans="2:9" hidden="1">
      <c r="B97" s="14"/>
      <c r="C97" s="14"/>
      <c r="D97" s="14"/>
      <c r="E97" s="14"/>
      <c r="F97" s="14"/>
      <c r="G97" s="14"/>
      <c r="H97" s="14"/>
      <c r="I97" s="14"/>
    </row>
    <row r="98" spans="2:9" hidden="1">
      <c r="B98" s="14"/>
      <c r="C98" s="14"/>
      <c r="D98" s="14"/>
      <c r="E98" s="14"/>
      <c r="F98" s="14"/>
      <c r="G98" s="14"/>
      <c r="H98" s="14"/>
      <c r="I98" s="14"/>
    </row>
    <row r="99" spans="2:9" hidden="1">
      <c r="B99" s="14"/>
      <c r="C99" s="14"/>
      <c r="D99" s="14"/>
      <c r="E99" s="14"/>
      <c r="F99" s="14"/>
      <c r="G99" s="14"/>
      <c r="H99" s="73"/>
      <c r="I99" s="14"/>
    </row>
    <row r="100" spans="2:9" hidden="1">
      <c r="B100" s="14"/>
      <c r="C100" s="14"/>
      <c r="D100" s="14"/>
      <c r="E100" s="14"/>
      <c r="F100" s="14"/>
      <c r="G100" s="14"/>
      <c r="H100" s="14"/>
      <c r="I100" s="14"/>
    </row>
    <row r="101" spans="2:9" hidden="1">
      <c r="B101" s="71"/>
      <c r="C101" s="14"/>
      <c r="D101" s="14"/>
      <c r="E101" s="14"/>
      <c r="F101" s="14"/>
      <c r="G101" s="74"/>
      <c r="H101" s="14"/>
      <c r="I101" s="14"/>
    </row>
    <row r="102" spans="2:9" hidden="1">
      <c r="B102" s="47"/>
      <c r="C102" s="14"/>
      <c r="D102" s="14"/>
      <c r="E102" s="14"/>
      <c r="F102" s="14"/>
      <c r="G102" s="14"/>
      <c r="H102" s="14"/>
      <c r="I102" s="14"/>
    </row>
    <row r="103" spans="2:9" hidden="1">
      <c r="B103" s="14"/>
      <c r="C103" s="14"/>
      <c r="D103" s="14"/>
      <c r="E103" s="14"/>
      <c r="F103" s="14"/>
      <c r="G103" s="67"/>
      <c r="H103" s="14"/>
      <c r="I103" s="14"/>
    </row>
    <row r="104" spans="2:9" hidden="1">
      <c r="B104" s="75"/>
      <c r="C104" s="14"/>
      <c r="D104" s="14"/>
      <c r="E104" s="14"/>
      <c r="F104" s="14"/>
      <c r="G104" s="76"/>
      <c r="H104" s="14"/>
      <c r="I104" s="14"/>
    </row>
    <row r="105" spans="2:9" hidden="1">
      <c r="B105" s="77"/>
      <c r="C105" s="14"/>
      <c r="D105" s="14"/>
      <c r="E105" s="14"/>
      <c r="F105" s="14"/>
      <c r="G105" s="76"/>
      <c r="H105" s="14"/>
      <c r="I105" s="14"/>
    </row>
    <row r="106" spans="2:9" hidden="1">
      <c r="B106" s="77"/>
      <c r="C106" s="14"/>
      <c r="D106" s="14"/>
      <c r="E106" s="14"/>
      <c r="F106" s="14"/>
      <c r="G106" s="76"/>
      <c r="H106" s="14"/>
      <c r="I106" s="14"/>
    </row>
    <row r="107" spans="2:9" hidden="1">
      <c r="B107" s="77"/>
      <c r="C107" s="14"/>
      <c r="D107" s="14"/>
      <c r="E107" s="14"/>
      <c r="F107" s="14"/>
      <c r="G107" s="76"/>
      <c r="H107" s="14"/>
      <c r="I107" s="14"/>
    </row>
    <row r="108" spans="2:9" hidden="1">
      <c r="B108" s="77"/>
      <c r="C108" s="14"/>
      <c r="D108" s="14"/>
      <c r="E108" s="14"/>
      <c r="F108" s="14"/>
      <c r="G108" s="14"/>
      <c r="H108" s="78"/>
    </row>
    <row r="109" spans="2:9" hidden="1">
      <c r="B109" s="47"/>
      <c r="C109" s="47"/>
      <c r="D109" s="47"/>
      <c r="E109" s="47"/>
      <c r="F109" s="47"/>
      <c r="G109" s="50"/>
      <c r="H109" s="47"/>
    </row>
    <row r="110" spans="2:9" hidden="1">
      <c r="B110" s="47"/>
      <c r="C110" s="14"/>
      <c r="D110" s="14"/>
      <c r="E110" s="14"/>
      <c r="F110" s="14"/>
      <c r="G110" s="14"/>
      <c r="H110" s="79"/>
    </row>
    <row r="111" spans="2:9" hidden="1">
      <c r="B111" s="80"/>
      <c r="C111" s="14"/>
      <c r="D111" s="14"/>
      <c r="E111" s="14"/>
      <c r="F111" s="14"/>
      <c r="G111" s="14"/>
      <c r="H111" s="81"/>
    </row>
    <row r="112" spans="2:9" hidden="1">
      <c r="B112" s="14"/>
    </row>
    <row r="113" s="27" customFormat="1" hidden="1"/>
    <row r="114" s="27" customFormat="1" hidden="1"/>
    <row r="115" s="27" customFormat="1" hidden="1"/>
    <row r="116" s="27" customFormat="1" ht="10.5" hidden="1" customHeight="1"/>
  </sheetData>
  <sheetProtection sheet="1" objects="1" scenarios="1"/>
  <protectedRanges>
    <protectedRange sqref="G26" name="Range1"/>
  </protectedRanges>
  <mergeCells count="6">
    <mergeCell ref="L39:M39"/>
    <mergeCell ref="B1:I1"/>
    <mergeCell ref="C39:I39"/>
    <mergeCell ref="C43:C50"/>
    <mergeCell ref="B43:B50"/>
    <mergeCell ref="C42:I42"/>
  </mergeCells>
  <conditionalFormatting sqref="H37:H38">
    <cfRule type="cellIs" dxfId="11" priority="1" operator="lessThan">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7E769-634E-4AAA-ABB7-E844BB53C156}">
  <dimension ref="A1:Q104"/>
  <sheetViews>
    <sheetView showGridLines="0" workbookViewId="0"/>
  </sheetViews>
  <sheetFormatPr defaultColWidth="0" defaultRowHeight="0" customHeight="1" zeroHeight="1"/>
  <cols>
    <col min="1" max="2" width="3.28515625" style="27" customWidth="1"/>
    <col min="3" max="3" width="27.140625" style="27" customWidth="1"/>
    <col min="4" max="4" width="18.7109375" style="27" customWidth="1"/>
    <col min="5" max="5" width="16.140625" style="27" customWidth="1"/>
    <col min="6" max="6" width="19.5703125" style="27" customWidth="1"/>
    <col min="7" max="7" width="21.28515625" style="27" customWidth="1"/>
    <col min="8" max="8" width="15.85546875" style="27" customWidth="1"/>
    <col min="9" max="9" width="3.28515625" style="27" customWidth="1"/>
    <col min="10" max="10" width="16.42578125" style="27" bestFit="1" customWidth="1"/>
    <col min="11" max="11" width="18" style="27" customWidth="1"/>
    <col min="12" max="12" width="18.42578125" style="27" customWidth="1"/>
    <col min="13" max="13" width="26.140625" style="27" customWidth="1"/>
    <col min="14" max="14" width="3.28515625" style="27" customWidth="1"/>
    <col min="15" max="16384" width="5.28515625" style="27" hidden="1"/>
  </cols>
  <sheetData>
    <row r="1" spans="1:17" ht="21">
      <c r="A1" s="24"/>
      <c r="B1" s="395" t="s">
        <v>163</v>
      </c>
      <c r="C1" s="396"/>
      <c r="D1" s="396"/>
      <c r="E1" s="396"/>
      <c r="F1" s="396"/>
      <c r="G1" s="396"/>
      <c r="H1" s="109"/>
      <c r="J1" s="237" t="s">
        <v>164</v>
      </c>
      <c r="K1" s="238" t="s">
        <v>165</v>
      </c>
      <c r="L1" s="238" t="s">
        <v>166</v>
      </c>
      <c r="M1" s="239" t="s">
        <v>365</v>
      </c>
    </row>
    <row r="2" spans="1:17" ht="16.5" customHeight="1">
      <c r="A2" s="24"/>
      <c r="B2" s="26"/>
      <c r="C2" s="26" t="s">
        <v>164</v>
      </c>
      <c r="D2" s="292" t="s">
        <v>177</v>
      </c>
      <c r="E2" s="398" t="str">
        <f>IF(D2=J2,"See retail cuts sheets before continuing","")</f>
        <v/>
      </c>
      <c r="F2" s="398"/>
      <c r="G2" s="398"/>
      <c r="H2" s="87"/>
      <c r="I2" s="24"/>
      <c r="J2" s="26" t="s">
        <v>167</v>
      </c>
      <c r="K2" s="83" t="s">
        <v>168</v>
      </c>
      <c r="L2" s="84"/>
      <c r="M2" s="267">
        <f>'Marketing cost calculator'!L19</f>
        <v>1023.3333333333333</v>
      </c>
      <c r="O2" s="27" t="s">
        <v>169</v>
      </c>
      <c r="P2" s="27" t="s">
        <v>170</v>
      </c>
      <c r="Q2" s="27" t="s">
        <v>171</v>
      </c>
    </row>
    <row r="3" spans="1:17" ht="16.5" customHeight="1">
      <c r="A3" s="24"/>
      <c r="B3" s="26"/>
      <c r="C3" s="26"/>
      <c r="D3" s="14"/>
      <c r="E3" s="26"/>
      <c r="F3" s="26" t="s">
        <v>172</v>
      </c>
      <c r="G3" s="85">
        <f>IF(D3=Q3,AVERAGE(Inputs!I30:I30)*(Inputs!D5-0.05),Inputs!D5*AVERAGE(Inputs!I30:I30))*(1-Inputs!D6)</f>
        <v>854.976</v>
      </c>
      <c r="H3" s="85"/>
      <c r="I3" s="24"/>
      <c r="J3" s="26" t="s">
        <v>173</v>
      </c>
      <c r="K3" s="335">
        <v>2.4500000000000002</v>
      </c>
      <c r="L3" s="333">
        <f>K3*AVERAGE(Inputs!$I$30:$I$30)</f>
        <v>3577.0000000000005</v>
      </c>
      <c r="M3" s="267">
        <f>'Marketing cost calculator'!C15</f>
        <v>183.33333333333331</v>
      </c>
      <c r="O3" s="27" t="s">
        <v>174</v>
      </c>
      <c r="P3" s="27" t="s">
        <v>175</v>
      </c>
      <c r="Q3" s="27" t="s">
        <v>176</v>
      </c>
    </row>
    <row r="4" spans="1:17" ht="16.5" customHeight="1">
      <c r="A4" s="24"/>
      <c r="B4" s="26"/>
      <c r="C4" s="87"/>
      <c r="D4" s="26"/>
      <c r="E4" s="399" t="str">
        <f>IF(D2=J2,"Approx. weight of beef sold","")</f>
        <v/>
      </c>
      <c r="F4" s="399"/>
      <c r="G4" s="88" t="str">
        <f>IF(D2=J2,'Retail cuts pricing'!D23,"")</f>
        <v/>
      </c>
      <c r="H4" s="88"/>
      <c r="J4" s="26" t="s">
        <v>177</v>
      </c>
      <c r="K4" s="335">
        <v>2.6</v>
      </c>
      <c r="L4" s="333">
        <f>K4*AVERAGE(Inputs!$I$30:$I$30)</f>
        <v>3796</v>
      </c>
      <c r="M4" s="267">
        <f>'Marketing cost calculator'!F15</f>
        <v>256.66666666666669</v>
      </c>
    </row>
    <row r="5" spans="1:17" ht="16.5" customHeight="1">
      <c r="A5" s="24"/>
      <c r="B5" s="25"/>
      <c r="C5" s="25"/>
      <c r="D5" s="25"/>
      <c r="E5" s="25"/>
      <c r="F5" s="89"/>
      <c r="G5" s="90"/>
      <c r="H5" s="293"/>
      <c r="I5" s="24"/>
      <c r="J5" s="38" t="s">
        <v>178</v>
      </c>
      <c r="K5" s="336">
        <v>2.75</v>
      </c>
      <c r="L5" s="334">
        <f>K5*AVERAGE(Inputs!$I$30:$I$30)</f>
        <v>4015</v>
      </c>
      <c r="M5" s="277">
        <f>'Marketing cost calculator'!I15</f>
        <v>386.66666666666663</v>
      </c>
    </row>
    <row r="6" spans="1:17" ht="16.5" customHeight="1">
      <c r="A6" s="24"/>
      <c r="B6" s="261" t="s">
        <v>132</v>
      </c>
      <c r="C6" s="262"/>
      <c r="D6" s="262"/>
      <c r="E6" s="262"/>
      <c r="F6" s="262"/>
      <c r="G6" s="91" t="s">
        <v>133</v>
      </c>
      <c r="H6" s="294" t="s">
        <v>134</v>
      </c>
      <c r="I6" s="24"/>
      <c r="J6" s="24"/>
      <c r="K6" s="24"/>
      <c r="L6" s="24"/>
      <c r="M6" s="24"/>
    </row>
    <row r="7" spans="1:17" ht="16.5" customHeight="1">
      <c r="A7" s="24"/>
      <c r="B7" s="255" t="s">
        <v>135</v>
      </c>
      <c r="C7" s="28" t="s">
        <v>179</v>
      </c>
      <c r="D7" s="26"/>
      <c r="E7" s="28"/>
      <c r="F7" s="28"/>
      <c r="G7" s="266">
        <f>IF($D$2=$J$3,$L$3,IF($D$2=$J$4,$L$4,IF(D2=J2,'Retail cuts pricing'!F23,$L$5)))</f>
        <v>3796</v>
      </c>
      <c r="H7" s="295"/>
      <c r="I7" s="24"/>
      <c r="J7" s="24"/>
      <c r="K7" s="24"/>
      <c r="L7" s="24"/>
      <c r="M7" s="24"/>
    </row>
    <row r="8" spans="1:17" ht="16.5" customHeight="1">
      <c r="A8" s="24"/>
      <c r="B8" s="255" t="s">
        <v>137</v>
      </c>
      <c r="C8" s="28" t="s">
        <v>138</v>
      </c>
      <c r="D8" s="28"/>
      <c r="E8" s="28"/>
      <c r="F8" s="28"/>
      <c r="G8" s="276">
        <f>(Inputs!I15*Inputs!I16*Inputs!D7/100)+Inputs!I9/Inputs!I10/Inputs!I13*Inputs!I12/3/Inputs!I9</f>
        <v>275.83333333333337</v>
      </c>
      <c r="H8" s="266"/>
      <c r="I8" s="24"/>
      <c r="J8" s="236" t="s">
        <v>180</v>
      </c>
      <c r="K8" s="236"/>
      <c r="L8" s="236"/>
      <c r="M8" s="24"/>
    </row>
    <row r="9" spans="1:17" ht="16.5" customHeight="1">
      <c r="A9" s="24"/>
      <c r="B9" s="25"/>
      <c r="C9" s="31"/>
      <c r="D9" s="89"/>
      <c r="E9" s="25"/>
      <c r="F9" s="31" t="s">
        <v>139</v>
      </c>
      <c r="G9" s="296">
        <f>SUM(G7:G8)</f>
        <v>4071.8333333333335</v>
      </c>
      <c r="H9" s="297">
        <f>G9/AVERAGE(Inputs!$I$30:$I$30)</f>
        <v>2.7889269406392696</v>
      </c>
      <c r="I9" s="24"/>
      <c r="J9" s="92" t="s">
        <v>181</v>
      </c>
      <c r="K9" s="92"/>
      <c r="L9" s="247">
        <v>132</v>
      </c>
      <c r="M9" s="24"/>
    </row>
    <row r="10" spans="1:17" ht="16.5" customHeight="1">
      <c r="A10" s="24"/>
      <c r="B10" s="261" t="s">
        <v>140</v>
      </c>
      <c r="C10" s="262"/>
      <c r="D10" s="262"/>
      <c r="E10" s="262"/>
      <c r="F10" s="262"/>
      <c r="G10" s="298"/>
      <c r="H10" s="297"/>
      <c r="I10" s="24"/>
      <c r="J10" s="92" t="s">
        <v>182</v>
      </c>
      <c r="K10" s="92"/>
      <c r="L10" s="93">
        <v>3</v>
      </c>
      <c r="M10" s="24"/>
    </row>
    <row r="11" spans="1:17" ht="16.5" customHeight="1">
      <c r="A11" s="24"/>
      <c r="B11" s="44"/>
      <c r="C11" s="28" t="s">
        <v>183</v>
      </c>
      <c r="D11" s="28"/>
      <c r="E11" s="28"/>
      <c r="F11" s="28"/>
      <c r="G11" s="274">
        <f>'Budget - Commercial Sale'!H24-'Budget - Commercial Sale'!H19-'Budget - Commercial Sale'!H23</f>
        <v>2692.8068299614215</v>
      </c>
      <c r="H11" s="299">
        <f>G11/AVERAGE(Inputs!$I$30:$I$30)</f>
        <v>1.8443882396996039</v>
      </c>
      <c r="I11" s="94"/>
      <c r="J11" s="397" t="s">
        <v>184</v>
      </c>
      <c r="K11" s="397"/>
      <c r="L11" s="248">
        <v>75</v>
      </c>
      <c r="M11" s="24"/>
    </row>
    <row r="12" spans="1:17" ht="16.5" customHeight="1">
      <c r="A12" s="24"/>
      <c r="B12" s="44"/>
      <c r="C12" s="28" t="str">
        <f>IF(D2=J2,"Less processing costs","")</f>
        <v/>
      </c>
      <c r="D12" s="28" t="str">
        <f>IF(D2=J2,"Enter your processing costs on 'Retail cuts pricing' sheet","")</f>
        <v/>
      </c>
      <c r="E12" s="28"/>
      <c r="F12" s="28"/>
      <c r="G12" s="274">
        <f>IF(D2=J2,'Retail cuts pricing'!L10,0)</f>
        <v>0</v>
      </c>
      <c r="H12" s="299">
        <f>G12/AVERAGE(Inputs!$I$30:$I$30)</f>
        <v>0</v>
      </c>
      <c r="I12" s="95"/>
      <c r="K12" s="95"/>
      <c r="L12" s="95"/>
      <c r="M12" s="95"/>
    </row>
    <row r="13" spans="1:17" ht="16.5" customHeight="1">
      <c r="A13" s="24"/>
      <c r="B13" s="28"/>
      <c r="C13" s="28" t="s">
        <v>147</v>
      </c>
      <c r="D13" s="28"/>
      <c r="E13" s="28"/>
      <c r="F13" s="28"/>
      <c r="G13" s="266">
        <f>VLOOKUP(D2,J2:M5,4,FALSE)</f>
        <v>256.66666666666669</v>
      </c>
      <c r="H13" s="299">
        <f>G13/AVERAGE(Inputs!$I$30:$I$30)</f>
        <v>0.17579908675799089</v>
      </c>
      <c r="I13" s="95"/>
      <c r="K13" s="95"/>
      <c r="L13" s="95"/>
      <c r="M13" s="95"/>
    </row>
    <row r="14" spans="1:17" ht="16.5" customHeight="1">
      <c r="A14" s="24"/>
      <c r="B14" s="33"/>
      <c r="C14" s="28" t="s">
        <v>185</v>
      </c>
      <c r="D14" s="33"/>
      <c r="E14" s="33"/>
      <c r="F14" s="33"/>
      <c r="G14" s="266">
        <f>IF(D2=J2,L9/L10,0)</f>
        <v>0</v>
      </c>
      <c r="H14" s="299">
        <f>G14/AVERAGE(Inputs!$I$30:$I$30)</f>
        <v>0</v>
      </c>
      <c r="I14" s="94"/>
      <c r="J14" s="96"/>
      <c r="K14" s="96"/>
      <c r="L14" s="96"/>
    </row>
    <row r="15" spans="1:17" ht="16.5" customHeight="1">
      <c r="A15" s="24"/>
      <c r="B15" s="28"/>
      <c r="C15" s="28" t="s">
        <v>186</v>
      </c>
      <c r="D15" s="28"/>
      <c r="E15" s="28"/>
      <c r="F15" s="28"/>
      <c r="G15" s="266">
        <f>IF(D2=J2,L11,0)</f>
        <v>0</v>
      </c>
      <c r="H15" s="299">
        <f>G15/AVERAGE(Inputs!$I$30:$I$30)</f>
        <v>0</v>
      </c>
      <c r="I15" s="96"/>
      <c r="J15" s="96"/>
      <c r="K15" s="96"/>
      <c r="L15" s="96"/>
      <c r="M15" s="24"/>
    </row>
    <row r="16" spans="1:17" ht="16.5" customHeight="1">
      <c r="A16" s="24"/>
      <c r="B16" s="28"/>
      <c r="C16" s="28" t="s">
        <v>187</v>
      </c>
      <c r="D16" s="28"/>
      <c r="E16" s="28"/>
      <c r="F16" s="28"/>
      <c r="G16" s="266">
        <f>SUM(Inputs!D39:F39)</f>
        <v>10</v>
      </c>
      <c r="H16" s="299">
        <f>G16/AVERAGE(Inputs!$I$30:$I$30)</f>
        <v>6.8493150684931503E-3</v>
      </c>
      <c r="I16" s="96"/>
      <c r="J16" s="24"/>
      <c r="K16" s="24"/>
      <c r="L16" s="24"/>
      <c r="M16" s="24"/>
    </row>
    <row r="17" spans="1:13" ht="16.5" customHeight="1">
      <c r="A17" s="24"/>
      <c r="B17" s="28"/>
      <c r="C17" s="28" t="str">
        <f>"Operating interest"</f>
        <v>Operating interest</v>
      </c>
      <c r="D17" s="28"/>
      <c r="E17" s="28"/>
      <c r="F17" s="28"/>
      <c r="G17" s="276">
        <f>(SUM(G11:G16)/2)*(Inputs!$D$25*(SUM(Inputs!I4:I6)/365))</f>
        <v>158.71696903149265</v>
      </c>
      <c r="H17" s="299">
        <f>G17/AVERAGE(Inputs!$I$30:$I$30)</f>
        <v>0.10871025276129634</v>
      </c>
      <c r="I17" s="24"/>
      <c r="J17" s="24"/>
      <c r="K17" s="24"/>
      <c r="L17" s="24"/>
      <c r="M17" s="24"/>
    </row>
    <row r="18" spans="1:13" ht="16.5" customHeight="1">
      <c r="A18" s="24"/>
      <c r="B18" s="25"/>
      <c r="C18" s="38"/>
      <c r="D18" s="89"/>
      <c r="E18" s="38"/>
      <c r="F18" s="39" t="s">
        <v>150</v>
      </c>
      <c r="G18" s="300">
        <f>SUM(G11:G17)</f>
        <v>3118.1904656595807</v>
      </c>
      <c r="H18" s="301">
        <f>G18/AVERAGE(Inputs!$I$30:$I$30)</f>
        <v>2.1357468942873838</v>
      </c>
      <c r="I18" s="24"/>
      <c r="J18" s="24"/>
      <c r="K18" s="24"/>
      <c r="L18" s="95"/>
      <c r="M18" s="24"/>
    </row>
    <row r="19" spans="1:13" ht="16.5" customHeight="1">
      <c r="A19" s="24"/>
      <c r="B19" s="261" t="s">
        <v>151</v>
      </c>
      <c r="C19" s="302"/>
      <c r="D19" s="261"/>
      <c r="E19" s="302"/>
      <c r="F19" s="302"/>
      <c r="G19" s="303"/>
      <c r="H19" s="304"/>
      <c r="I19" s="24"/>
      <c r="J19" s="24"/>
      <c r="K19" s="24"/>
      <c r="L19" s="24"/>
      <c r="M19" s="24"/>
    </row>
    <row r="20" spans="1:13" ht="16.5" customHeight="1">
      <c r="A20" s="24"/>
      <c r="B20" s="259" t="s">
        <v>153</v>
      </c>
      <c r="C20" s="47" t="s">
        <v>152</v>
      </c>
      <c r="D20" s="28"/>
      <c r="E20" s="35"/>
      <c r="F20" s="28"/>
      <c r="G20" s="275">
        <f>'Budget - Commercial Sale'!H27+IF(D2=J2,Inputs!F55/3)</f>
        <v>21.818181818181817</v>
      </c>
      <c r="H20" s="299">
        <f>G20/AVERAGE(Inputs!$I$30:$I$30)</f>
        <v>1.4943960149439601E-2</v>
      </c>
      <c r="I20" s="400"/>
      <c r="J20" s="400"/>
      <c r="K20" s="24"/>
      <c r="L20" s="24"/>
      <c r="M20" s="24"/>
    </row>
    <row r="21" spans="1:13" ht="16.5" customHeight="1">
      <c r="A21" s="24"/>
      <c r="B21" s="259"/>
      <c r="C21" s="28" t="s">
        <v>154</v>
      </c>
      <c r="D21" s="28"/>
      <c r="E21" s="35"/>
      <c r="F21" s="28"/>
      <c r="G21" s="275">
        <f>((Inputs!$I$11+Inputs!$D$7*Inputs!$I$16/100)+(Inputs!$I$12/Inputs!$I$10+Inputs!$D$8/25))/2*Inputs!$D$27</f>
        <v>198.62500000000003</v>
      </c>
      <c r="H21" s="299">
        <f>G21/AVERAGE(Inputs!$I$30:$I$30)</f>
        <v>0.13604452054794522</v>
      </c>
      <c r="I21" s="400"/>
      <c r="J21" s="400"/>
      <c r="K21" s="24"/>
      <c r="L21" s="24"/>
      <c r="M21" s="24"/>
    </row>
    <row r="22" spans="1:13" ht="16.5" customHeight="1">
      <c r="A22" s="24"/>
      <c r="B22" s="28"/>
      <c r="C22" s="28" t="s">
        <v>155</v>
      </c>
      <c r="D22" s="28"/>
      <c r="E22" s="35"/>
      <c r="F22" s="28"/>
      <c r="G22" s="275">
        <f>'Budget - Commercial Sale'!H29+IF('Budget - Freezer Beef'!D2='Budget - Freezer Beef'!J2,Inputs!C55/2*Inputs!D27/'Budget - Freezer Beef'!L10,0)</f>
        <v>25.454545454545457</v>
      </c>
      <c r="H22" s="299">
        <f>G22/AVERAGE(Inputs!$I$30:$I$30)</f>
        <v>1.7434620174346202E-2</v>
      </c>
      <c r="I22" s="400"/>
      <c r="J22" s="400"/>
      <c r="K22" s="24"/>
      <c r="L22" s="24"/>
      <c r="M22" s="24"/>
    </row>
    <row r="23" spans="1:13" ht="16.5" customHeight="1">
      <c r="A23" s="24"/>
      <c r="B23" s="28"/>
      <c r="C23" s="28" t="s">
        <v>156</v>
      </c>
      <c r="D23" s="28"/>
      <c r="E23" s="35"/>
      <c r="F23" s="28"/>
      <c r="G23" s="280">
        <f>SUM($K$39:$K$42)</f>
        <v>79.372727272727275</v>
      </c>
      <c r="H23" s="299">
        <f>G23/AVERAGE(Inputs!$I$30:$I$30)</f>
        <v>5.4364881693648816E-2</v>
      </c>
      <c r="I23" s="24"/>
      <c r="J23" s="24"/>
      <c r="K23" s="24"/>
      <c r="L23" s="24"/>
      <c r="M23" s="24"/>
    </row>
    <row r="24" spans="1:13" ht="16.5" customHeight="1">
      <c r="A24" s="24"/>
      <c r="B24" s="31"/>
      <c r="C24" s="25"/>
      <c r="D24" s="89"/>
      <c r="E24" s="43"/>
      <c r="F24" s="32" t="s">
        <v>157</v>
      </c>
      <c r="G24" s="305">
        <f>SUM(G20:G23)</f>
        <v>325.27045454545458</v>
      </c>
      <c r="H24" s="297">
        <f>G24/AVERAGE(Inputs!$I$30:$I$30)</f>
        <v>0.22278798256537985</v>
      </c>
      <c r="I24" s="24"/>
      <c r="J24" s="24"/>
      <c r="K24" s="24"/>
      <c r="L24" s="24"/>
      <c r="M24" s="24"/>
    </row>
    <row r="25" spans="1:13" ht="16.5" customHeight="1">
      <c r="A25" s="24"/>
      <c r="B25" s="28"/>
      <c r="C25" s="28"/>
      <c r="D25" s="28"/>
      <c r="E25" s="30"/>
      <c r="F25" s="28"/>
      <c r="G25" s="275"/>
      <c r="H25" s="275"/>
      <c r="I25" s="24"/>
      <c r="J25" s="24"/>
      <c r="K25" s="24"/>
      <c r="L25" s="24"/>
      <c r="M25" s="24"/>
    </row>
    <row r="26" spans="1:13" ht="16.5" customHeight="1">
      <c r="A26" s="24"/>
      <c r="B26" s="28"/>
      <c r="C26" s="28"/>
      <c r="D26" s="28"/>
      <c r="E26" s="30"/>
      <c r="F26" s="254" t="s">
        <v>372</v>
      </c>
      <c r="G26" s="283">
        <f>G27-G13*0.5-G20-G21-G22-G23-'Budget - Commercial Sale'!H13</f>
        <v>2694.3015767706911</v>
      </c>
      <c r="H26" s="286">
        <f>G26/AVERAGE(Inputs!$I$30:$I$30)</f>
        <v>1.8454120388840349</v>
      </c>
      <c r="I26" s="24"/>
      <c r="J26" s="24"/>
      <c r="K26" s="24"/>
      <c r="L26" s="24"/>
      <c r="M26" s="24"/>
    </row>
    <row r="27" spans="1:13" ht="16.5" customHeight="1">
      <c r="A27" s="24"/>
      <c r="B27" s="25"/>
      <c r="C27" s="25"/>
      <c r="D27" s="89"/>
      <c r="E27" s="90"/>
      <c r="F27" s="32" t="s">
        <v>373</v>
      </c>
      <c r="G27" s="287">
        <f>G24+G18</f>
        <v>3443.4609202050351</v>
      </c>
      <c r="H27" s="288">
        <f>G27/AVERAGE(Inputs!$I$30:$I$30)</f>
        <v>2.3585348768527639</v>
      </c>
      <c r="I27" s="24"/>
      <c r="J27" s="24"/>
      <c r="K27" s="24"/>
      <c r="L27" s="24"/>
      <c r="M27" s="24"/>
    </row>
    <row r="28" spans="1:13" ht="16.5" customHeight="1">
      <c r="A28" s="24"/>
      <c r="B28" s="28"/>
      <c r="C28" s="80" t="s">
        <v>374</v>
      </c>
      <c r="E28" s="24"/>
      <c r="F28" s="254"/>
      <c r="G28" s="289">
        <f>G9-G26</f>
        <v>1377.5317565626424</v>
      </c>
      <c r="H28" s="286">
        <f>G28/Inputs!$I$30</f>
        <v>0.94351490175523456</v>
      </c>
      <c r="I28" s="24"/>
      <c r="J28" s="24"/>
      <c r="K28" s="24"/>
      <c r="L28" s="24"/>
      <c r="M28" s="24"/>
    </row>
    <row r="29" spans="1:13" ht="16.5" customHeight="1">
      <c r="A29" s="24"/>
      <c r="B29" s="28"/>
      <c r="C29" s="269" t="s">
        <v>375</v>
      </c>
      <c r="D29" s="44"/>
      <c r="E29" s="24"/>
      <c r="F29" s="28"/>
      <c r="G29" s="272">
        <f>G9-G18</f>
        <v>953.64286767375279</v>
      </c>
      <c r="H29" s="286">
        <f>G29/Inputs!$I$30</f>
        <v>0.65318004635188542</v>
      </c>
      <c r="I29" s="24"/>
      <c r="J29" s="24"/>
      <c r="K29" s="24"/>
      <c r="L29" s="24"/>
      <c r="M29" s="24"/>
    </row>
    <row r="30" spans="1:13" ht="16.5" customHeight="1">
      <c r="A30" s="24"/>
      <c r="B30" s="28"/>
      <c r="C30" s="269" t="s">
        <v>376</v>
      </c>
      <c r="D30" s="44"/>
      <c r="E30" s="24"/>
      <c r="F30" s="28"/>
      <c r="G30" s="272">
        <f>G9-G24-G18</f>
        <v>628.37241312829838</v>
      </c>
      <c r="H30" s="286">
        <f>G30/Inputs!$I$30</f>
        <v>0.43039206378650574</v>
      </c>
      <c r="I30" s="24"/>
      <c r="J30" s="24"/>
      <c r="K30" s="24"/>
      <c r="L30" s="24"/>
      <c r="M30" s="24"/>
    </row>
    <row r="31" spans="1:13" ht="16.5" customHeight="1">
      <c r="A31" s="24"/>
      <c r="B31" s="262"/>
      <c r="C31" s="261" t="s">
        <v>379</v>
      </c>
      <c r="D31" s="262"/>
      <c r="E31" s="290"/>
      <c r="F31" s="291"/>
      <c r="G31" s="262"/>
      <c r="H31" s="285">
        <f>G26/G3</f>
        <v>3.1513183724112621</v>
      </c>
      <c r="I31" s="24"/>
      <c r="J31" s="24"/>
      <c r="K31" s="24"/>
      <c r="L31" s="24"/>
      <c r="M31" s="24"/>
    </row>
    <row r="32" spans="1:13" ht="16.5" customHeight="1">
      <c r="A32" s="24"/>
      <c r="B32" s="28"/>
      <c r="C32" s="28"/>
      <c r="D32" s="28"/>
      <c r="E32" s="28"/>
      <c r="F32" s="28"/>
      <c r="G32" s="28"/>
      <c r="H32" s="28"/>
      <c r="I32" s="24"/>
      <c r="J32" s="24"/>
      <c r="K32" s="24"/>
      <c r="L32" s="24"/>
      <c r="M32" s="24"/>
    </row>
    <row r="33" spans="1:13" ht="16.5" hidden="1" customHeight="1">
      <c r="A33" s="24"/>
      <c r="B33" s="97"/>
      <c r="C33" s="26"/>
      <c r="D33" s="26"/>
      <c r="E33" s="26"/>
      <c r="F33" s="26"/>
      <c r="G33" s="26"/>
      <c r="H33" s="26"/>
      <c r="I33" s="24"/>
      <c r="J33" s="24"/>
      <c r="K33" s="24"/>
      <c r="L33" s="24"/>
      <c r="M33" s="24"/>
    </row>
    <row r="34" spans="1:13" ht="16.5" hidden="1" customHeight="1">
      <c r="A34" s="24"/>
      <c r="B34" s="47"/>
      <c r="C34" s="47"/>
      <c r="D34" s="47"/>
      <c r="E34" s="14"/>
      <c r="F34" s="14"/>
      <c r="G34" s="47"/>
      <c r="H34" s="47"/>
      <c r="I34" s="24"/>
      <c r="J34" s="24"/>
      <c r="K34" s="24"/>
      <c r="L34" s="24"/>
      <c r="M34" s="24"/>
    </row>
    <row r="35" spans="1:13" ht="16.5" hidden="1" customHeight="1">
      <c r="A35" s="24"/>
      <c r="B35" s="47"/>
      <c r="C35" s="47"/>
      <c r="D35" s="47"/>
      <c r="E35" s="14"/>
      <c r="F35" s="14"/>
      <c r="G35" s="47"/>
      <c r="H35" s="47"/>
      <c r="I35" s="24"/>
    </row>
    <row r="36" spans="1:13" ht="16.5" hidden="1" customHeight="1">
      <c r="B36" s="47"/>
      <c r="C36" s="47"/>
      <c r="D36" s="47"/>
      <c r="E36" s="14"/>
      <c r="F36" s="14"/>
      <c r="G36" s="47"/>
      <c r="H36" s="47"/>
    </row>
    <row r="37" spans="1:13" ht="16.5" hidden="1" customHeight="1">
      <c r="B37" s="47"/>
      <c r="C37" s="47"/>
      <c r="D37" s="47"/>
      <c r="E37" s="14"/>
      <c r="F37" s="14"/>
      <c r="G37" s="47"/>
      <c r="H37" s="47"/>
    </row>
    <row r="38" spans="1:13" ht="16.5" hidden="1" customHeight="1">
      <c r="B38" s="47"/>
      <c r="C38" s="47"/>
      <c r="D38" s="47"/>
      <c r="E38" s="14"/>
      <c r="F38" s="14"/>
      <c r="G38" s="47"/>
      <c r="H38" s="47"/>
      <c r="J38" s="387" t="s">
        <v>158</v>
      </c>
      <c r="K38" s="387"/>
    </row>
    <row r="39" spans="1:13" ht="16.5" hidden="1" customHeight="1">
      <c r="B39" s="47"/>
      <c r="C39" s="47"/>
      <c r="D39" s="47"/>
      <c r="E39" s="14"/>
      <c r="F39" s="14"/>
      <c r="G39" s="47"/>
      <c r="H39" s="47"/>
      <c r="J39" s="27" t="s">
        <v>159</v>
      </c>
      <c r="K39" s="46">
        <f>Inputs!D29*(Inputs!I11+(Inputs!I12/Inputs!I10))/(Inputs!I18-Inputs!I19-Inputs!I20)</f>
        <v>42.045454545454547</v>
      </c>
    </row>
    <row r="40" spans="1:13" ht="16.5" hidden="1" customHeight="1">
      <c r="B40" s="47"/>
      <c r="C40" s="47"/>
      <c r="D40" s="47"/>
      <c r="E40" s="14"/>
      <c r="F40" s="14"/>
      <c r="G40" s="47"/>
      <c r="H40" s="47"/>
      <c r="J40" s="27" t="s">
        <v>160</v>
      </c>
      <c r="K40" s="46">
        <f>(Inputs!D30*(SUM(Inputs!C52:C54)+IF(D2=J2,Inputs!C55,0))/Inputs!I9)/(Inputs!I18-Inputs!I19-Inputs!I20)</f>
        <v>1.8181818181818183</v>
      </c>
    </row>
    <row r="41" spans="1:13" ht="16.5" hidden="1" customHeight="1">
      <c r="B41" s="47"/>
      <c r="C41" s="47"/>
      <c r="D41" s="47"/>
      <c r="E41" s="14"/>
      <c r="F41" s="14"/>
      <c r="G41" s="47"/>
      <c r="H41" s="47"/>
      <c r="J41" s="27" t="s">
        <v>161</v>
      </c>
      <c r="K41" s="46">
        <f>Inputs!D28*(Inputs!I11+(Inputs!I12/Inputs!I10))/(Inputs!I18-Inputs!I19-Inputs!I20)</f>
        <v>30.272727272727273</v>
      </c>
    </row>
    <row r="42" spans="1:13" ht="16.5" hidden="1" customHeight="1">
      <c r="B42" s="14"/>
      <c r="C42" s="47"/>
      <c r="D42" s="47"/>
      <c r="E42" s="14"/>
      <c r="F42" s="49"/>
      <c r="G42" s="49"/>
      <c r="H42" s="49"/>
      <c r="J42" s="27" t="s">
        <v>162</v>
      </c>
      <c r="K42" s="46">
        <f>(Inputs!D28*(SUM(Inputs!C52:C54)+IF(D2=J2,Inputs!C55,0))/Inputs!I9)/(Inputs!I18-Inputs!I19-Inputs!I20)</f>
        <v>5.2363636363636372</v>
      </c>
    </row>
    <row r="43" spans="1:13" ht="16.5" hidden="1" customHeight="1">
      <c r="B43" s="47"/>
      <c r="C43" s="47"/>
      <c r="D43" s="47"/>
      <c r="E43" s="14"/>
      <c r="F43" s="50"/>
      <c r="G43" s="50"/>
      <c r="H43" s="50"/>
    </row>
    <row r="44" spans="1:13" ht="16.5" hidden="1" customHeight="1">
      <c r="B44" s="47"/>
      <c r="C44" s="47"/>
      <c r="D44" s="47"/>
      <c r="E44" s="47"/>
      <c r="F44" s="47"/>
      <c r="G44" s="51"/>
      <c r="H44" s="51"/>
    </row>
    <row r="45" spans="1:13" ht="16.5" hidden="1" customHeight="1">
      <c r="B45" s="48"/>
      <c r="C45" s="47"/>
      <c r="D45" s="49"/>
      <c r="E45" s="49"/>
      <c r="F45" s="49"/>
      <c r="G45" s="52"/>
      <c r="H45" s="52"/>
    </row>
    <row r="46" spans="1:13" ht="16.5" hidden="1" customHeight="1">
      <c r="B46" s="47"/>
      <c r="C46" s="47"/>
      <c r="D46" s="50"/>
      <c r="E46" s="98"/>
      <c r="F46" s="99"/>
      <c r="G46" s="53"/>
      <c r="H46" s="53"/>
    </row>
    <row r="47" spans="1:13" ht="16.5" hidden="1" customHeight="1">
      <c r="B47" s="47"/>
      <c r="C47" s="47"/>
      <c r="D47" s="50"/>
      <c r="E47" s="98"/>
      <c r="F47" s="99"/>
      <c r="G47" s="53"/>
      <c r="H47" s="53"/>
    </row>
    <row r="48" spans="1:13" ht="16.5" hidden="1" customHeight="1">
      <c r="B48" s="47"/>
      <c r="C48" s="47"/>
      <c r="D48" s="50"/>
      <c r="E48" s="98"/>
      <c r="F48" s="99"/>
      <c r="G48" s="53"/>
      <c r="H48" s="53"/>
    </row>
    <row r="49" spans="2:8" ht="16.5" hidden="1" customHeight="1">
      <c r="B49" s="47"/>
      <c r="C49" s="47"/>
      <c r="D49" s="50"/>
      <c r="E49" s="98"/>
      <c r="F49" s="100"/>
      <c r="G49" s="54"/>
      <c r="H49" s="54"/>
    </row>
    <row r="50" spans="2:8" ht="16.5" hidden="1" customHeight="1">
      <c r="B50" s="47"/>
      <c r="C50" s="47"/>
      <c r="D50" s="14"/>
      <c r="E50" s="47"/>
      <c r="F50" s="47"/>
      <c r="G50" s="55"/>
      <c r="H50" s="55"/>
    </row>
    <row r="51" spans="2:8" ht="16.5" hidden="1" customHeight="1">
      <c r="B51" s="14"/>
      <c r="C51" s="14"/>
      <c r="D51" s="14"/>
      <c r="E51" s="14"/>
      <c r="F51" s="14"/>
      <c r="G51" s="14"/>
      <c r="H51" s="14"/>
    </row>
    <row r="52" spans="2:8" ht="16.5" hidden="1" customHeight="1">
      <c r="B52" s="48"/>
      <c r="C52" s="47"/>
      <c r="D52" s="47"/>
      <c r="E52" s="47"/>
      <c r="F52" s="47"/>
      <c r="G52" s="51"/>
      <c r="H52" s="51"/>
    </row>
    <row r="53" spans="2:8" ht="16.5" hidden="1" customHeight="1">
      <c r="B53" s="56"/>
      <c r="C53" s="14"/>
      <c r="D53" s="14"/>
      <c r="E53" s="49"/>
      <c r="F53" s="49"/>
      <c r="G53" s="49"/>
      <c r="H53" s="49"/>
    </row>
    <row r="54" spans="2:8" ht="16.5" hidden="1" customHeight="1">
      <c r="B54" s="47"/>
      <c r="C54" s="47"/>
      <c r="D54" s="14"/>
      <c r="E54" s="61"/>
      <c r="F54" s="50"/>
      <c r="G54" s="57"/>
      <c r="H54" s="57"/>
    </row>
    <row r="55" spans="2:8" ht="16.5" hidden="1" customHeight="1">
      <c r="B55" s="47"/>
      <c r="C55" s="47"/>
      <c r="D55" s="14"/>
      <c r="E55" s="61"/>
      <c r="F55" s="50"/>
      <c r="G55" s="57"/>
      <c r="H55" s="57"/>
    </row>
    <row r="56" spans="2:8" ht="16.5" hidden="1" customHeight="1">
      <c r="B56" s="60"/>
      <c r="C56" s="58"/>
      <c r="D56" s="58"/>
      <c r="E56" s="58"/>
      <c r="F56" s="58"/>
      <c r="G56" s="59"/>
      <c r="H56" s="59"/>
    </row>
    <row r="57" spans="2:8" ht="16.5" hidden="1" customHeight="1">
      <c r="B57" s="60"/>
      <c r="C57" s="58"/>
      <c r="D57" s="58"/>
      <c r="E57" s="58"/>
      <c r="F57" s="58"/>
      <c r="G57" s="59"/>
      <c r="H57" s="59"/>
    </row>
    <row r="58" spans="2:8" ht="16.5" hidden="1" customHeight="1">
      <c r="B58" s="56"/>
      <c r="C58" s="14"/>
      <c r="D58" s="49"/>
      <c r="E58" s="49"/>
      <c r="F58" s="49"/>
      <c r="G58" s="49"/>
      <c r="H58" s="49"/>
    </row>
    <row r="59" spans="2:8" ht="16.5" hidden="1" customHeight="1">
      <c r="B59" s="47"/>
      <c r="C59" s="47"/>
      <c r="D59" s="61"/>
      <c r="E59" s="101"/>
      <c r="F59" s="50"/>
      <c r="G59" s="57"/>
      <c r="H59" s="57"/>
    </row>
    <row r="60" spans="2:8" ht="16.5" hidden="1" customHeight="1">
      <c r="B60" s="47"/>
      <c r="C60" s="47"/>
      <c r="D60" s="61"/>
      <c r="E60" s="101"/>
      <c r="F60" s="50"/>
      <c r="G60" s="57"/>
      <c r="H60" s="57"/>
    </row>
    <row r="61" spans="2:8" ht="16.5" hidden="1" customHeight="1">
      <c r="B61" s="47"/>
      <c r="C61" s="47"/>
      <c r="D61" s="61"/>
      <c r="E61" s="101"/>
      <c r="F61" s="50"/>
      <c r="G61" s="57"/>
      <c r="H61" s="57"/>
    </row>
    <row r="62" spans="2:8" ht="16.5" hidden="1" customHeight="1">
      <c r="B62" s="47"/>
      <c r="C62" s="47"/>
      <c r="D62" s="61"/>
      <c r="E62" s="101"/>
      <c r="F62" s="50"/>
      <c r="G62" s="57"/>
      <c r="H62" s="57"/>
    </row>
    <row r="63" spans="2:8" ht="16.5" hidden="1" customHeight="1">
      <c r="B63" s="60"/>
      <c r="C63" s="14"/>
      <c r="D63" s="14"/>
      <c r="E63" s="14"/>
      <c r="F63" s="14"/>
      <c r="G63" s="62"/>
      <c r="H63" s="62"/>
    </row>
    <row r="64" spans="2:8" ht="16.5" hidden="1" customHeight="1">
      <c r="B64" s="47"/>
      <c r="C64" s="47"/>
      <c r="D64" s="47"/>
      <c r="E64" s="47"/>
      <c r="F64" s="47"/>
      <c r="G64" s="51"/>
      <c r="H64" s="51"/>
    </row>
    <row r="65" spans="2:8" ht="16.5" hidden="1" customHeight="1">
      <c r="B65" s="56"/>
      <c r="C65" s="14"/>
      <c r="D65" s="49"/>
      <c r="E65" s="49"/>
      <c r="F65" s="49"/>
      <c r="G65" s="49"/>
      <c r="H65" s="49"/>
    </row>
    <row r="66" spans="2:8" ht="16.5" hidden="1" customHeight="1">
      <c r="B66" s="47"/>
      <c r="C66" s="47"/>
      <c r="D66" s="61"/>
      <c r="E66" s="101"/>
      <c r="F66" s="50"/>
      <c r="G66" s="64"/>
      <c r="H66" s="64"/>
    </row>
    <row r="67" spans="2:8" ht="16.5" hidden="1" customHeight="1">
      <c r="B67" s="47"/>
      <c r="C67" s="47"/>
      <c r="D67" s="61"/>
      <c r="E67" s="101"/>
      <c r="F67" s="50"/>
      <c r="G67" s="64"/>
      <c r="H67" s="64"/>
    </row>
    <row r="68" spans="2:8" ht="16.5" hidden="1" customHeight="1">
      <c r="B68" s="47"/>
      <c r="C68" s="47"/>
      <c r="D68" s="61"/>
      <c r="E68" s="101"/>
      <c r="F68" s="50"/>
      <c r="G68" s="65"/>
      <c r="H68" s="65"/>
    </row>
    <row r="69" spans="2:8" ht="16.5" hidden="1" customHeight="1">
      <c r="B69" s="60"/>
      <c r="C69" s="14"/>
      <c r="D69" s="14"/>
      <c r="E69" s="14"/>
      <c r="F69" s="14"/>
      <c r="G69" s="102"/>
      <c r="H69" s="102"/>
    </row>
    <row r="70" spans="2:8" ht="16.5" hidden="1" customHeight="1">
      <c r="B70" s="60"/>
      <c r="C70" s="14"/>
      <c r="D70" s="14"/>
      <c r="E70" s="14"/>
      <c r="F70" s="14"/>
      <c r="G70" s="102"/>
      <c r="H70" s="102"/>
    </row>
    <row r="71" spans="2:8" ht="16.5" hidden="1" customHeight="1">
      <c r="B71" s="56"/>
      <c r="C71" s="14"/>
      <c r="D71" s="49"/>
      <c r="E71" s="49"/>
      <c r="F71" s="49"/>
      <c r="G71" s="49"/>
      <c r="H71" s="49"/>
    </row>
    <row r="72" spans="2:8" ht="16.5" hidden="1" customHeight="1">
      <c r="B72" s="47"/>
      <c r="C72" s="14"/>
      <c r="D72" s="61"/>
      <c r="E72" s="101"/>
      <c r="F72" s="50"/>
      <c r="G72" s="68"/>
      <c r="H72" s="68"/>
    </row>
    <row r="73" spans="2:8" ht="16.5" hidden="1" customHeight="1">
      <c r="B73" s="47"/>
      <c r="C73" s="47"/>
      <c r="D73" s="61"/>
      <c r="E73" s="101"/>
      <c r="F73" s="50"/>
      <c r="G73" s="68"/>
      <c r="H73" s="68"/>
    </row>
    <row r="74" spans="2:8" ht="16.5" hidden="1" customHeight="1">
      <c r="B74" s="47"/>
      <c r="C74" s="47"/>
      <c r="D74" s="61"/>
      <c r="E74" s="101"/>
      <c r="F74" s="50"/>
      <c r="G74" s="68"/>
      <c r="H74" s="68"/>
    </row>
    <row r="75" spans="2:8" ht="16.5" hidden="1" customHeight="1">
      <c r="B75" s="60"/>
      <c r="C75" s="14"/>
      <c r="D75" s="14"/>
      <c r="E75" s="14"/>
      <c r="F75" s="14"/>
      <c r="G75" s="103"/>
      <c r="H75" s="103"/>
    </row>
    <row r="76" spans="2:8" ht="16.5" hidden="1" customHeight="1">
      <c r="B76" s="47"/>
      <c r="C76" s="47"/>
      <c r="D76" s="47"/>
      <c r="E76" s="47"/>
      <c r="F76" s="47"/>
      <c r="G76" s="51"/>
      <c r="H76" s="51"/>
    </row>
    <row r="77" spans="2:8" ht="16.5" hidden="1" customHeight="1">
      <c r="B77" s="56"/>
      <c r="C77" s="14"/>
      <c r="D77" s="49"/>
      <c r="E77" s="49"/>
      <c r="F77" s="49"/>
      <c r="G77" s="49"/>
      <c r="H77" s="49"/>
    </row>
    <row r="78" spans="2:8" ht="16.5" hidden="1" customHeight="1">
      <c r="B78" s="47"/>
      <c r="C78" s="47"/>
      <c r="D78" s="104"/>
      <c r="E78" s="101"/>
      <c r="F78" s="50"/>
      <c r="G78" s="57"/>
      <c r="H78" s="57"/>
    </row>
    <row r="79" spans="2:8" ht="16.5" hidden="1" customHeight="1">
      <c r="B79" s="47"/>
      <c r="C79" s="47"/>
      <c r="D79" s="104"/>
      <c r="E79" s="101"/>
      <c r="F79" s="50"/>
      <c r="G79" s="65"/>
      <c r="H79" s="65"/>
    </row>
    <row r="80" spans="2:8" ht="16.5" hidden="1" customHeight="1">
      <c r="B80" s="71"/>
      <c r="C80" s="14"/>
      <c r="D80" s="14"/>
      <c r="E80" s="14"/>
      <c r="F80" s="14"/>
      <c r="G80" s="14"/>
      <c r="H80" s="14"/>
    </row>
    <row r="81" spans="2:8" ht="16.5" hidden="1" customHeight="1">
      <c r="B81" s="14"/>
      <c r="C81" s="14"/>
      <c r="D81" s="14"/>
      <c r="E81" s="14"/>
      <c r="F81" s="81"/>
      <c r="G81" s="72"/>
      <c r="H81" s="72"/>
    </row>
    <row r="82" spans="2:8" ht="16.5" hidden="1" customHeight="1">
      <c r="B82" s="14"/>
      <c r="C82" s="14"/>
      <c r="D82" s="14"/>
      <c r="E82" s="14"/>
      <c r="F82" s="14"/>
      <c r="G82" s="14"/>
      <c r="H82" s="14"/>
    </row>
    <row r="83" spans="2:8" ht="16.5" hidden="1" customHeight="1">
      <c r="B83" s="14"/>
      <c r="C83" s="47"/>
      <c r="D83" s="47"/>
      <c r="E83" s="105"/>
      <c r="F83" s="14"/>
      <c r="G83" s="14"/>
      <c r="H83" s="14"/>
    </row>
    <row r="84" spans="2:8" ht="16.5" hidden="1" customHeight="1">
      <c r="B84" s="14"/>
      <c r="C84" s="14"/>
      <c r="D84" s="14"/>
      <c r="E84" s="14"/>
      <c r="F84" s="14"/>
      <c r="G84" s="14"/>
      <c r="H84" s="14"/>
    </row>
    <row r="85" spans="2:8" ht="15" hidden="1" customHeight="1">
      <c r="B85" s="14"/>
      <c r="C85" s="14"/>
      <c r="D85" s="14"/>
      <c r="E85" s="14"/>
      <c r="F85" s="14"/>
      <c r="G85" s="14"/>
      <c r="H85" s="14"/>
    </row>
    <row r="86" spans="2:8" ht="15" hidden="1" customHeight="1">
      <c r="B86" s="14"/>
      <c r="C86" s="14"/>
      <c r="D86" s="14"/>
      <c r="E86" s="14"/>
      <c r="F86" s="14"/>
      <c r="G86" s="14"/>
      <c r="H86" s="14"/>
    </row>
    <row r="87" spans="2:8" ht="15" hidden="1" customHeight="1">
      <c r="B87" s="14"/>
      <c r="C87" s="14"/>
      <c r="D87" s="14"/>
      <c r="E87" s="14"/>
      <c r="F87" s="14"/>
      <c r="G87" s="14"/>
      <c r="H87" s="14"/>
    </row>
    <row r="88" spans="2:8" ht="15" hidden="1" customHeight="1">
      <c r="B88" s="14"/>
      <c r="C88" s="14"/>
      <c r="D88" s="14"/>
      <c r="E88" s="14"/>
      <c r="F88" s="14"/>
      <c r="G88" s="14"/>
      <c r="H88" s="14"/>
    </row>
    <row r="89" spans="2:8" ht="15" hidden="1" customHeight="1">
      <c r="B89" s="14"/>
      <c r="C89" s="14"/>
      <c r="D89" s="14"/>
      <c r="E89" s="14"/>
      <c r="F89" s="14"/>
      <c r="G89" s="14"/>
      <c r="H89" s="14"/>
    </row>
    <row r="90" spans="2:8" ht="15" hidden="1" customHeight="1">
      <c r="B90" s="14"/>
      <c r="C90" s="14"/>
      <c r="D90" s="14"/>
      <c r="E90" s="14"/>
      <c r="F90" s="14"/>
      <c r="G90" s="106"/>
      <c r="H90" s="106"/>
    </row>
    <row r="91" spans="2:8" ht="15" hidden="1" customHeight="1">
      <c r="B91" s="71"/>
      <c r="C91" s="14"/>
      <c r="D91" s="14"/>
      <c r="E91" s="14"/>
      <c r="F91" s="14"/>
      <c r="G91" s="14"/>
      <c r="H91" s="14"/>
    </row>
    <row r="92" spans="2:8" ht="15" hidden="1" customHeight="1">
      <c r="B92" s="47"/>
      <c r="C92" s="47"/>
      <c r="D92" s="107"/>
      <c r="E92" s="47"/>
      <c r="F92" s="14"/>
      <c r="G92" s="14"/>
      <c r="H92" s="14"/>
    </row>
    <row r="93" spans="2:8" ht="15" hidden="1" customHeight="1">
      <c r="B93" s="14"/>
      <c r="C93" s="14"/>
      <c r="D93" s="14"/>
      <c r="E93" s="14"/>
      <c r="F93" s="14"/>
      <c r="G93" s="14"/>
      <c r="H93" s="14"/>
    </row>
    <row r="94" spans="2:8" ht="15" hidden="1" customHeight="1">
      <c r="B94" s="75"/>
      <c r="C94" s="47"/>
      <c r="D94" s="49"/>
      <c r="E94" s="49"/>
      <c r="F94" s="75"/>
      <c r="G94" s="47"/>
      <c r="H94" s="47"/>
    </row>
    <row r="95" spans="2:8" ht="15" hidden="1" customHeight="1">
      <c r="B95" s="77"/>
      <c r="C95" s="14"/>
      <c r="D95" s="99"/>
      <c r="E95" s="108"/>
      <c r="F95" s="77"/>
      <c r="G95" s="47"/>
      <c r="H95" s="47"/>
    </row>
    <row r="96" spans="2:8" ht="15" hidden="1" customHeight="1">
      <c r="B96" s="77"/>
      <c r="C96" s="14"/>
      <c r="D96" s="99"/>
      <c r="E96" s="77"/>
      <c r="F96" s="77"/>
      <c r="G96" s="47"/>
      <c r="H96" s="47"/>
    </row>
    <row r="97" spans="2:8" ht="15" hidden="1" customHeight="1">
      <c r="B97" s="77"/>
      <c r="C97" s="14"/>
      <c r="D97" s="99"/>
      <c r="E97" s="77"/>
      <c r="F97" s="77"/>
      <c r="G97" s="47"/>
      <c r="H97" s="47"/>
    </row>
    <row r="98" spans="2:8" ht="15" hidden="1" customHeight="1">
      <c r="B98" s="77"/>
      <c r="C98" s="14"/>
      <c r="D98" s="99"/>
      <c r="E98" s="77"/>
      <c r="F98" s="77"/>
      <c r="G98" s="14"/>
      <c r="H98" s="14"/>
    </row>
    <row r="99" spans="2:8" ht="15" hidden="1" customHeight="1">
      <c r="B99" s="47"/>
      <c r="C99" s="14"/>
      <c r="D99" s="14"/>
      <c r="E99" s="14"/>
      <c r="F99" s="14"/>
      <c r="G99" s="78"/>
      <c r="H99" s="78"/>
    </row>
    <row r="100" spans="2:8" ht="15" hidden="1" customHeight="1">
      <c r="B100" s="47"/>
      <c r="C100" s="47"/>
      <c r="D100" s="50"/>
      <c r="E100" s="47"/>
      <c r="F100" s="47"/>
      <c r="G100" s="47"/>
      <c r="H100" s="47"/>
    </row>
    <row r="101" spans="2:8" ht="15" hidden="1" customHeight="1">
      <c r="B101" s="80"/>
      <c r="C101" s="14"/>
      <c r="D101" s="14"/>
      <c r="E101" s="14"/>
      <c r="F101" s="79"/>
      <c r="G101" s="79"/>
      <c r="H101" s="79"/>
    </row>
    <row r="102" spans="2:8" ht="15" hidden="1" customHeight="1">
      <c r="B102" s="14"/>
      <c r="C102" s="14"/>
      <c r="D102" s="14"/>
      <c r="E102" s="14"/>
      <c r="F102" s="99"/>
      <c r="G102" s="81"/>
      <c r="H102" s="81"/>
    </row>
    <row r="103" spans="2:8" ht="15" hidden="1" customHeight="1"/>
    <row r="104" spans="2:8" ht="15" hidden="1" customHeight="1"/>
  </sheetData>
  <sheetProtection sheet="1" objects="1" scenarios="1"/>
  <protectedRanges>
    <protectedRange sqref="K3:K5 L9:L11 D2:D3" name="Grey cells"/>
  </protectedRanges>
  <mergeCells count="6">
    <mergeCell ref="J38:K38"/>
    <mergeCell ref="B1:G1"/>
    <mergeCell ref="J11:K11"/>
    <mergeCell ref="E2:G2"/>
    <mergeCell ref="E4:F4"/>
    <mergeCell ref="I20:J22"/>
  </mergeCells>
  <conditionalFormatting sqref="D4">
    <cfRule type="colorScale" priority="2">
      <colorScale>
        <cfvo type="min"/>
        <cfvo type="max"/>
        <color rgb="FFFF7128"/>
        <color rgb="FFFFEF9C"/>
      </colorScale>
    </cfRule>
    <cfRule type="expression" dxfId="10" priority="3">
      <formula>$J$3</formula>
    </cfRule>
  </conditionalFormatting>
  <conditionalFormatting sqref="G29:H30">
    <cfRule type="cellIs" dxfId="9" priority="1" operator="lessThan">
      <formula>0</formula>
    </cfRule>
  </conditionalFormatting>
  <dataValidations count="1">
    <dataValidation type="list" allowBlank="1" showInputMessage="1" showErrorMessage="1" sqref="D2" xr:uid="{2CE55F29-0001-4CEF-A000-AD01967CBAE3}">
      <formula1>$J$2:$J$5</formula1>
    </dataValidation>
  </dataValidations>
  <pageMargins left="0.7" right="0.7" top="0.75" bottom="0.75" header="0.3" footer="0.3"/>
  <pageSetup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6EBB0-4AEC-4A1B-BDF1-399A50B99164}">
  <dimension ref="A1:Q27"/>
  <sheetViews>
    <sheetView showGridLines="0" workbookViewId="0">
      <selection activeCell="H17" sqref="H17"/>
    </sheetView>
  </sheetViews>
  <sheetFormatPr defaultColWidth="0" defaultRowHeight="15.75" zeroHeight="1"/>
  <cols>
    <col min="1" max="1" width="3.28515625" style="27" customWidth="1"/>
    <col min="2" max="2" width="18.7109375" style="27" bestFit="1" customWidth="1"/>
    <col min="3" max="3" width="36.140625" style="27" bestFit="1" customWidth="1"/>
    <col min="4" max="4" width="24" style="27" bestFit="1" customWidth="1"/>
    <col min="5" max="5" width="8.7109375" style="27" bestFit="1" customWidth="1"/>
    <col min="6" max="6" width="13.140625" style="27" bestFit="1" customWidth="1"/>
    <col min="7" max="7" width="3.28515625" style="27" customWidth="1"/>
    <col min="8" max="8" width="25.85546875" style="27" bestFit="1" customWidth="1"/>
    <col min="9" max="9" width="17.42578125" style="27" bestFit="1" customWidth="1"/>
    <col min="10" max="10" width="10.7109375" style="27" bestFit="1" customWidth="1"/>
    <col min="11" max="11" width="3.28515625" style="27" customWidth="1"/>
    <col min="12" max="16384" width="9.140625" style="27" hidden="1"/>
  </cols>
  <sheetData>
    <row r="1" spans="2:17" ht="18.75">
      <c r="B1" s="401" t="s">
        <v>188</v>
      </c>
      <c r="C1" s="402"/>
      <c r="D1" s="402"/>
      <c r="E1" s="402"/>
      <c r="F1" s="403"/>
      <c r="H1" s="401" t="s">
        <v>189</v>
      </c>
      <c r="I1" s="402"/>
      <c r="J1" s="403"/>
      <c r="K1" s="125"/>
      <c r="L1" s="126"/>
      <c r="N1" s="27" t="s">
        <v>190</v>
      </c>
      <c r="O1" s="27" t="s">
        <v>191</v>
      </c>
      <c r="Q1" s="27">
        <v>1</v>
      </c>
    </row>
    <row r="2" spans="2:17">
      <c r="B2" s="241" t="s">
        <v>192</v>
      </c>
      <c r="C2" s="241" t="s">
        <v>193</v>
      </c>
      <c r="D2" s="241" t="s">
        <v>194</v>
      </c>
      <c r="E2" s="241" t="s">
        <v>8</v>
      </c>
      <c r="F2" s="241" t="s">
        <v>195</v>
      </c>
      <c r="H2" s="240" t="s">
        <v>196</v>
      </c>
      <c r="I2" s="240" t="s">
        <v>7</v>
      </c>
      <c r="J2" s="149" t="s">
        <v>197</v>
      </c>
      <c r="N2" s="27" t="s">
        <v>198</v>
      </c>
      <c r="O2" s="27" t="s">
        <v>199</v>
      </c>
      <c r="Q2" s="112">
        <f>AVERAGE(Inputs!I30:I30)</f>
        <v>1460</v>
      </c>
    </row>
    <row r="3" spans="2:17">
      <c r="B3" s="27" t="s">
        <v>200</v>
      </c>
      <c r="C3" s="27" t="s">
        <v>201</v>
      </c>
      <c r="D3" s="113">
        <f>SUMIF('Retail cuts selection'!$C$4:$C$11,C3,'Retail cuts selection'!$F$4:$F$11)</f>
        <v>28.852788089330026</v>
      </c>
      <c r="E3" s="306">
        <v>8.91</v>
      </c>
      <c r="F3" s="307">
        <f>D3*E3</f>
        <v>257.07834187593056</v>
      </c>
      <c r="H3" s="313" t="s">
        <v>202</v>
      </c>
      <c r="I3" s="405" t="s">
        <v>198</v>
      </c>
      <c r="J3" s="405"/>
      <c r="O3" s="27" t="s">
        <v>203</v>
      </c>
      <c r="Q3" s="113">
        <f>'Budget - Freezer Beef'!G3</f>
        <v>854.976</v>
      </c>
    </row>
    <row r="4" spans="2:17">
      <c r="B4" s="89"/>
      <c r="C4" s="89" t="s">
        <v>204</v>
      </c>
      <c r="D4" s="115">
        <f>SUMIF('Retail cuts selection'!$C$4:$C$11,C4,'Retail cuts selection'!$F$4:$F$11)</f>
        <v>10.925871960297767</v>
      </c>
      <c r="E4" s="116">
        <v>12.07</v>
      </c>
      <c r="F4" s="308">
        <f t="shared" ref="F4:F22" si="0">D4*E4</f>
        <v>131.87527456079405</v>
      </c>
      <c r="H4" s="27" t="s">
        <v>205</v>
      </c>
      <c r="I4" s="314" t="s">
        <v>191</v>
      </c>
      <c r="J4" s="315">
        <v>75</v>
      </c>
      <c r="L4" s="27">
        <f>J4*VLOOKUP(I4,$O$1:$Q$3,3,FALSE)</f>
        <v>75</v>
      </c>
      <c r="O4" s="27" t="s">
        <v>206</v>
      </c>
      <c r="Q4" s="113">
        <f>'Retail cuts selection'!V10</f>
        <v>269.90628923076923</v>
      </c>
    </row>
    <row r="5" spans="2:17">
      <c r="B5" s="27" t="s">
        <v>207</v>
      </c>
      <c r="C5" s="27" t="s">
        <v>201</v>
      </c>
      <c r="D5" s="113">
        <f>SUMIF('Retail cuts selection'!$K$4:$K$4,C5,'Retail cuts selection'!$N$4:$N$4)</f>
        <v>26.413030272952852</v>
      </c>
      <c r="E5" s="306">
        <v>16.600000000000001</v>
      </c>
      <c r="F5" s="307">
        <f t="shared" si="0"/>
        <v>438.4563025310174</v>
      </c>
      <c r="H5" s="27" t="s">
        <v>208</v>
      </c>
      <c r="I5" s="316" t="s">
        <v>203</v>
      </c>
      <c r="J5" s="315">
        <v>0.85</v>
      </c>
      <c r="L5" s="27">
        <f>J5*VLOOKUP(I5,$O$1:$Q$3,3,FALSE)</f>
        <v>726.7296</v>
      </c>
    </row>
    <row r="6" spans="2:17">
      <c r="B6" s="89"/>
      <c r="C6" s="89" t="s">
        <v>204</v>
      </c>
      <c r="D6" s="115">
        <f>SUMIF('Retail cuts selection'!$K$4:$K$4,C6,'Retail cuts selection'!$N$4:$N$4)</f>
        <v>0</v>
      </c>
      <c r="E6" s="116">
        <v>19.34</v>
      </c>
      <c r="F6" s="308">
        <f t="shared" si="0"/>
        <v>0</v>
      </c>
      <c r="H6" s="27" t="s">
        <v>209</v>
      </c>
      <c r="I6" s="316" t="s">
        <v>191</v>
      </c>
      <c r="J6" s="315">
        <v>25</v>
      </c>
      <c r="L6" s="27">
        <f>J6*VLOOKUP(I6,$O$1:$Q$4,3,FALSE)</f>
        <v>25</v>
      </c>
    </row>
    <row r="7" spans="2:17">
      <c r="B7" s="27" t="s">
        <v>210</v>
      </c>
      <c r="C7" s="27" t="s">
        <v>211</v>
      </c>
      <c r="D7" s="113">
        <f>SUMIF('Retail cuts selection'!$C$14:$C$17,C7,'Retail cuts selection'!$F$14:$F$17)</f>
        <v>0</v>
      </c>
      <c r="E7" s="306">
        <v>25.64</v>
      </c>
      <c r="F7" s="307">
        <f t="shared" si="0"/>
        <v>0</v>
      </c>
      <c r="H7" s="27" t="s">
        <v>212</v>
      </c>
      <c r="I7" s="314" t="s">
        <v>191</v>
      </c>
      <c r="J7" s="315">
        <v>20</v>
      </c>
      <c r="L7" s="27">
        <f>J7*VLOOKUP(I7,$O$1:$Q$3,3,FALSE)</f>
        <v>20</v>
      </c>
    </row>
    <row r="8" spans="2:17">
      <c r="B8" s="27" t="s">
        <v>213</v>
      </c>
      <c r="C8" s="27" t="s">
        <v>204</v>
      </c>
      <c r="D8" s="113">
        <f>IF(AND('Retail cuts selection'!C17='Retail cuts selection'!C14,'Retail cuts selection'!F17&gt;0),'Retail cuts selection'!F17,0)</f>
        <v>0</v>
      </c>
      <c r="E8" s="306">
        <v>28.29</v>
      </c>
      <c r="F8" s="307">
        <f t="shared" si="0"/>
        <v>0</v>
      </c>
      <c r="H8" s="131" t="s">
        <v>214</v>
      </c>
      <c r="I8" s="314" t="s">
        <v>191</v>
      </c>
      <c r="J8" s="315">
        <v>0</v>
      </c>
      <c r="L8" s="27">
        <f>J8*VLOOKUP(I8,$O$1:$Q$3,3,FALSE)</f>
        <v>0</v>
      </c>
    </row>
    <row r="9" spans="2:17">
      <c r="B9" s="89" t="s">
        <v>215</v>
      </c>
      <c r="C9" s="89" t="s">
        <v>204</v>
      </c>
      <c r="D9" s="115">
        <f>SUMIF('Retail cuts selection'!$C$14:$C$17,C9,'Retail cuts selection'!$F$14:$F$17)</f>
        <v>39.036125062034735</v>
      </c>
      <c r="E9" s="116">
        <v>16.71</v>
      </c>
      <c r="F9" s="308">
        <f t="shared" si="0"/>
        <v>652.29364978660044</v>
      </c>
      <c r="H9" s="136" t="s">
        <v>214</v>
      </c>
      <c r="I9" s="110" t="s">
        <v>191</v>
      </c>
      <c r="J9" s="317">
        <v>0</v>
      </c>
      <c r="L9" s="27">
        <f>J9*VLOOKUP(I9,$O$1:$Q$3,3,FALSE)</f>
        <v>0</v>
      </c>
    </row>
    <row r="10" spans="2:17">
      <c r="B10" s="27" t="s">
        <v>216</v>
      </c>
      <c r="C10" s="27" t="s">
        <v>201</v>
      </c>
      <c r="D10" s="113">
        <f>SUMIF('Retail cuts selection'!$K$7:$K$13,C10,'Retail cuts selection'!$N$7:$N$13)</f>
        <v>0</v>
      </c>
      <c r="E10" s="306">
        <v>10.19</v>
      </c>
      <c r="F10" s="307">
        <f t="shared" si="0"/>
        <v>0</v>
      </c>
      <c r="H10" s="404" t="s">
        <v>217</v>
      </c>
      <c r="I10" s="404"/>
      <c r="J10" s="404"/>
      <c r="L10" s="27">
        <f>IF(I3=N2,SUM(L4:L9),J11)</f>
        <v>846.7296</v>
      </c>
    </row>
    <row r="11" spans="2:17">
      <c r="B11" s="89"/>
      <c r="C11" s="89" t="s">
        <v>204</v>
      </c>
      <c r="D11" s="115">
        <f>SUMIF('Retail cuts selection'!$K$7:$K$13,C11,'Retail cuts selection'!$N$7:$N$13)</f>
        <v>18.032992555831267</v>
      </c>
      <c r="E11" s="116">
        <v>12.46</v>
      </c>
      <c r="F11" s="308">
        <f t="shared" si="0"/>
        <v>224.6910872456576</v>
      </c>
      <c r="H11" s="132" t="s">
        <v>190</v>
      </c>
      <c r="I11" s="132" t="s">
        <v>218</v>
      </c>
      <c r="J11" s="357">
        <v>875</v>
      </c>
    </row>
    <row r="12" spans="2:17">
      <c r="B12" s="27" t="s">
        <v>219</v>
      </c>
      <c r="C12" s="27" t="s">
        <v>201</v>
      </c>
      <c r="D12" s="113">
        <f>SUMIF('Retail cuts selection'!$C$20:$C$25,C12,'Retail cuts selection'!$F$20:$F$25)</f>
        <v>35.747755831265508</v>
      </c>
      <c r="E12" s="306">
        <v>8.15</v>
      </c>
      <c r="F12" s="307">
        <f t="shared" si="0"/>
        <v>291.34421002481389</v>
      </c>
    </row>
    <row r="13" spans="2:17">
      <c r="B13" s="89"/>
      <c r="C13" s="89" t="s">
        <v>204</v>
      </c>
      <c r="D13" s="115">
        <f>SUMIF('Retail cuts selection'!$C$20:$C$25,C13,'Retail cuts selection'!$F$20:$F$25)</f>
        <v>0</v>
      </c>
      <c r="E13" s="116">
        <v>8.67</v>
      </c>
      <c r="F13" s="308">
        <f t="shared" si="0"/>
        <v>0</v>
      </c>
    </row>
    <row r="14" spans="2:17">
      <c r="B14" s="27" t="s">
        <v>220</v>
      </c>
      <c r="C14" s="27" t="s">
        <v>204</v>
      </c>
      <c r="D14" s="113">
        <f>'Retail cuts selection'!N18</f>
        <v>0</v>
      </c>
      <c r="E14" s="306">
        <v>13.66</v>
      </c>
      <c r="F14" s="307">
        <f t="shared" si="0"/>
        <v>0</v>
      </c>
    </row>
    <row r="15" spans="2:17">
      <c r="B15" s="27" t="s">
        <v>221</v>
      </c>
      <c r="D15" s="113">
        <f>'Retail cuts selection'!N17</f>
        <v>29.277093796526056</v>
      </c>
      <c r="E15" s="306">
        <v>8.7100000000000009</v>
      </c>
      <c r="F15" s="307">
        <f t="shared" si="0"/>
        <v>255.00348696774196</v>
      </c>
    </row>
    <row r="16" spans="2:17">
      <c r="B16" s="27" t="s">
        <v>222</v>
      </c>
      <c r="D16" s="113">
        <f>'Retail cuts selection'!N20</f>
        <v>6.5767384615384605</v>
      </c>
      <c r="E16" s="306">
        <v>7.94</v>
      </c>
      <c r="F16" s="307">
        <f t="shared" si="0"/>
        <v>52.21930338461538</v>
      </c>
    </row>
    <row r="17" spans="2:6">
      <c r="B17" s="27" t="s">
        <v>223</v>
      </c>
      <c r="C17" s="27" t="s">
        <v>224</v>
      </c>
      <c r="D17" s="113">
        <f>'Retail cuts selection'!N14+'Retail cuts selection'!N19</f>
        <v>25.034036724565752</v>
      </c>
      <c r="E17" s="306">
        <v>13.3</v>
      </c>
      <c r="F17" s="307">
        <f t="shared" si="0"/>
        <v>332.95268843672454</v>
      </c>
    </row>
    <row r="18" spans="2:6">
      <c r="B18" s="27" t="s">
        <v>225</v>
      </c>
      <c r="C18" s="27" t="s">
        <v>226</v>
      </c>
      <c r="D18" s="113">
        <f>'Retail cuts selection'!V10-'Retail cuts selection'!N22</f>
        <v>254.90628923076923</v>
      </c>
      <c r="E18" s="306">
        <v>7.7</v>
      </c>
      <c r="F18" s="307">
        <f t="shared" si="0"/>
        <v>1962.7784270769232</v>
      </c>
    </row>
    <row r="19" spans="2:6">
      <c r="B19" s="27" t="s">
        <v>227</v>
      </c>
      <c r="D19" s="113">
        <f>'Retail cuts selection'!N22</f>
        <v>15</v>
      </c>
      <c r="E19" s="306">
        <v>9.11</v>
      </c>
      <c r="F19" s="307">
        <f t="shared" si="0"/>
        <v>136.64999999999998</v>
      </c>
    </row>
    <row r="20" spans="2:6">
      <c r="B20" s="27" t="s">
        <v>228</v>
      </c>
      <c r="C20" s="27" t="s">
        <v>229</v>
      </c>
      <c r="D20" s="113">
        <f>'Retail cuts selection'!F26</f>
        <v>41.581959305210923</v>
      </c>
      <c r="E20" s="306">
        <v>9.31</v>
      </c>
      <c r="F20" s="307">
        <f t="shared" si="0"/>
        <v>387.12804113151373</v>
      </c>
    </row>
    <row r="21" spans="2:6">
      <c r="B21" s="27" t="s">
        <v>230</v>
      </c>
      <c r="D21" s="113">
        <f>'Retail cuts selection'!N21</f>
        <v>0</v>
      </c>
      <c r="E21" s="306">
        <v>5.64</v>
      </c>
      <c r="F21" s="307">
        <f t="shared" si="0"/>
        <v>0</v>
      </c>
    </row>
    <row r="22" spans="2:6" ht="16.5" thickBot="1">
      <c r="B22" s="119" t="s">
        <v>231</v>
      </c>
      <c r="C22" s="119"/>
      <c r="D22" s="120">
        <f>SUM('Retail cuts selection'!N23:N26)</f>
        <v>0</v>
      </c>
      <c r="E22" s="121">
        <v>5.13</v>
      </c>
      <c r="F22" s="309">
        <f t="shared" si="0"/>
        <v>0</v>
      </c>
    </row>
    <row r="23" spans="2:6">
      <c r="B23" s="129"/>
      <c r="C23" s="310" t="s">
        <v>106</v>
      </c>
      <c r="D23" s="311">
        <f>SUM(D3:D20)</f>
        <v>531.38468129032253</v>
      </c>
      <c r="E23" s="129"/>
      <c r="F23" s="312">
        <f>SUM(F3:F22)</f>
        <v>5122.4708130223325</v>
      </c>
    </row>
    <row r="24" spans="2:6">
      <c r="D24" s="122" t="s">
        <v>232</v>
      </c>
      <c r="E24" s="123">
        <f>SUMPRODUCT(D3:D20,E3:E20)/D23</f>
        <v>9.6398541271152407</v>
      </c>
    </row>
    <row r="25" spans="2:6">
      <c r="B25" s="89"/>
      <c r="C25" s="89"/>
      <c r="D25" s="241" t="s">
        <v>346</v>
      </c>
      <c r="E25" s="356">
        <f>F23/Inputs!I30</f>
        <v>3.5085416527550222</v>
      </c>
      <c r="F25" s="89"/>
    </row>
    <row r="26" spans="2:6"/>
    <row r="27" spans="2:6" ht="15.75" hidden="1" customHeight="1"/>
  </sheetData>
  <sheetProtection sheet="1" objects="1" scenarios="1"/>
  <protectedRanges>
    <protectedRange sqref="E3:E22 I3:J9 J11 H8:H9" name="Grey cells"/>
  </protectedRanges>
  <mergeCells count="4">
    <mergeCell ref="B1:F1"/>
    <mergeCell ref="H1:J1"/>
    <mergeCell ref="H10:J10"/>
    <mergeCell ref="I3:J3"/>
  </mergeCells>
  <dataValidations count="2">
    <dataValidation type="list" allowBlank="1" showInputMessage="1" showErrorMessage="1" sqref="I3:J3" xr:uid="{307C6440-71AB-4ACF-88D9-E5CC47419F06}">
      <formula1>$N$1:$N$2</formula1>
    </dataValidation>
    <dataValidation type="list" allowBlank="1" showInputMessage="1" showErrorMessage="1" sqref="I4:I9" xr:uid="{92CFACB2-6887-42D3-834D-D4F824A40A1C}">
      <formula1>$O$1:$O$5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DA312-F554-4521-ABB8-E12CAF61881E}">
  <dimension ref="A1:AE49"/>
  <sheetViews>
    <sheetView showGridLines="0" workbookViewId="0"/>
  </sheetViews>
  <sheetFormatPr defaultColWidth="0" defaultRowHeight="15.75" zeroHeight="1"/>
  <cols>
    <col min="1" max="1" width="3.28515625" style="27" customWidth="1"/>
    <col min="2" max="2" width="26" style="27" bestFit="1" customWidth="1"/>
    <col min="3" max="3" width="14.28515625" style="27" bestFit="1" customWidth="1"/>
    <col min="4" max="4" width="15.85546875" style="27" bestFit="1" customWidth="1"/>
    <col min="5" max="5" width="13.85546875" style="27" bestFit="1" customWidth="1"/>
    <col min="6" max="6" width="15" style="27" bestFit="1" customWidth="1"/>
    <col min="7" max="7" width="2.140625" style="27" hidden="1" customWidth="1"/>
    <col min="8" max="8" width="4.42578125" style="27" hidden="1" customWidth="1"/>
    <col min="9" max="9" width="3.28515625" style="27" customWidth="1"/>
    <col min="10" max="10" width="21.140625" style="27" bestFit="1" customWidth="1"/>
    <col min="11" max="11" width="12.140625" style="27" bestFit="1" customWidth="1"/>
    <col min="12" max="12" width="15.85546875" style="27" bestFit="1" customWidth="1"/>
    <col min="13" max="13" width="13.85546875" style="27" bestFit="1" customWidth="1"/>
    <col min="14" max="14" width="15" style="27" bestFit="1" customWidth="1"/>
    <col min="15" max="15" width="4.5703125" style="27" hidden="1" customWidth="1"/>
    <col min="16" max="16" width="6.28515625" style="27" hidden="1" customWidth="1"/>
    <col min="17" max="17" width="3.28515625" style="27" customWidth="1"/>
    <col min="18" max="18" width="11" style="27" customWidth="1"/>
    <col min="19" max="19" width="24.140625" style="27" customWidth="1"/>
    <col min="20" max="20" width="13.140625" style="27" customWidth="1"/>
    <col min="21" max="21" width="7.7109375" style="27" bestFit="1" customWidth="1"/>
    <col min="22" max="22" width="27.5703125" style="27" bestFit="1" customWidth="1"/>
    <col min="23" max="23" width="3.28515625" style="27" customWidth="1"/>
    <col min="24" max="24" width="12.28515625" style="27" hidden="1" customWidth="1"/>
    <col min="25" max="25" width="18.42578125" style="27" hidden="1" customWidth="1"/>
    <col min="26" max="26" width="11.5703125" style="27" hidden="1" customWidth="1"/>
    <col min="27" max="27" width="12.5703125" style="27" hidden="1" customWidth="1"/>
    <col min="28" max="16384" width="9.140625" style="27" hidden="1"/>
  </cols>
  <sheetData>
    <row r="1" spans="2:31" ht="40.5" customHeight="1">
      <c r="B1" s="409" t="s">
        <v>233</v>
      </c>
      <c r="C1" s="409"/>
      <c r="D1" s="409"/>
      <c r="E1" s="409"/>
      <c r="F1" s="409"/>
      <c r="G1" s="409"/>
      <c r="H1" s="409"/>
      <c r="I1" s="409"/>
      <c r="J1" s="409"/>
      <c r="K1" s="409"/>
      <c r="L1" s="409"/>
      <c r="M1" s="409"/>
      <c r="N1" s="409"/>
    </row>
    <row r="2" spans="2:31" ht="19.5" thickBot="1">
      <c r="B2" s="407" t="s">
        <v>200</v>
      </c>
      <c r="C2" s="407"/>
      <c r="D2" s="407"/>
      <c r="E2" s="407"/>
      <c r="F2" s="407"/>
      <c r="H2" s="128"/>
      <c r="I2" s="128"/>
      <c r="J2" s="407" t="s">
        <v>207</v>
      </c>
      <c r="K2" s="407"/>
      <c r="L2" s="407"/>
      <c r="M2" s="407"/>
      <c r="N2" s="407"/>
      <c r="O2" s="14" t="s">
        <v>234</v>
      </c>
      <c r="P2" s="58" t="s">
        <v>201</v>
      </c>
      <c r="R2" s="406" t="s">
        <v>225</v>
      </c>
      <c r="S2" s="406"/>
      <c r="T2" s="406"/>
      <c r="U2" s="406"/>
      <c r="V2" s="406"/>
      <c r="X2" s="387" t="s">
        <v>235</v>
      </c>
      <c r="Y2" s="387"/>
      <c r="Z2" s="387"/>
      <c r="AA2" s="387"/>
      <c r="AB2" s="387"/>
      <c r="AC2" s="387"/>
    </row>
    <row r="3" spans="2:31" ht="17.25" customHeight="1">
      <c r="B3" s="322" t="s">
        <v>236</v>
      </c>
      <c r="C3" s="322" t="s">
        <v>237</v>
      </c>
      <c r="D3" s="322" t="s">
        <v>238</v>
      </c>
      <c r="E3" s="322" t="s">
        <v>239</v>
      </c>
      <c r="F3" s="322" t="s">
        <v>240</v>
      </c>
      <c r="G3" s="84"/>
      <c r="H3" s="82"/>
      <c r="I3" s="84"/>
      <c r="J3" s="322" t="s">
        <v>236</v>
      </c>
      <c r="K3" s="322" t="s">
        <v>237</v>
      </c>
      <c r="L3" s="322" t="s">
        <v>238</v>
      </c>
      <c r="M3" s="322" t="s">
        <v>239</v>
      </c>
      <c r="N3" s="322" t="s">
        <v>240</v>
      </c>
      <c r="O3" s="14" t="s">
        <v>241</v>
      </c>
      <c r="P3" s="58" t="s">
        <v>204</v>
      </c>
      <c r="R3" s="310" t="s">
        <v>192</v>
      </c>
      <c r="S3" s="310" t="s">
        <v>242</v>
      </c>
      <c r="T3" s="310" t="s">
        <v>243</v>
      </c>
      <c r="U3" s="310" t="s">
        <v>244</v>
      </c>
      <c r="V3" s="310" t="s">
        <v>380</v>
      </c>
      <c r="X3" s="27" t="s">
        <v>245</v>
      </c>
      <c r="Y3" s="27">
        <v>806</v>
      </c>
      <c r="Z3" s="27" t="s">
        <v>246</v>
      </c>
      <c r="AC3" s="130" t="s">
        <v>247</v>
      </c>
    </row>
    <row r="4" spans="2:31">
      <c r="B4" s="27" t="s">
        <v>248</v>
      </c>
      <c r="C4" s="27" t="s">
        <v>201</v>
      </c>
      <c r="D4" s="113">
        <f>Z6/Y3*'Budget - Freezer Beef'!G3</f>
        <v>15.593234739454093</v>
      </c>
      <c r="E4" s="131">
        <v>100</v>
      </c>
      <c r="F4" s="113">
        <f>D4*E4/100</f>
        <v>15.593234739454095</v>
      </c>
      <c r="G4" s="27">
        <v>0</v>
      </c>
      <c r="H4" s="27">
        <f>IF($E$6&gt;0,0,100)</f>
        <v>100</v>
      </c>
      <c r="J4" s="27" t="s">
        <v>249</v>
      </c>
      <c r="K4" s="131" t="s">
        <v>201</v>
      </c>
      <c r="L4" s="113">
        <f>Z16/Y3*'Budget - Freezer Beef'!G3</f>
        <v>26.413030272952852</v>
      </c>
      <c r="M4" s="131">
        <v>100</v>
      </c>
      <c r="N4" s="113">
        <f>L4*M4/100</f>
        <v>26.413030272952852</v>
      </c>
      <c r="O4" s="14">
        <v>0</v>
      </c>
      <c r="P4" s="58">
        <v>100</v>
      </c>
      <c r="R4" s="27" t="s">
        <v>200</v>
      </c>
      <c r="S4" s="113">
        <f>SUM(D4,D8)</f>
        <v>55.796200496277919</v>
      </c>
      <c r="T4" s="113">
        <f>SUM(F4:F11)</f>
        <v>39.778660049627796</v>
      </c>
      <c r="U4" s="131">
        <v>30</v>
      </c>
      <c r="V4" s="113">
        <f>(S4-T4)*(1-U4/100)+Z13/Y3*'Budget - Freezer Beef'!G3</f>
        <v>107.31752099255583</v>
      </c>
      <c r="X4" s="84" t="s">
        <v>192</v>
      </c>
      <c r="Y4" s="84" t="s">
        <v>250</v>
      </c>
      <c r="Z4" s="84" t="s">
        <v>251</v>
      </c>
      <c r="AA4" s="84" t="s">
        <v>252</v>
      </c>
      <c r="AB4" s="84" t="s">
        <v>253</v>
      </c>
      <c r="AC4" s="84" t="s">
        <v>254</v>
      </c>
    </row>
    <row r="5" spans="2:31" ht="18.75">
      <c r="B5" s="387" t="s">
        <v>255</v>
      </c>
      <c r="C5" s="387"/>
      <c r="D5" s="387"/>
      <c r="E5" s="387"/>
      <c r="F5" s="387"/>
      <c r="J5" s="407" t="s">
        <v>216</v>
      </c>
      <c r="K5" s="407"/>
      <c r="L5" s="407"/>
      <c r="M5" s="407"/>
      <c r="N5" s="407"/>
      <c r="O5" s="14"/>
      <c r="P5" s="14"/>
      <c r="R5" s="27" t="s">
        <v>207</v>
      </c>
      <c r="S5" s="113">
        <f>SUM(L4:L4)</f>
        <v>26.413030272952852</v>
      </c>
      <c r="T5" s="113">
        <f>SUM(N4:N4)</f>
        <v>26.413030272952852</v>
      </c>
      <c r="U5" s="131">
        <v>30</v>
      </c>
      <c r="V5" s="113">
        <f>(S5-T5)*(1-U5/100)+Z18/Y3*'Budget - Freezer Beef'!G3</f>
        <v>19.093756823821341</v>
      </c>
      <c r="X5" s="132" t="s">
        <v>200</v>
      </c>
      <c r="Y5" s="133"/>
      <c r="Z5" s="133">
        <v>213.1</v>
      </c>
      <c r="AA5" s="133">
        <v>29</v>
      </c>
      <c r="AB5" s="132"/>
      <c r="AC5" s="134">
        <f>Z5/$Y$3</f>
        <v>0.26439205955334988</v>
      </c>
      <c r="AE5" s="130" t="s">
        <v>256</v>
      </c>
    </row>
    <row r="6" spans="2:31">
      <c r="B6" s="27" t="s">
        <v>257</v>
      </c>
      <c r="C6" s="27" t="s">
        <v>201</v>
      </c>
      <c r="D6" s="113">
        <f>D4-1.5</f>
        <v>14.093234739454093</v>
      </c>
      <c r="E6" s="131"/>
      <c r="F6" s="113">
        <f>D6*E6/100</f>
        <v>0</v>
      </c>
      <c r="G6" s="27">
        <v>0</v>
      </c>
      <c r="H6" s="27">
        <f>IF($E$4&gt;0,0,100)</f>
        <v>0</v>
      </c>
      <c r="J6" s="117" t="s">
        <v>236</v>
      </c>
      <c r="K6" s="117" t="s">
        <v>237</v>
      </c>
      <c r="L6" s="117" t="s">
        <v>238</v>
      </c>
      <c r="M6" s="117" t="s">
        <v>239</v>
      </c>
      <c r="N6" s="117" t="s">
        <v>240</v>
      </c>
      <c r="O6" s="14" t="s">
        <v>258</v>
      </c>
      <c r="P6" s="14" t="s">
        <v>259</v>
      </c>
      <c r="R6" s="27" t="s">
        <v>210</v>
      </c>
      <c r="S6" s="113">
        <f>D14</f>
        <v>39.036125062034735</v>
      </c>
      <c r="T6" s="113">
        <f>SUM(F14:F17)</f>
        <v>39.036125062034735</v>
      </c>
      <c r="U6" s="131">
        <v>20</v>
      </c>
      <c r="V6" s="113">
        <f>(S6-T6)*(1-U6/100)+Z29+Z23/Y3*'Budget - Freezer Beef'!G3</f>
        <v>20.446356327543427</v>
      </c>
      <c r="Y6" s="27" t="s">
        <v>260</v>
      </c>
      <c r="Z6" s="27">
        <v>14.7</v>
      </c>
      <c r="AA6" s="135">
        <f>Z6/$Y$3</f>
        <v>1.8238213399503721E-2</v>
      </c>
      <c r="AB6" s="27" t="s">
        <v>261</v>
      </c>
    </row>
    <row r="7" spans="2:31">
      <c r="B7" s="387" t="s">
        <v>262</v>
      </c>
      <c r="C7" s="387"/>
      <c r="D7" s="387"/>
      <c r="E7" s="387"/>
      <c r="F7" s="387"/>
      <c r="J7" s="83" t="s">
        <v>263</v>
      </c>
      <c r="K7" s="131" t="s">
        <v>204</v>
      </c>
      <c r="L7" s="318">
        <f>Z25/Y3*'Budget - Freezer Beef'!G3</f>
        <v>18.032992555831267</v>
      </c>
      <c r="M7" s="131">
        <v>100</v>
      </c>
      <c r="N7" s="113">
        <f>L7*M7/100</f>
        <v>18.032992555831267</v>
      </c>
      <c r="O7" s="14">
        <v>0</v>
      </c>
      <c r="P7" s="14">
        <f>IF(SUM(M9:M10)&gt;0,0,100)</f>
        <v>100</v>
      </c>
      <c r="R7" s="27" t="s">
        <v>216</v>
      </c>
      <c r="S7" s="113">
        <f>Z27/Y3*'Budget - Freezer Beef'!G3+SUM('Retail cuts selection'!L9:L12)-(SUM(L18:L19)-SUM(N18:N19))</f>
        <v>28.640635235732006</v>
      </c>
      <c r="T7" s="113">
        <f>SUM(N7:N14)</f>
        <v>43.067029280397023</v>
      </c>
      <c r="U7" s="131">
        <v>20</v>
      </c>
      <c r="V7" s="113">
        <f>(S7-T7)*(1-U7/100)+Z29/Y3*'Budget - Freezer Beef'!G3</f>
        <v>3.7338902233250568</v>
      </c>
      <c r="Y7" s="27" t="s">
        <v>264</v>
      </c>
      <c r="Z7" s="27">
        <v>37.9</v>
      </c>
      <c r="AA7" s="135">
        <f t="shared" ref="AA7:AA14" si="0">Z7/$Y$3</f>
        <v>4.7022332506203475E-2</v>
      </c>
      <c r="AB7" s="27" t="s">
        <v>265</v>
      </c>
    </row>
    <row r="8" spans="2:31">
      <c r="B8" s="27" t="s">
        <v>266</v>
      </c>
      <c r="C8" s="27" t="s">
        <v>201</v>
      </c>
      <c r="D8" s="113">
        <f>Z7/Y3*'Budget - Freezer Beef'!G3</f>
        <v>40.202965756823822</v>
      </c>
      <c r="E8" s="131"/>
      <c r="F8" s="113">
        <f>D8*E8/100</f>
        <v>0</v>
      </c>
      <c r="G8" s="27">
        <v>0</v>
      </c>
      <c r="H8" s="27">
        <f>IF(SUM(E10:E11)&gt;0,0,100)</f>
        <v>0</v>
      </c>
      <c r="J8" s="387" t="s">
        <v>255</v>
      </c>
      <c r="K8" s="387"/>
      <c r="L8" s="387"/>
      <c r="M8" s="387"/>
      <c r="N8" s="387"/>
      <c r="O8" s="14"/>
      <c r="P8" s="14"/>
      <c r="R8" s="27" t="s">
        <v>219</v>
      </c>
      <c r="S8" s="113">
        <f>SUM(D20:D25)</f>
        <v>118.91167444168735</v>
      </c>
      <c r="T8" s="113">
        <f>SUM(F20:F26)</f>
        <v>77.329715136476437</v>
      </c>
      <c r="U8" s="131">
        <v>30</v>
      </c>
      <c r="V8" s="113">
        <f>(S8-T8)*(1-U8/100)+Z39/Y3*'Budget - Freezer Beef'!G3</f>
        <v>57.535853895781642</v>
      </c>
      <c r="Y8" s="27" t="s">
        <v>267</v>
      </c>
      <c r="Z8" s="27">
        <v>12.5</v>
      </c>
      <c r="AA8" s="135">
        <f t="shared" si="0"/>
        <v>1.5508684863523574E-2</v>
      </c>
      <c r="AB8" s="27" t="s">
        <v>268</v>
      </c>
    </row>
    <row r="9" spans="2:31">
      <c r="B9" s="387" t="s">
        <v>255</v>
      </c>
      <c r="C9" s="387"/>
      <c r="D9" s="387"/>
      <c r="E9" s="387"/>
      <c r="F9" s="387"/>
      <c r="J9" s="27" t="s">
        <v>269</v>
      </c>
      <c r="K9" s="131" t="s">
        <v>204</v>
      </c>
      <c r="L9" s="318">
        <f>Z26/Y3*'Budget - Freezer Beef'!G3</f>
        <v>4.4552099255583126</v>
      </c>
      <c r="M9" s="131"/>
      <c r="N9" s="113">
        <f>L9*M9/100</f>
        <v>0</v>
      </c>
      <c r="O9" s="14">
        <v>0</v>
      </c>
      <c r="P9" s="14">
        <f>IF(M7&gt;0,0,100)</f>
        <v>0</v>
      </c>
      <c r="R9" s="89" t="s">
        <v>270</v>
      </c>
      <c r="S9" s="115">
        <f>SUM(L17:L21)</f>
        <v>70.646900248138962</v>
      </c>
      <c r="T9" s="115">
        <f>SUM(N17:N21)</f>
        <v>35.853832258064514</v>
      </c>
      <c r="U9" s="136">
        <v>70</v>
      </c>
      <c r="V9" s="115">
        <f>(S9-T9)*(1-U9/100)+Z47/Y3*'Budget - Freezer Beef'!G3</f>
        <v>61.778910967741936</v>
      </c>
      <c r="Y9" s="27" t="s">
        <v>271</v>
      </c>
      <c r="Z9" s="27">
        <v>6.3</v>
      </c>
      <c r="AA9" s="135">
        <f t="shared" si="0"/>
        <v>7.8163771712158811E-3</v>
      </c>
      <c r="AB9" s="27" t="s">
        <v>272</v>
      </c>
    </row>
    <row r="10" spans="2:31">
      <c r="B10" s="27" t="s">
        <v>273</v>
      </c>
      <c r="C10" s="27" t="s">
        <v>204</v>
      </c>
      <c r="D10" s="113">
        <f>Z10/Y3*'Budget - Freezer Beef'!G3</f>
        <v>10.925871960297767</v>
      </c>
      <c r="E10" s="131">
        <v>100</v>
      </c>
      <c r="F10" s="113">
        <f>D10*E10/100</f>
        <v>10.925871960297767</v>
      </c>
      <c r="G10" s="27">
        <v>0</v>
      </c>
      <c r="H10" s="27">
        <f>IF($E$8&gt;0,0,100)</f>
        <v>100</v>
      </c>
      <c r="J10" s="27" t="s">
        <v>274</v>
      </c>
      <c r="K10" s="131" t="s">
        <v>204</v>
      </c>
      <c r="L10" s="318">
        <f>(Z25-Z26)/Y3*'Budget - Freezer Beef'!G3</f>
        <v>13.577782630272953</v>
      </c>
      <c r="M10" s="131"/>
      <c r="N10" s="113">
        <f>L10*M10/100</f>
        <v>0</v>
      </c>
      <c r="O10" s="14">
        <v>0</v>
      </c>
      <c r="P10" s="14">
        <f>IF(M7&gt;0,0,100)</f>
        <v>0</v>
      </c>
      <c r="R10" s="320" t="s">
        <v>275</v>
      </c>
      <c r="S10" s="321">
        <f>SUM(S4:S9)</f>
        <v>339.44456575682386</v>
      </c>
      <c r="T10" s="321">
        <f>SUM(T4:T9)</f>
        <v>261.47839205955336</v>
      </c>
      <c r="U10" s="320"/>
      <c r="V10" s="321">
        <f>SUM(V4:V9)</f>
        <v>269.90628923076923</v>
      </c>
      <c r="Y10" s="27" t="s">
        <v>276</v>
      </c>
      <c r="Z10" s="27">
        <v>10.3</v>
      </c>
      <c r="AA10" s="135">
        <f t="shared" si="0"/>
        <v>1.2779156327543425E-2</v>
      </c>
      <c r="AB10" s="27" t="s">
        <v>277</v>
      </c>
    </row>
    <row r="11" spans="2:31">
      <c r="B11" s="27" t="s">
        <v>278</v>
      </c>
      <c r="C11" s="131" t="s">
        <v>201</v>
      </c>
      <c r="D11" s="113">
        <f>Z8/Y3*'Budget - Freezer Beef'!G3</f>
        <v>13.259553349875931</v>
      </c>
      <c r="E11" s="131">
        <v>100</v>
      </c>
      <c r="F11" s="113">
        <f t="shared" ref="F11" si="1">D11*E11/100</f>
        <v>13.259553349875933</v>
      </c>
      <c r="G11" s="27">
        <v>0</v>
      </c>
      <c r="H11" s="27">
        <f>IF($E$8&gt;0,0,100)</f>
        <v>100</v>
      </c>
      <c r="J11" s="387" t="s">
        <v>262</v>
      </c>
      <c r="K11" s="387"/>
      <c r="L11" s="387"/>
      <c r="M11" s="387"/>
      <c r="N11" s="387"/>
      <c r="O11" s="14"/>
      <c r="P11" s="14"/>
      <c r="R11" s="135">
        <f>SUM(T10,V10)/'Budget - Freezer Beef'!G3</f>
        <v>0.62151999739211694</v>
      </c>
      <c r="S11" s="27" t="s">
        <v>279</v>
      </c>
      <c r="T11" s="135">
        <f>SUM(T10,V10)/AVERAGE(Inputs!I30:I30)</f>
        <v>0.36396211047282367</v>
      </c>
      <c r="V11" s="27" t="s">
        <v>280</v>
      </c>
      <c r="Y11" s="27" t="s">
        <v>281</v>
      </c>
      <c r="Z11" s="27">
        <v>2.1</v>
      </c>
      <c r="AA11" s="135">
        <f t="shared" si="0"/>
        <v>2.6054590570719605E-3</v>
      </c>
      <c r="AB11" s="27" t="s">
        <v>282</v>
      </c>
    </row>
    <row r="12" spans="2:31" ht="18" customHeight="1">
      <c r="B12" s="407" t="s">
        <v>210</v>
      </c>
      <c r="C12" s="407"/>
      <c r="D12" s="407"/>
      <c r="E12" s="407"/>
      <c r="F12" s="407"/>
      <c r="G12" s="82"/>
      <c r="H12" s="82"/>
      <c r="I12" s="128"/>
      <c r="J12" s="27" t="s">
        <v>283</v>
      </c>
      <c r="K12" s="131" t="s">
        <v>201</v>
      </c>
      <c r="L12" s="318">
        <f>Z28/Y3*'Budget - Freezer Beef'!G3</f>
        <v>9.3347255583126572</v>
      </c>
      <c r="M12" s="131"/>
      <c r="N12" s="113">
        <f>L12*M12/100</f>
        <v>0</v>
      </c>
      <c r="O12" s="14">
        <v>0</v>
      </c>
      <c r="P12" s="14">
        <v>100</v>
      </c>
      <c r="Y12" s="27" t="s">
        <v>284</v>
      </c>
      <c r="Z12" s="27">
        <v>2.8</v>
      </c>
      <c r="AA12" s="135">
        <f t="shared" si="0"/>
        <v>3.47394540942928E-3</v>
      </c>
      <c r="AB12" s="27">
        <v>130</v>
      </c>
    </row>
    <row r="13" spans="2:31">
      <c r="B13" s="117" t="s">
        <v>236</v>
      </c>
      <c r="C13" s="117" t="s">
        <v>237</v>
      </c>
      <c r="D13" s="117" t="s">
        <v>238</v>
      </c>
      <c r="E13" s="117" t="s">
        <v>239</v>
      </c>
      <c r="F13" s="117" t="s">
        <v>240</v>
      </c>
      <c r="G13" s="84"/>
      <c r="H13" s="84"/>
      <c r="I13" s="84"/>
      <c r="J13" s="387" t="s">
        <v>262</v>
      </c>
      <c r="K13" s="387"/>
      <c r="L13" s="387"/>
      <c r="M13" s="387"/>
      <c r="N13" s="387"/>
      <c r="O13" s="14"/>
      <c r="P13" s="14"/>
      <c r="Y13" s="27" t="s">
        <v>285</v>
      </c>
      <c r="Z13" s="27">
        <v>90.6</v>
      </c>
      <c r="AA13" s="135">
        <f t="shared" si="0"/>
        <v>0.11240694789081886</v>
      </c>
      <c r="AB13" s="27">
        <v>136</v>
      </c>
    </row>
    <row r="14" spans="2:31">
      <c r="B14" s="27" t="s">
        <v>286</v>
      </c>
      <c r="C14" s="27" t="s">
        <v>204</v>
      </c>
      <c r="D14" s="113">
        <f>SUM(Z21:Z22)/Y3*'Budget - Freezer Beef'!G3</f>
        <v>39.036125062034735</v>
      </c>
      <c r="E14" s="131">
        <v>100</v>
      </c>
      <c r="F14" s="113">
        <f t="shared" ref="F14" si="2">D14*E14/100</f>
        <v>39.036125062034735</v>
      </c>
      <c r="G14" s="27">
        <v>0</v>
      </c>
      <c r="H14" s="27">
        <f>IF(SUM(E16:E17)&gt;0,0,100)</f>
        <v>100</v>
      </c>
      <c r="I14" s="84"/>
      <c r="J14" s="27" t="s">
        <v>223</v>
      </c>
      <c r="K14" s="27" t="s">
        <v>287</v>
      </c>
      <c r="L14" s="318">
        <f>Z27/Y3*'Budget - Freezer Beef'!G3+(SUM(L9:L10,L12,L18,L19)-SUM(N7:N12,N18,N19))</f>
        <v>25.034036724565755</v>
      </c>
      <c r="M14" s="131">
        <v>100</v>
      </c>
      <c r="N14" s="113">
        <f>L14*M14/100</f>
        <v>25.034036724565752</v>
      </c>
      <c r="O14" s="14">
        <v>0</v>
      </c>
      <c r="P14" s="14">
        <v>100</v>
      </c>
      <c r="Y14" s="27" t="s">
        <v>288</v>
      </c>
      <c r="Z14" s="27">
        <f>Z5-SUM(Z6:Z13)</f>
        <v>35.900000000000006</v>
      </c>
      <c r="AA14" s="135">
        <f t="shared" si="0"/>
        <v>4.4540942928039708E-2</v>
      </c>
    </row>
    <row r="15" spans="2:31" ht="18.75">
      <c r="B15" s="387" t="s">
        <v>255</v>
      </c>
      <c r="C15" s="387"/>
      <c r="D15" s="387"/>
      <c r="E15" s="387"/>
      <c r="F15" s="387"/>
      <c r="J15" s="407" t="s">
        <v>270</v>
      </c>
      <c r="K15" s="407"/>
      <c r="L15" s="407"/>
      <c r="M15" s="407"/>
      <c r="N15" s="407"/>
      <c r="O15" s="14"/>
      <c r="P15" s="14"/>
      <c r="X15" s="132" t="s">
        <v>207</v>
      </c>
      <c r="Y15" s="132"/>
      <c r="Z15" s="133">
        <v>77.900000000000006</v>
      </c>
      <c r="AA15" s="132">
        <v>9</v>
      </c>
      <c r="AB15" s="132"/>
      <c r="AC15" s="134">
        <f>Z15/$Y$3</f>
        <v>9.6650124069478913E-2</v>
      </c>
    </row>
    <row r="16" spans="2:31">
      <c r="B16" s="27" t="s">
        <v>289</v>
      </c>
      <c r="C16" s="27" t="s">
        <v>204</v>
      </c>
      <c r="D16" s="113">
        <f>Z21/Y3*'Budget - Freezer Beef'!G3</f>
        <v>26.413030272952852</v>
      </c>
      <c r="E16" s="131"/>
      <c r="F16" s="113">
        <f t="shared" ref="F16:F17" si="3">D16*E16/100</f>
        <v>0</v>
      </c>
      <c r="G16" s="27">
        <v>0</v>
      </c>
      <c r="H16" s="27">
        <f>IF($E$14&gt;0,0,100)</f>
        <v>0</v>
      </c>
      <c r="J16" s="117" t="s">
        <v>236</v>
      </c>
      <c r="K16" s="117" t="s">
        <v>237</v>
      </c>
      <c r="L16" s="137" t="s">
        <v>238</v>
      </c>
      <c r="M16" s="117" t="s">
        <v>239</v>
      </c>
      <c r="N16" s="117" t="s">
        <v>240</v>
      </c>
      <c r="O16" s="14"/>
      <c r="P16" s="14"/>
      <c r="Y16" s="27" t="s">
        <v>290</v>
      </c>
      <c r="Z16" s="27">
        <v>24.9</v>
      </c>
      <c r="AA16" s="135">
        <f>Z16/$Y$3</f>
        <v>3.0893300248138956E-2</v>
      </c>
      <c r="AB16" s="27">
        <v>112</v>
      </c>
    </row>
    <row r="17" spans="2:29" ht="16.5" thickBot="1">
      <c r="B17" s="27" t="s">
        <v>291</v>
      </c>
      <c r="C17" s="131" t="s">
        <v>201</v>
      </c>
      <c r="D17" s="113">
        <f>Z22/Y3*'Budget - Freezer Beef'!G3</f>
        <v>12.623094789081886</v>
      </c>
      <c r="E17" s="131"/>
      <c r="F17" s="113">
        <f t="shared" si="3"/>
        <v>0</v>
      </c>
      <c r="G17" s="27">
        <v>0</v>
      </c>
      <c r="H17" s="27">
        <f>IF($E$14&gt;0,0,100)</f>
        <v>0</v>
      </c>
      <c r="J17" s="27" t="s">
        <v>292</v>
      </c>
      <c r="K17" s="27" t="s">
        <v>201</v>
      </c>
      <c r="L17" s="318">
        <f>Z42/Y3*'Budget - Freezer Beef'!G3</f>
        <v>29.277093796526056</v>
      </c>
      <c r="M17" s="131">
        <v>100</v>
      </c>
      <c r="N17" s="113">
        <f>L17*M17/100</f>
        <v>29.277093796526056</v>
      </c>
      <c r="O17" s="14">
        <v>0</v>
      </c>
      <c r="P17" s="14">
        <v>100</v>
      </c>
      <c r="Y17" s="27" t="s">
        <v>293</v>
      </c>
      <c r="Z17" s="27">
        <v>9.6</v>
      </c>
      <c r="AA17" s="135">
        <f>Z17/$Y$3</f>
        <v>1.1910669975186104E-2</v>
      </c>
      <c r="AB17" s="27">
        <v>8.6999999999999993</v>
      </c>
    </row>
    <row r="18" spans="2:29" ht="18.75">
      <c r="B18" s="402" t="s">
        <v>219</v>
      </c>
      <c r="C18" s="402"/>
      <c r="D18" s="402"/>
      <c r="E18" s="402"/>
      <c r="F18" s="402"/>
      <c r="G18" s="82"/>
      <c r="H18" s="82"/>
      <c r="J18" s="27" t="s">
        <v>294</v>
      </c>
      <c r="K18" s="27" t="s">
        <v>204</v>
      </c>
      <c r="L18" s="318">
        <f>Z43/Y3*'Budget - Freezer Beef'!G3</f>
        <v>4.8795156327543419</v>
      </c>
      <c r="M18" s="131"/>
      <c r="N18" s="113">
        <f t="shared" ref="N18:N26" si="4">L18*M18/100</f>
        <v>0</v>
      </c>
      <c r="O18" s="14">
        <v>0</v>
      </c>
      <c r="P18" s="14">
        <v>100</v>
      </c>
      <c r="Y18" s="27" t="s">
        <v>285</v>
      </c>
      <c r="Z18" s="27">
        <v>18</v>
      </c>
      <c r="AA18" s="135">
        <f>Z18/$Y$3</f>
        <v>2.2332506203473945E-2</v>
      </c>
      <c r="AB18" s="27">
        <v>136</v>
      </c>
    </row>
    <row r="19" spans="2:29">
      <c r="B19" s="117" t="s">
        <v>236</v>
      </c>
      <c r="C19" s="117" t="s">
        <v>237</v>
      </c>
      <c r="D19" s="117" t="s">
        <v>238</v>
      </c>
      <c r="E19" s="117" t="s">
        <v>239</v>
      </c>
      <c r="F19" s="117" t="s">
        <v>240</v>
      </c>
      <c r="G19" s="84"/>
      <c r="H19" s="84"/>
      <c r="I19" s="128"/>
      <c r="J19" s="27" t="s">
        <v>295</v>
      </c>
      <c r="K19" s="27" t="s">
        <v>204</v>
      </c>
      <c r="L19" s="318">
        <f>Z44/Y3*'Budget - Freezer Beef'!G3</f>
        <v>2.3336813895781643</v>
      </c>
      <c r="M19" s="131"/>
      <c r="N19" s="113">
        <f t="shared" si="4"/>
        <v>0</v>
      </c>
      <c r="O19" s="14">
        <v>0</v>
      </c>
      <c r="P19" s="14">
        <v>100</v>
      </c>
      <c r="Y19" s="27" t="s">
        <v>288</v>
      </c>
      <c r="Z19" s="27">
        <f>Z15-SUM(Z16:Z18)</f>
        <v>25.400000000000006</v>
      </c>
      <c r="AA19" s="135">
        <f>Z19/$Y$3</f>
        <v>3.1513647642679908E-2</v>
      </c>
    </row>
    <row r="20" spans="2:29">
      <c r="B20" s="27" t="s">
        <v>296</v>
      </c>
      <c r="C20" s="131" t="s">
        <v>201</v>
      </c>
      <c r="D20" s="113">
        <f>Z34/Y3*'Budget - Freezer Beef'!G3</f>
        <v>46.88578064516129</v>
      </c>
      <c r="E20" s="131"/>
      <c r="F20" s="113">
        <f t="shared" ref="F20:F26" si="5">D20*E20/100</f>
        <v>0</v>
      </c>
      <c r="G20" s="27">
        <v>0</v>
      </c>
      <c r="H20" s="27">
        <v>100</v>
      </c>
      <c r="I20" s="84"/>
      <c r="J20" s="27" t="s">
        <v>297</v>
      </c>
      <c r="K20" s="27" t="s">
        <v>298</v>
      </c>
      <c r="L20" s="113">
        <f>(Z12+Z17)/Y3*'Budget - Freezer Beef'!G3</f>
        <v>13.153476923076921</v>
      </c>
      <c r="M20" s="131">
        <v>50</v>
      </c>
      <c r="N20" s="113">
        <f t="shared" si="4"/>
        <v>6.5767384615384605</v>
      </c>
      <c r="O20" s="14">
        <v>0</v>
      </c>
      <c r="P20" s="14">
        <v>100</v>
      </c>
      <c r="X20" s="132" t="s">
        <v>210</v>
      </c>
      <c r="Y20" s="132"/>
      <c r="Z20" s="133">
        <v>124.4</v>
      </c>
      <c r="AA20" s="132">
        <v>16</v>
      </c>
      <c r="AB20" s="132"/>
      <c r="AC20" s="134">
        <f>Z20/$Y$3</f>
        <v>0.15434243176178661</v>
      </c>
    </row>
    <row r="21" spans="2:29">
      <c r="B21" s="27" t="s">
        <v>299</v>
      </c>
      <c r="C21" s="131" t="s">
        <v>201</v>
      </c>
      <c r="D21" s="113">
        <f>Z35/Y3*'Budget - Freezer Beef'!G3</f>
        <v>29.48924665012407</v>
      </c>
      <c r="E21" s="131"/>
      <c r="F21" s="113">
        <f t="shared" si="5"/>
        <v>0</v>
      </c>
      <c r="G21" s="27">
        <v>0</v>
      </c>
      <c r="H21" s="27">
        <v>100</v>
      </c>
      <c r="I21" s="84"/>
      <c r="J21" s="27" t="s">
        <v>230</v>
      </c>
      <c r="K21" s="27" t="s">
        <v>287</v>
      </c>
      <c r="L21" s="318">
        <f>Z46/Y3*'Budget - Freezer Beef'!G3</f>
        <v>21.003132506203475</v>
      </c>
      <c r="M21" s="131"/>
      <c r="N21" s="113">
        <f t="shared" si="4"/>
        <v>0</v>
      </c>
      <c r="O21" s="14">
        <v>0</v>
      </c>
      <c r="P21" s="14">
        <v>100</v>
      </c>
      <c r="Y21" s="27" t="s">
        <v>300</v>
      </c>
      <c r="Z21" s="27">
        <v>24.9</v>
      </c>
      <c r="AA21" s="135">
        <f>Z21/$Y$3</f>
        <v>3.0893300248138956E-2</v>
      </c>
      <c r="AB21" s="27">
        <v>117</v>
      </c>
    </row>
    <row r="22" spans="2:29">
      <c r="B22" s="27" t="s">
        <v>301</v>
      </c>
      <c r="C22" s="131" t="s">
        <v>201</v>
      </c>
      <c r="D22" s="113">
        <f>Z37/Y3*'Budget - Freezer Beef'!G3</f>
        <v>6.7888913151364765</v>
      </c>
      <c r="E22" s="131"/>
      <c r="F22" s="113">
        <f t="shared" si="5"/>
        <v>0</v>
      </c>
      <c r="G22" s="27">
        <v>0</v>
      </c>
      <c r="H22" s="27">
        <v>100</v>
      </c>
      <c r="J22" s="27" t="s">
        <v>227</v>
      </c>
      <c r="L22" s="318"/>
      <c r="N22" s="319">
        <v>15</v>
      </c>
      <c r="O22" s="14"/>
      <c r="P22" s="14"/>
      <c r="Y22" s="27" t="s">
        <v>302</v>
      </c>
      <c r="Z22" s="27">
        <v>11.9</v>
      </c>
      <c r="AA22" s="135">
        <f t="shared" ref="AA22:AA23" si="6">Z22/$Y$3</f>
        <v>1.4764267990074442E-2</v>
      </c>
      <c r="AB22" s="27" t="s">
        <v>303</v>
      </c>
    </row>
    <row r="23" spans="2:29">
      <c r="B23" s="27" t="s">
        <v>304</v>
      </c>
      <c r="C23" s="131" t="s">
        <v>201</v>
      </c>
      <c r="D23" s="113">
        <f>Z36/Y3*'Budget - Freezer Beef'!G3</f>
        <v>8.5921905707196036</v>
      </c>
      <c r="E23" s="131">
        <v>100</v>
      </c>
      <c r="F23" s="113">
        <f t="shared" si="5"/>
        <v>8.5921905707196036</v>
      </c>
      <c r="G23" s="27">
        <v>0</v>
      </c>
      <c r="H23" s="27">
        <v>100</v>
      </c>
      <c r="J23" s="27" t="s">
        <v>305</v>
      </c>
      <c r="K23" s="27" t="s">
        <v>306</v>
      </c>
      <c r="L23" s="318">
        <f>3.5/Y3*'Budget - Freezer Beef'!G3</f>
        <v>3.7126749379652608</v>
      </c>
      <c r="M23" s="131"/>
      <c r="N23" s="113">
        <f t="shared" si="4"/>
        <v>0</v>
      </c>
      <c r="O23" s="14">
        <v>0</v>
      </c>
      <c r="P23" s="14">
        <v>100</v>
      </c>
      <c r="Y23" s="27" t="s">
        <v>285</v>
      </c>
      <c r="Z23" s="27">
        <v>5.7</v>
      </c>
      <c r="AA23" s="135">
        <f t="shared" si="6"/>
        <v>7.07196029776675E-3</v>
      </c>
      <c r="AB23" s="27">
        <v>136</v>
      </c>
    </row>
    <row r="24" spans="2:29">
      <c r="B24" s="387" t="s">
        <v>262</v>
      </c>
      <c r="C24" s="387"/>
      <c r="D24" s="387"/>
      <c r="E24" s="387"/>
      <c r="F24" s="387"/>
      <c r="J24" s="27" t="s">
        <v>307</v>
      </c>
      <c r="K24" s="27" t="s">
        <v>306</v>
      </c>
      <c r="L24" s="318">
        <f>1/Y3*'Budget - Freezer Beef'!G3</f>
        <v>1.0607642679900744</v>
      </c>
      <c r="M24" s="131"/>
      <c r="N24" s="113">
        <f t="shared" si="4"/>
        <v>0</v>
      </c>
      <c r="O24" s="14">
        <v>0</v>
      </c>
      <c r="P24" s="14">
        <v>100</v>
      </c>
      <c r="X24" s="27" t="s">
        <v>216</v>
      </c>
    </row>
    <row r="25" spans="2:29">
      <c r="B25" s="27" t="s">
        <v>308</v>
      </c>
      <c r="C25" s="131" t="s">
        <v>201</v>
      </c>
      <c r="D25" s="113">
        <f>Z38/Y3*'Budget - Freezer Beef'!G3</f>
        <v>27.155565260545906</v>
      </c>
      <c r="E25" s="131">
        <v>100</v>
      </c>
      <c r="F25" s="113">
        <f t="shared" si="5"/>
        <v>27.155565260545906</v>
      </c>
      <c r="G25" s="27">
        <v>0</v>
      </c>
      <c r="H25" s="27">
        <v>100</v>
      </c>
      <c r="J25" s="27" t="s">
        <v>309</v>
      </c>
      <c r="K25" s="27" t="s">
        <v>306</v>
      </c>
      <c r="L25" s="318">
        <f>13/Y3*'Budget - Freezer Beef'!G3</f>
        <v>13.789935483870968</v>
      </c>
      <c r="M25" s="131"/>
      <c r="N25" s="113">
        <f t="shared" si="4"/>
        <v>0</v>
      </c>
      <c r="O25" s="14">
        <v>0</v>
      </c>
      <c r="P25" s="14">
        <v>100</v>
      </c>
      <c r="Y25" s="27" t="s">
        <v>310</v>
      </c>
      <c r="Z25" s="27">
        <v>17</v>
      </c>
      <c r="AA25" s="135">
        <f>Z25/$Y$3</f>
        <v>2.1091811414392061E-2</v>
      </c>
      <c r="AB25" s="27">
        <v>184</v>
      </c>
    </row>
    <row r="26" spans="2:29" ht="16.5" thickBot="1">
      <c r="B26" s="89" t="s">
        <v>228</v>
      </c>
      <c r="C26" s="89" t="s">
        <v>311</v>
      </c>
      <c r="D26" s="115">
        <f>SUM(D20:D23)-SUM(F20:F23)</f>
        <v>83.163918610421845</v>
      </c>
      <c r="E26" s="136">
        <v>50</v>
      </c>
      <c r="F26" s="115">
        <f t="shared" si="5"/>
        <v>41.581959305210923</v>
      </c>
      <c r="G26" s="27">
        <v>0</v>
      </c>
      <c r="H26" s="138">
        <v>100</v>
      </c>
      <c r="J26" s="119" t="s">
        <v>312</v>
      </c>
      <c r="K26" s="27" t="s">
        <v>306</v>
      </c>
      <c r="L26" s="139">
        <f>2.5/Y3*'Budget - Freezer Beef'!G3</f>
        <v>2.6519106699751864</v>
      </c>
      <c r="M26" s="131"/>
      <c r="N26" s="120">
        <f t="shared" si="4"/>
        <v>0</v>
      </c>
      <c r="O26" s="14">
        <v>0</v>
      </c>
      <c r="P26" s="14">
        <v>100</v>
      </c>
      <c r="Y26" s="27" t="s">
        <v>313</v>
      </c>
      <c r="Z26" s="27">
        <v>4.2</v>
      </c>
      <c r="AA26" s="135">
        <f t="shared" ref="AA26:AA32" si="7">Z26/$Y$3</f>
        <v>5.210918114143921E-3</v>
      </c>
      <c r="AB26" s="27" t="s">
        <v>314</v>
      </c>
    </row>
    <row r="27" spans="2:29" ht="19.5" thickBot="1">
      <c r="D27" s="113"/>
      <c r="G27" s="127"/>
      <c r="H27" s="127"/>
      <c r="J27" s="402" t="s">
        <v>315</v>
      </c>
      <c r="K27" s="402"/>
      <c r="L27" s="402"/>
      <c r="M27" s="402"/>
      <c r="N27" s="402"/>
      <c r="O27" s="14"/>
      <c r="P27" s="14"/>
      <c r="Y27" s="27" t="s">
        <v>316</v>
      </c>
      <c r="Z27" s="27">
        <v>8</v>
      </c>
      <c r="AA27" s="135">
        <f t="shared" si="7"/>
        <v>9.9255583126550868E-3</v>
      </c>
      <c r="AB27" s="27">
        <v>185</v>
      </c>
    </row>
    <row r="28" spans="2:29">
      <c r="D28" s="113"/>
      <c r="G28" s="127"/>
      <c r="H28" s="127"/>
      <c r="J28" s="140" t="s">
        <v>288</v>
      </c>
      <c r="K28" s="140"/>
      <c r="L28" s="141">
        <f>SUM(Z14,Z19,Z32,Z40,Z48)/Y3*'Budget - Freezer Beef'!G3</f>
        <v>244.71831662531019</v>
      </c>
      <c r="M28" s="140"/>
      <c r="N28" s="140"/>
      <c r="O28" s="14"/>
      <c r="P28" s="14"/>
      <c r="Y28" s="27" t="s">
        <v>317</v>
      </c>
      <c r="Z28" s="27">
        <v>8.8000000000000007</v>
      </c>
      <c r="AA28" s="135">
        <f t="shared" si="7"/>
        <v>1.0918114143920597E-2</v>
      </c>
      <c r="AB28" s="27">
        <v>185</v>
      </c>
    </row>
    <row r="29" spans="2:29">
      <c r="D29" s="113"/>
      <c r="G29" s="127"/>
      <c r="H29" s="127"/>
      <c r="J29" s="89" t="s">
        <v>318</v>
      </c>
      <c r="K29" s="89"/>
      <c r="L29" s="115">
        <f>SUM(L21-N21,L23-N23,L24-N24,L25-N25,L26-N26)</f>
        <v>42.218417866004962</v>
      </c>
      <c r="M29" s="89"/>
      <c r="N29" s="89"/>
      <c r="Y29" s="27" t="s">
        <v>285</v>
      </c>
      <c r="Z29" s="27">
        <v>14.4</v>
      </c>
      <c r="AA29" s="135">
        <f t="shared" si="7"/>
        <v>1.7866004962779156E-2</v>
      </c>
      <c r="AB29" s="27">
        <v>136</v>
      </c>
    </row>
    <row r="30" spans="2:29" ht="67.5" customHeight="1">
      <c r="B30" s="408" t="s">
        <v>362</v>
      </c>
      <c r="C30" s="408"/>
      <c r="D30" s="408"/>
      <c r="E30" s="408"/>
      <c r="F30" s="408"/>
      <c r="G30" s="408"/>
      <c r="H30" s="408"/>
      <c r="I30" s="408"/>
      <c r="J30" s="408"/>
      <c r="K30" s="408"/>
      <c r="L30" s="408"/>
      <c r="M30" s="408"/>
      <c r="N30" s="408"/>
      <c r="AA30" s="135"/>
    </row>
    <row r="31" spans="2:29">
      <c r="B31" s="142"/>
      <c r="C31" s="142"/>
      <c r="D31" s="142"/>
      <c r="E31" s="142"/>
      <c r="F31" s="142"/>
      <c r="G31" s="127"/>
      <c r="H31" s="127"/>
      <c r="L31" s="113"/>
      <c r="AA31" s="135"/>
    </row>
    <row r="32" spans="2:29" ht="17.25" hidden="1" customHeight="1">
      <c r="B32" s="143"/>
      <c r="C32" s="143"/>
      <c r="D32" s="143"/>
      <c r="E32" s="143"/>
      <c r="F32" s="143"/>
      <c r="G32" s="142"/>
      <c r="H32" s="142"/>
      <c r="I32" s="138"/>
      <c r="J32" s="142"/>
      <c r="K32" s="142"/>
      <c r="L32" s="142"/>
      <c r="M32" s="142"/>
      <c r="N32" s="142"/>
      <c r="Y32" s="27" t="s">
        <v>288</v>
      </c>
      <c r="Z32" s="27">
        <f>Z20-SUM(Z21:Z29)</f>
        <v>29.5</v>
      </c>
      <c r="AA32" s="135">
        <f t="shared" si="7"/>
        <v>3.6600496277915631E-2</v>
      </c>
    </row>
    <row r="33" spans="7:29" ht="18" hidden="1" customHeight="1">
      <c r="G33" s="142"/>
      <c r="H33" s="142"/>
      <c r="I33" s="142"/>
      <c r="J33" s="142"/>
      <c r="K33" s="142"/>
      <c r="L33" s="142"/>
      <c r="M33" s="142"/>
      <c r="N33" s="142"/>
      <c r="X33" s="132" t="s">
        <v>219</v>
      </c>
      <c r="Y33" s="132"/>
      <c r="Z33" s="133">
        <v>175.8</v>
      </c>
      <c r="AA33" s="132">
        <v>22</v>
      </c>
      <c r="AB33" s="132"/>
      <c r="AC33" s="134">
        <f>Z33/$Y$3</f>
        <v>0.21811414392059555</v>
      </c>
    </row>
    <row r="34" spans="7:29" ht="16.5" hidden="1" customHeight="1">
      <c r="G34" s="143"/>
      <c r="H34" s="143"/>
      <c r="I34" s="142"/>
      <c r="Y34" s="27" t="s">
        <v>319</v>
      </c>
      <c r="Z34" s="27">
        <v>44.2</v>
      </c>
      <c r="AA34" s="135">
        <f>Z34/$Y$3</f>
        <v>5.4838709677419356E-2</v>
      </c>
      <c r="AB34" s="27">
        <v>169</v>
      </c>
    </row>
    <row r="35" spans="7:29" ht="18" hidden="1" customHeight="1">
      <c r="I35" s="143"/>
      <c r="Y35" s="27" t="s">
        <v>320</v>
      </c>
      <c r="Z35" s="27">
        <v>27.8</v>
      </c>
      <c r="AA35" s="135">
        <f t="shared" ref="AA35:AA40" si="8">Z35/$Y$3</f>
        <v>3.4491315136476429E-2</v>
      </c>
      <c r="AB35" s="27">
        <v>170</v>
      </c>
    </row>
    <row r="36" spans="7:29" ht="15" hidden="1" customHeight="1">
      <c r="I36" s="127"/>
      <c r="Y36" s="27" t="s">
        <v>321</v>
      </c>
      <c r="Z36" s="27">
        <v>8.1</v>
      </c>
      <c r="AA36" s="135">
        <f t="shared" si="8"/>
        <v>1.0049627791563275E-2</v>
      </c>
      <c r="AB36" s="27" t="s">
        <v>322</v>
      </c>
    </row>
    <row r="37" spans="7:29" ht="15" hidden="1" customHeight="1">
      <c r="I37" s="127"/>
      <c r="Y37" s="27" t="s">
        <v>323</v>
      </c>
      <c r="Z37" s="27">
        <v>6.4</v>
      </c>
      <c r="AA37" s="135">
        <f t="shared" si="8"/>
        <v>7.9404466501240695E-3</v>
      </c>
    </row>
    <row r="38" spans="7:29" hidden="1">
      <c r="Y38" s="27" t="s">
        <v>324</v>
      </c>
      <c r="Z38" s="27">
        <v>25.6</v>
      </c>
      <c r="AA38" s="135">
        <f t="shared" si="8"/>
        <v>3.1761786600496278E-2</v>
      </c>
      <c r="AB38" s="27">
        <v>167</v>
      </c>
    </row>
    <row r="39" spans="7:29" hidden="1">
      <c r="Y39" s="27" t="s">
        <v>285</v>
      </c>
      <c r="Z39" s="27">
        <v>26.8</v>
      </c>
      <c r="AA39" s="135">
        <f t="shared" si="8"/>
        <v>3.3250620347394545E-2</v>
      </c>
      <c r="AB39" s="27">
        <v>136</v>
      </c>
    </row>
    <row r="40" spans="7:29" hidden="1">
      <c r="Y40" s="27" t="s">
        <v>288</v>
      </c>
      <c r="Z40" s="27">
        <f>Z33-SUM(Z34:Z39)</f>
        <v>36.900000000000006</v>
      </c>
      <c r="AA40" s="135">
        <f t="shared" si="8"/>
        <v>4.5781637717121598E-2</v>
      </c>
    </row>
    <row r="41" spans="7:29" hidden="1">
      <c r="X41" s="132" t="s">
        <v>270</v>
      </c>
      <c r="Y41" s="132"/>
      <c r="Z41" s="133">
        <v>214.8</v>
      </c>
      <c r="AA41" s="132">
        <f>100-SUM(AA5,AA15,AA20,AA33)</f>
        <v>24</v>
      </c>
      <c r="AB41" s="132"/>
      <c r="AC41" s="134">
        <f>Z41/$Y$3</f>
        <v>0.26650124069478909</v>
      </c>
    </row>
    <row r="42" spans="7:29" hidden="1">
      <c r="Y42" s="27" t="s">
        <v>221</v>
      </c>
      <c r="Z42" s="27">
        <v>27.6</v>
      </c>
      <c r="AA42" s="135">
        <f>Z42/$Y$3</f>
        <v>3.4243176178660052E-2</v>
      </c>
      <c r="AB42" s="27">
        <v>121</v>
      </c>
    </row>
    <row r="43" spans="7:29" hidden="1">
      <c r="Y43" s="27" t="s">
        <v>220</v>
      </c>
      <c r="Z43" s="27">
        <v>4.5999999999999996</v>
      </c>
      <c r="AA43" s="135">
        <f t="shared" ref="AA43:AA48" si="9">Z43/$Y$3</f>
        <v>5.7071960297766745E-3</v>
      </c>
      <c r="AB43" s="27">
        <v>193</v>
      </c>
    </row>
    <row r="44" spans="7:29" hidden="1">
      <c r="Y44" s="27" t="s">
        <v>325</v>
      </c>
      <c r="Z44" s="27">
        <v>2.2000000000000002</v>
      </c>
      <c r="AA44" s="135">
        <f t="shared" si="9"/>
        <v>2.7295285359801493E-3</v>
      </c>
      <c r="AB44" s="27">
        <v>140</v>
      </c>
    </row>
    <row r="45" spans="7:29" hidden="1">
      <c r="Y45" s="27" t="s">
        <v>326</v>
      </c>
      <c r="Z45" s="27">
        <v>9.1999999999999993</v>
      </c>
      <c r="AA45" s="135">
        <f t="shared" si="9"/>
        <v>1.1414392059553349E-2</v>
      </c>
      <c r="AB45" s="27">
        <v>1121</v>
      </c>
    </row>
    <row r="46" spans="7:29" hidden="1">
      <c r="Y46" s="27" t="s">
        <v>230</v>
      </c>
      <c r="Z46" s="27">
        <v>19.8</v>
      </c>
      <c r="AA46" s="135">
        <f t="shared" si="9"/>
        <v>2.4565756823821342E-2</v>
      </c>
    </row>
    <row r="47" spans="7:29" hidden="1">
      <c r="Y47" s="27" t="s">
        <v>285</v>
      </c>
      <c r="Z47" s="27">
        <v>48.4</v>
      </c>
      <c r="AA47" s="135">
        <f t="shared" si="9"/>
        <v>6.0049627791563275E-2</v>
      </c>
      <c r="AB47" s="27">
        <v>136</v>
      </c>
    </row>
    <row r="48" spans="7:29" hidden="1">
      <c r="Y48" s="27" t="s">
        <v>327</v>
      </c>
      <c r="Z48" s="27">
        <f>Z41-SUM(Z42:Z47)</f>
        <v>103</v>
      </c>
      <c r="AA48" s="135">
        <f t="shared" si="9"/>
        <v>0.12779156327543426</v>
      </c>
    </row>
    <row r="49" spans="24:29" hidden="1">
      <c r="X49" s="132" t="s">
        <v>106</v>
      </c>
      <c r="Y49" s="132"/>
      <c r="Z49" s="132">
        <f>SUM(Z5,Z15,Z20,Z33,Z41)</f>
        <v>806</v>
      </c>
      <c r="AA49" s="132">
        <f>SUM(AA41,AA33,AA20,AA15,AA5)</f>
        <v>100</v>
      </c>
      <c r="AB49" s="132"/>
      <c r="AC49" s="134">
        <f>SUM(AC41,AC33,AC20,AC15,AC5)</f>
        <v>1</v>
      </c>
    </row>
  </sheetData>
  <sheetProtection sheet="1" objects="1" scenarios="1"/>
  <protectedRanges>
    <protectedRange sqref="C4 C11 E4 E8 M4 C17 E14 E16:E17 C6 C20:C23 C25 C8 E20:E23 E25:E26 K4 E10:E11 M9:M10 N22 M14 E6 K9:K11 M12 M7 K7 M17:M21 M23:M26" name="Grey cells"/>
    <protectedRange sqref="U4:U9" name="GB and loss"/>
  </protectedRanges>
  <mergeCells count="19">
    <mergeCell ref="B1:N1"/>
    <mergeCell ref="B24:F24"/>
    <mergeCell ref="J8:N8"/>
    <mergeCell ref="J11:N11"/>
    <mergeCell ref="J13:N13"/>
    <mergeCell ref="B7:F7"/>
    <mergeCell ref="B9:F9"/>
    <mergeCell ref="B30:N30"/>
    <mergeCell ref="B12:F12"/>
    <mergeCell ref="B18:F18"/>
    <mergeCell ref="J15:N15"/>
    <mergeCell ref="J27:N27"/>
    <mergeCell ref="B15:F15"/>
    <mergeCell ref="X2:AC2"/>
    <mergeCell ref="R2:V2"/>
    <mergeCell ref="B2:F2"/>
    <mergeCell ref="J2:N2"/>
    <mergeCell ref="J5:N5"/>
    <mergeCell ref="B5:F5"/>
  </mergeCells>
  <conditionalFormatting sqref="B4:F4">
    <cfRule type="expression" dxfId="8" priority="17">
      <formula>$H4=0</formula>
    </cfRule>
  </conditionalFormatting>
  <conditionalFormatting sqref="B6:F6">
    <cfRule type="expression" dxfId="7" priority="4">
      <formula>$H6=0</formula>
    </cfRule>
  </conditionalFormatting>
  <conditionalFormatting sqref="B8:F8">
    <cfRule type="expression" dxfId="6" priority="13">
      <formula>$H8=0</formula>
    </cfRule>
  </conditionalFormatting>
  <conditionalFormatting sqref="B10:F11">
    <cfRule type="expression" dxfId="5" priority="12">
      <formula>$H10=0</formula>
    </cfRule>
  </conditionalFormatting>
  <conditionalFormatting sqref="B16:F17">
    <cfRule type="expression" dxfId="4" priority="7">
      <formula>$H16=0</formula>
    </cfRule>
  </conditionalFormatting>
  <conditionalFormatting sqref="B20:F23">
    <cfRule type="expression" dxfId="3" priority="5">
      <formula>$H20=0</formula>
    </cfRule>
  </conditionalFormatting>
  <conditionalFormatting sqref="J7:N7">
    <cfRule type="expression" dxfId="2" priority="1">
      <formula>$P7=0</formula>
    </cfRule>
  </conditionalFormatting>
  <conditionalFormatting sqref="J9:N10">
    <cfRule type="expression" dxfId="1" priority="3">
      <formula>$P9=0</formula>
    </cfRule>
  </conditionalFormatting>
  <conditionalFormatting sqref="J12:N12">
    <cfRule type="expression" dxfId="0" priority="2">
      <formula>$P12=0</formula>
    </cfRule>
  </conditionalFormatting>
  <dataValidations disablePrompts="1" xWindow="1286" yWindow="410" count="5">
    <dataValidation type="whole" allowBlank="1" showInputMessage="1" showErrorMessage="1" errorTitle="Cutout not possible" error="The combination of beef cuts you have selected are not able to be delivered. Some cut choices use muscle groups that are also included in other cuts. Please change your desired cutout to allow this cut to be packaged." prompt="Enter the percent of total weight of this cut you would like returned as a whole-muscle beef as a whole number (0-100, no decimals)." sqref="E8 E14 E16:E17 E25:E26 E10:E11 E4 E6 E20:E21 E23 E22" xr:uid="{B1B43079-CA30-47E0-B879-6670F1D32EE0}">
      <formula1>G4</formula1>
      <formula2>H4</formula2>
    </dataValidation>
    <dataValidation type="whole" allowBlank="1" showInputMessage="1" showErrorMessage="1" error="The value entered exceeds the allowable range or the combination of cuts you have selected cannot be delivered. If other cuts using the same muscles have already been chosen, your selection must be changed to allow this cut." prompt="Enter  as a whole number (0-100) the percent of the cut to the left that you would like packaged. If you select any value less than 100%, the remainder will be added to the total weight for ground beef. " sqref="E8 E14 E16:E17 E25:E26 E10:E11 E4 E6 E20:E23 M7 M12 M14 M17:M21 M23:M24 M26 M25 M10 M9 M4" xr:uid="{90329AD2-E29D-4491-B2A4-208F8AB87A50}">
      <formula1>G4</formula1>
      <formula2>H4</formula2>
    </dataValidation>
    <dataValidation type="whole" allowBlank="1" showInputMessage="1" showErrorMessage="1" error="The value entered exceeds the allowable range or the combination of cuts you have selected cannot be delivered. If other cuts using the same muscles have already been chosen, your selection must be changed to allow this cut." prompt="Enter  as a whole number (0-100) the percent of the cut to the left that you would like packaged. If you select any value less than 100%, the remainder will be added to the total weight for ground beef. " sqref="M22" xr:uid="{A0297BC1-2476-4CB8-A41B-6A239490A3BE}">
      <formula1>#REF!</formula1>
      <formula2>#REF!</formula2>
    </dataValidation>
    <dataValidation type="whole" allowBlank="1" showInputMessage="1" showErrorMessage="1" errorTitle="Cutout not possible" error="The combination of beef cuts you have selected are not able to be delivered. Some cut choices use muscle groups that are also included in other cuts. Please change your desired cutout to allow this cut to be packaged." prompt="Enter the percent of total weight of this cut you would like returned as a whole-muscle beef as a whole number (0-100, no decimals)." sqref="M9:M10 M12 M14 M7 M4 M17:M26" xr:uid="{18AF9A48-EC82-4557-8CA4-317F863130FA}">
      <formula1>#REF!</formula1>
      <formula2>#REF!</formula2>
    </dataValidation>
    <dataValidation type="list" allowBlank="1" showInputMessage="1" showErrorMessage="1" prompt="Select the style in which this muscle group should be cut." sqref="C11 C17 C20:C23 C25 K4 K9:K10 K12 K7" xr:uid="{232F1D44-2835-4B92-B3BC-23354737D4EB}">
      <formula1>$P$2:$P$3</formula1>
    </dataValidation>
  </dataValidations>
  <hyperlinks>
    <hyperlink ref="AC3" r:id="rId1" xr:uid="{1FDE205E-0163-4607-952D-5E4BAF4A6197}"/>
    <hyperlink ref="AE5" r:id="rId2" xr:uid="{5464B466-B29F-4260-A160-CBEE4243788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79C8A-1796-445C-9934-20C2A29596B5}">
  <dimension ref="A1:M20"/>
  <sheetViews>
    <sheetView showGridLines="0" workbookViewId="0">
      <selection activeCell="F2" sqref="F2"/>
    </sheetView>
  </sheetViews>
  <sheetFormatPr defaultColWidth="0" defaultRowHeight="15.75" zeroHeight="1"/>
  <cols>
    <col min="1" max="1" width="3.28515625" style="27" customWidth="1"/>
    <col min="2" max="2" width="22.140625" style="27" bestFit="1" customWidth="1"/>
    <col min="3" max="3" width="11.140625" style="27" bestFit="1" customWidth="1"/>
    <col min="4" max="4" width="3.28515625" style="27" customWidth="1"/>
    <col min="5" max="5" width="22.140625" style="27" bestFit="1" customWidth="1"/>
    <col min="6" max="6" width="11.140625" style="27" bestFit="1" customWidth="1"/>
    <col min="7" max="7" width="3.28515625" style="27" customWidth="1"/>
    <col min="8" max="8" width="22.140625" style="27" bestFit="1" customWidth="1"/>
    <col min="9" max="9" width="11.140625" style="27" bestFit="1" customWidth="1"/>
    <col min="10" max="10" width="3.28515625" style="27" customWidth="1"/>
    <col min="11" max="11" width="22.140625" style="27" bestFit="1" customWidth="1"/>
    <col min="12" max="12" width="13.140625" style="27" bestFit="1" customWidth="1"/>
    <col min="13" max="13" width="3.28515625" style="27" customWidth="1"/>
    <col min="14" max="16384" width="9.140625" style="27" hidden="1"/>
  </cols>
  <sheetData>
    <row r="1" spans="2:12" ht="18.75">
      <c r="B1" s="410" t="s">
        <v>328</v>
      </c>
      <c r="C1" s="410"/>
      <c r="E1" s="410" t="s">
        <v>329</v>
      </c>
      <c r="F1" s="410"/>
      <c r="H1" s="410" t="s">
        <v>330</v>
      </c>
      <c r="I1" s="410"/>
      <c r="K1" s="410" t="s">
        <v>167</v>
      </c>
      <c r="L1" s="410"/>
    </row>
    <row r="2" spans="2:12">
      <c r="B2" s="320" t="s">
        <v>331</v>
      </c>
      <c r="C2" s="331">
        <f>(C3*C5+C4*C12)/C6</f>
        <v>60</v>
      </c>
      <c r="E2" s="320" t="s">
        <v>331</v>
      </c>
      <c r="F2" s="331">
        <f>(F3*F5+F4*F12)/F6</f>
        <v>60</v>
      </c>
      <c r="H2" s="320" t="s">
        <v>331</v>
      </c>
      <c r="I2" s="331">
        <f>(I3*I5+I4*I12)/I6</f>
        <v>60</v>
      </c>
      <c r="K2" s="320" t="s">
        <v>331</v>
      </c>
      <c r="L2" s="331">
        <f>(L3*L5+L4*L16)/L6</f>
        <v>90</v>
      </c>
    </row>
    <row r="3" spans="2:12">
      <c r="B3" s="27" t="s">
        <v>332</v>
      </c>
      <c r="C3" s="131">
        <v>40</v>
      </c>
      <c r="E3" s="27" t="s">
        <v>332</v>
      </c>
      <c r="F3" s="131">
        <v>40</v>
      </c>
      <c r="H3" s="27" t="s">
        <v>332</v>
      </c>
      <c r="I3" s="131">
        <v>40</v>
      </c>
      <c r="K3" s="27" t="s">
        <v>332</v>
      </c>
      <c r="L3" s="131">
        <v>60</v>
      </c>
    </row>
    <row r="4" spans="2:12">
      <c r="B4" s="27" t="s">
        <v>333</v>
      </c>
      <c r="C4" s="131">
        <v>1</v>
      </c>
      <c r="E4" s="27" t="s">
        <v>333</v>
      </c>
      <c r="F4" s="131">
        <v>1</v>
      </c>
      <c r="H4" s="27" t="s">
        <v>333</v>
      </c>
      <c r="I4" s="131">
        <v>1</v>
      </c>
      <c r="K4" s="27" t="s">
        <v>333</v>
      </c>
      <c r="L4" s="131">
        <v>1.5</v>
      </c>
    </row>
    <row r="5" spans="2:12">
      <c r="B5" s="27" t="s">
        <v>334</v>
      </c>
      <c r="C5" s="245">
        <v>0.75</v>
      </c>
      <c r="E5" s="27" t="s">
        <v>334</v>
      </c>
      <c r="F5" s="245">
        <v>0.75</v>
      </c>
      <c r="H5" s="27" t="s">
        <v>334</v>
      </c>
      <c r="I5" s="245">
        <v>0.75</v>
      </c>
      <c r="K5" s="27" t="s">
        <v>334</v>
      </c>
      <c r="L5" s="247">
        <v>0.75</v>
      </c>
    </row>
    <row r="6" spans="2:12" ht="31.5">
      <c r="B6" s="324" t="s">
        <v>335</v>
      </c>
      <c r="C6" s="131">
        <v>1</v>
      </c>
      <c r="E6" s="324" t="s">
        <v>335</v>
      </c>
      <c r="F6" s="131">
        <v>1</v>
      </c>
      <c r="H6" s="324" t="s">
        <v>335</v>
      </c>
      <c r="I6" s="131">
        <v>1</v>
      </c>
      <c r="K6" s="324" t="s">
        <v>335</v>
      </c>
      <c r="L6" s="131">
        <v>1</v>
      </c>
    </row>
    <row r="7" spans="2:12" ht="47.25">
      <c r="B7" s="320" t="s">
        <v>336</v>
      </c>
      <c r="C7" s="331">
        <f>C8/C9</f>
        <v>83.333333333333329</v>
      </c>
      <c r="E7" s="320" t="s">
        <v>336</v>
      </c>
      <c r="F7" s="331">
        <f>F8/F9</f>
        <v>116.66666666666667</v>
      </c>
      <c r="H7" s="320" t="s">
        <v>336</v>
      </c>
      <c r="I7" s="331">
        <f>I8/I9</f>
        <v>166.66666666666666</v>
      </c>
      <c r="K7" s="327" t="s">
        <v>337</v>
      </c>
      <c r="L7" s="332">
        <f>(L8*L10+L9*L16)/L13</f>
        <v>200</v>
      </c>
    </row>
    <row r="8" spans="2:12">
      <c r="B8" s="27" t="s">
        <v>338</v>
      </c>
      <c r="C8" s="245">
        <v>250</v>
      </c>
      <c r="E8" s="27" t="s">
        <v>338</v>
      </c>
      <c r="F8" s="245">
        <v>350</v>
      </c>
      <c r="H8" s="27" t="s">
        <v>338</v>
      </c>
      <c r="I8" s="245">
        <v>500</v>
      </c>
      <c r="K8" s="27" t="s">
        <v>332</v>
      </c>
      <c r="L8" s="245">
        <v>500</v>
      </c>
    </row>
    <row r="9" spans="2:12" ht="31.5">
      <c r="B9" s="324" t="s">
        <v>339</v>
      </c>
      <c r="C9" s="131">
        <v>3</v>
      </c>
      <c r="E9" s="324" t="s">
        <v>339</v>
      </c>
      <c r="F9" s="131">
        <v>3</v>
      </c>
      <c r="H9" s="324" t="s">
        <v>339</v>
      </c>
      <c r="I9" s="131">
        <v>3</v>
      </c>
      <c r="K9" s="324" t="s">
        <v>333</v>
      </c>
      <c r="L9" s="131">
        <v>10</v>
      </c>
    </row>
    <row r="10" spans="2:12">
      <c r="B10" s="320" t="s">
        <v>340</v>
      </c>
      <c r="C10" s="323">
        <f>C11*C12/C9</f>
        <v>40</v>
      </c>
      <c r="E10" s="320" t="s">
        <v>340</v>
      </c>
      <c r="F10" s="323">
        <f>F11*F12/F9</f>
        <v>80</v>
      </c>
      <c r="H10" s="320" t="s">
        <v>340</v>
      </c>
      <c r="I10" s="323">
        <f>I11*I12/I9</f>
        <v>160</v>
      </c>
      <c r="K10" s="324" t="s">
        <v>334</v>
      </c>
      <c r="L10" s="326">
        <v>0.6</v>
      </c>
    </row>
    <row r="11" spans="2:12" ht="31.5">
      <c r="B11" s="324" t="s">
        <v>341</v>
      </c>
      <c r="C11" s="131">
        <v>4</v>
      </c>
      <c r="E11" s="324" t="s">
        <v>341</v>
      </c>
      <c r="F11" s="131">
        <v>8</v>
      </c>
      <c r="H11" s="324" t="s">
        <v>341</v>
      </c>
      <c r="I11" s="131">
        <v>16</v>
      </c>
      <c r="K11" s="320" t="s">
        <v>336</v>
      </c>
      <c r="L11" s="323">
        <f>L12/L13</f>
        <v>333.33333333333331</v>
      </c>
    </row>
    <row r="12" spans="2:12">
      <c r="B12" s="89" t="s">
        <v>342</v>
      </c>
      <c r="C12" s="246">
        <v>30</v>
      </c>
      <c r="E12" s="89" t="s">
        <v>342</v>
      </c>
      <c r="F12" s="246">
        <v>30</v>
      </c>
      <c r="H12" s="89" t="s">
        <v>342</v>
      </c>
      <c r="I12" s="246">
        <v>30</v>
      </c>
      <c r="K12" s="27" t="s">
        <v>338</v>
      </c>
      <c r="L12" s="245">
        <v>1000</v>
      </c>
    </row>
    <row r="13" spans="2:12" ht="31.5">
      <c r="B13" s="325" t="s">
        <v>343</v>
      </c>
      <c r="C13" s="247"/>
      <c r="E13" s="325" t="s">
        <v>343</v>
      </c>
      <c r="F13" s="247"/>
      <c r="H13" s="325" t="s">
        <v>343</v>
      </c>
      <c r="I13" s="247"/>
      <c r="K13" s="324" t="s">
        <v>339</v>
      </c>
      <c r="L13" s="131">
        <v>3</v>
      </c>
    </row>
    <row r="14" spans="2:12" ht="31.5">
      <c r="B14" s="329" t="s">
        <v>344</v>
      </c>
      <c r="C14" s="248"/>
      <c r="E14" s="329" t="s">
        <v>344</v>
      </c>
      <c r="F14" s="248"/>
      <c r="H14" s="329" t="s">
        <v>344</v>
      </c>
      <c r="I14" s="248"/>
      <c r="K14" s="320" t="s">
        <v>340</v>
      </c>
      <c r="L14" s="323">
        <f>L15*L16/L13</f>
        <v>400</v>
      </c>
    </row>
    <row r="15" spans="2:12" ht="31.5">
      <c r="B15" s="122" t="s">
        <v>345</v>
      </c>
      <c r="C15" s="124">
        <f>SUM(C2,C7,C10,C13,C14)</f>
        <v>183.33333333333331</v>
      </c>
      <c r="E15" s="122" t="s">
        <v>345</v>
      </c>
      <c r="F15" s="124">
        <f>SUM(F2,F7,F10,F13,F14)</f>
        <v>256.66666666666669</v>
      </c>
      <c r="H15" s="122" t="s">
        <v>345</v>
      </c>
      <c r="I15" s="124">
        <f>SUM(I2,I7,I10,I13,I14)</f>
        <v>386.66666666666663</v>
      </c>
      <c r="K15" s="324" t="s">
        <v>341</v>
      </c>
      <c r="L15" s="131">
        <v>40</v>
      </c>
    </row>
    <row r="16" spans="2:12">
      <c r="K16" s="89" t="s">
        <v>342</v>
      </c>
      <c r="L16" s="328">
        <v>30</v>
      </c>
    </row>
    <row r="17" spans="8:12" ht="31.5">
      <c r="H17" s="330"/>
      <c r="K17" s="325" t="s">
        <v>343</v>
      </c>
      <c r="L17" s="247"/>
    </row>
    <row r="18" spans="8:12" ht="31.5">
      <c r="K18" s="329" t="s">
        <v>344</v>
      </c>
      <c r="L18" s="248"/>
    </row>
    <row r="19" spans="8:12">
      <c r="K19" s="122" t="s">
        <v>345</v>
      </c>
      <c r="L19" s="124">
        <f>SUM(L2,L11,L14,L17,L18,L7)</f>
        <v>1023.3333333333333</v>
      </c>
    </row>
    <row r="20" spans="8:12"/>
  </sheetData>
  <sheetProtection sheet="1" objects="1" scenarios="1"/>
  <protectedRanges>
    <protectedRange sqref="C3:C6 C8:C9 C11:C14 F3:F6 F8:F9 I3:I6 I8:I9 I11:I14 F11:F14 L3:L6 L8:L10 L12:L13 L15:L18" name="Grey cells"/>
  </protectedRanges>
  <mergeCells count="4">
    <mergeCell ref="B1:C1"/>
    <mergeCell ref="E1:F1"/>
    <mergeCell ref="H1:I1"/>
    <mergeCell ref="K1:L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995914E1A9804181E196FA66AF5914" ma:contentTypeVersion="22" ma:contentTypeDescription="Create a new document." ma:contentTypeScope="" ma:versionID="902bb9753b7e981363232741cb3f5c6f">
  <xsd:schema xmlns:xsd="http://www.w3.org/2001/XMLSchema" xmlns:xs="http://www.w3.org/2001/XMLSchema" xmlns:p="http://schemas.microsoft.com/office/2006/metadata/properties" xmlns:ns2="9f608c11-4ccd-421c-a88d-29e29a7a365f" xmlns:ns3="7bd0c97a-79aa-4cc6-bd7d-1cd468b1e455" targetNamespace="http://schemas.microsoft.com/office/2006/metadata/properties" ma:root="true" ma:fieldsID="9d632cf5e169f413de75443aa3fb789d" ns2:_="" ns3:_="">
    <xsd:import namespace="9f608c11-4ccd-421c-a88d-29e29a7a365f"/>
    <xsd:import namespace="7bd0c97a-79aa-4cc6-bd7d-1cd468b1e45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ast_x0020_update" minOccurs="0"/>
                <xsd:element ref="ns2:MediaServiceLocation" minOccurs="0"/>
                <xsd:element ref="ns2:Dat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08c11-4ccd-421c-a88d-29e29a7a36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ast_x0020_update" ma:index="19" nillable="true" ma:displayName="last update" ma:format="DateOnly" ma:internalName="last_x0020_update">
      <xsd:simpleType>
        <xsd:restriction base="dms:DateTime"/>
      </xsd:simpleType>
    </xsd:element>
    <xsd:element name="MediaServiceLocation" ma:index="20" nillable="true" ma:displayName="Location" ma:internalName="MediaServiceLocation" ma:readOnly="true">
      <xsd:simpleType>
        <xsd:restriction base="dms:Text"/>
      </xsd:simpleType>
    </xsd:element>
    <xsd:element name="Date" ma:index="21" nillable="true" ma:displayName="Date" ma:format="DateOnly" ma:internalName="Date">
      <xsd:simpleType>
        <xsd:restriction base="dms:DateTime"/>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d0c97a-79aa-4cc6-bd7d-1cd468b1e45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b1755391-8c5a-49fe-93a6-be9ca737bd28}" ma:internalName="TaxCatchAll" ma:showField="CatchAllData" ma:web="7bd0c97a-79aa-4cc6-bd7d-1cd468b1e4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8"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9f608c11-4ccd-421c-a88d-29e29a7a365f" xsi:nil="true"/>
    <lcf76f155ced4ddcb4097134ff3c332f xmlns="9f608c11-4ccd-421c-a88d-29e29a7a365f">
      <Terms xmlns="http://schemas.microsoft.com/office/infopath/2007/PartnerControls"/>
    </lcf76f155ced4ddcb4097134ff3c332f>
    <TaxCatchAll xmlns="7bd0c97a-79aa-4cc6-bd7d-1cd468b1e455" xsi:nil="true"/>
    <last_x0020_update xmlns="9f608c11-4ccd-421c-a88d-29e29a7a365f" xsi:nil="true"/>
  </documentManagement>
</p:properties>
</file>

<file path=customXml/itemProps1.xml><?xml version="1.0" encoding="utf-8"?>
<ds:datastoreItem xmlns:ds="http://schemas.openxmlformats.org/officeDocument/2006/customXml" ds:itemID="{78691394-085B-4BC5-9F6B-19BEDF7BA59D}"/>
</file>

<file path=customXml/itemProps2.xml><?xml version="1.0" encoding="utf-8"?>
<ds:datastoreItem xmlns:ds="http://schemas.openxmlformats.org/officeDocument/2006/customXml" ds:itemID="{B89ABF7C-1BDE-4690-A5CD-5D29EF5F14DE}"/>
</file>

<file path=customXml/itemProps3.xml><?xml version="1.0" encoding="utf-8"?>
<ds:datastoreItem xmlns:ds="http://schemas.openxmlformats.org/officeDocument/2006/customXml" ds:itemID="{48E1119D-3D13-4793-958E-F4CEFA798F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Introduction</vt:lpstr>
      <vt:lpstr>Inputs</vt:lpstr>
      <vt:lpstr>Feed</vt:lpstr>
      <vt:lpstr>Budget - Commercial Sale</vt:lpstr>
      <vt:lpstr>Budget - Freezer Beef</vt:lpstr>
      <vt:lpstr>Retail cuts pricing</vt:lpstr>
      <vt:lpstr>Retail cuts selection</vt:lpstr>
      <vt:lpstr>Marketing cost calculator</vt:lpstr>
      <vt:lpstr>'Budget - Commercial Sale'!Print_Area</vt:lpstr>
      <vt:lpstr>'Budget - Freezer Beef'!Print_Area</vt:lpstr>
      <vt:lpstr>Feed!Print_Area</vt:lpstr>
      <vt:lpstr>Inputs!Print_Area</vt:lpstr>
      <vt:lpstr>Introduction!Print_Area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Milhollin, Ryan K.</dc:creator>
  <cp:keywords/>
  <dc:description/>
  <cp:lastModifiedBy>Stokes, Victoria</cp:lastModifiedBy>
  <cp:revision/>
  <dcterms:created xsi:type="dcterms:W3CDTF">2020-11-09T22:10:55Z</dcterms:created>
  <dcterms:modified xsi:type="dcterms:W3CDTF">2025-10-27T20:56:27Z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0x010100BE995914E1A9804181E196FA66AF5914</vt:lpwstr>
  </property>
</Properties>
</file>