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mailmissouri-my.sharepoint.com/personal/dskvnq_umsystem_edu/Documents/My things/2023/NWSG seed guide/"/>
    </mc:Choice>
  </mc:AlternateContent>
  <xr:revisionPtr revIDLastSave="627" documentId="8_{BD4D7BB4-96EC-4B56-933C-D299EBA14C4C}" xr6:coauthVersionLast="47" xr6:coauthVersionMax="47" xr10:uidLastSave="{3FEB1AA3-D1B6-47FD-B2B6-35B9D4F9D0FC}"/>
  <bookViews>
    <workbookView xWindow="28680" yWindow="-120" windowWidth="29040" windowHeight="15720" xr2:uid="{3A8FBBA2-6CD8-47F5-920F-91710865E62A}"/>
  </bookViews>
  <sheets>
    <sheet name="Introduction" sheetId="6" r:id="rId1"/>
    <sheet name="Input assumptions" sheetId="3" r:id="rId2"/>
    <sheet name="Big Bluestem" sheetId="2" r:id="rId3"/>
    <sheet name="Indiangrass" sheetId="4" r:id="rId4"/>
    <sheet name="Eastern Gamagrass" sheetId="5" r:id="rId5"/>
    <sheet name="Harvesting cost" sheetId="1" r:id="rId6"/>
  </sheets>
  <externalReferences>
    <externalReference r:id="rId7"/>
    <externalReference r:id="rId8"/>
  </externalReferences>
  <definedNames>
    <definedName name="acres">[1]Input!$B$12</definedName>
    <definedName name="Boom_Sprayer">[1]MDB!$A$100:$A$101</definedName>
    <definedName name="Boom_Sprayer_SP">[1]MDB!$A$99</definedName>
    <definedName name="BudgetActivities">#REF!</definedName>
    <definedName name="byyield">[1]MDB!$C$160</definedName>
    <definedName name="Chisel_Plow">[1]MDB!$A$39:$A$42</definedName>
    <definedName name="Chisel_Plow_FD">[1]MDB!$A$43:$A$44</definedName>
    <definedName name="Comb_Disk_VRipper">[1]MDB!$A$66:$A$67</definedName>
    <definedName name="Comb_Fld_Cult_Incorp">[1]MDB!$A$63:$A$65</definedName>
    <definedName name="Combine_Size">[1]MDB!$B$24:$B$27</definedName>
    <definedName name="Cornhead_Size">[1]MDB!$A$133:$A$135</definedName>
    <definedName name="crop">[1]MDB!$C$164</definedName>
    <definedName name="cropnum">[1]MDB!$C$158</definedName>
    <definedName name="Crops">[1]MDB!$I$157:$I$163</definedName>
    <definedName name="Cultivator">[1]MDB!$A$91:$A$94</definedName>
    <definedName name="Cultivator_HR">[1]MDB!$A$95:$A$97</definedName>
    <definedName name="CustomActivities">'[2]Activity list'!$W$4:$AA$14</definedName>
    <definedName name="customhire2">[1]Input!$F$114:$F$117,[1]Input!$F$123:$F$126</definedName>
    <definedName name="CustomImps">[2]!Table4[Implement]</definedName>
    <definedName name="Disc_Mower">[1]MDB!$A$104:$A$107</definedName>
    <definedName name="Disk">[1]MDB!$A$68:$A$69</definedName>
    <definedName name="Disk_Mower">[1]MDB!$A$108:$A$109</definedName>
    <definedName name="drying">[1]Input!$B$106,[1]Input!$F$106</definedName>
    <definedName name="Field_Cultivator">[1]MDB!$A$49:$A$54</definedName>
    <definedName name="Grain_Auger">[1]MDB!$A$34</definedName>
    <definedName name="Graincart">[1]MDB!$A$32:$A$33</definedName>
    <definedName name="Grainhead_Size">[1]MDB!$A$125:$A$127</definedName>
    <definedName name="Harrow">[1]MDB!$A$70:$A$71</definedName>
    <definedName name="hauling">[1]Input!$B$108:$B$109,[1]Input!$F$108:$F$109</definedName>
    <definedName name="herbicide2">[1]Input!$F$43:$F$50,[1]Input!$B$51:$F$51</definedName>
    <definedName name="import">[1]Store!$E$3:$F$297</definedName>
    <definedName name="income">[1]Output!$F$12</definedName>
    <definedName name="insecticide2">[1]Input!$F$55:$F$58,[1]Input!$B$59:$F$59</definedName>
    <definedName name="Irrigation">[1]MDB!$G$157:$G$158</definedName>
    <definedName name="irrigation2">[1]MDB!$C$161</definedName>
    <definedName name="lease_arrangement">[1]MDB!$G$160:$G$162</definedName>
    <definedName name="leasenum">[1]MDB!$C$162</definedName>
    <definedName name="mdbvalues">[1]Output!$C$8:$H$12,[1]Output!$D$15:$H$49,[1]Output!$B$51:$G$62,[1]Output!$B$68:$G$104</definedName>
    <definedName name="Moldboard_Plow">[1]MDB!$A$45:$A$48</definedName>
    <definedName name="NoTill_Drill">[1]MDB!$A$88:$A$90</definedName>
    <definedName name="NoTill_Planter">[1]MDB!$A$80:$A$83</definedName>
    <definedName name="Passes">[1]Input!$F$149:$F$158,[1]Input!$F$160:$F$164,[1]Input!$F$166:$F$173,[1]Input!$F$175:$F$195</definedName>
    <definedName name="Planter">[1]MDB!$A$72:$A$75</definedName>
    <definedName name="postharvest">[1]Input!$B$104:$B$109,[1]Input!$F$105:$F$106,[1]Input!$F$108:$F$109</definedName>
    <definedName name="power">[1]Input!$D$149:$D$158,[1]Input!$D$160:$D$164,[1]Input!$D$166:$D$170,[1]Input!$D$172:$D$173,[1]Input!$D$175:$D$192,[1]Input!$D$196:$D$197</definedName>
    <definedName name="Power_Size">[1]MDB!$H$4:$H$5</definedName>
    <definedName name="Presswheel_Drill">[1]MDB!$A$84:$A$87</definedName>
    <definedName name="Primary_Units">[1]MDB!$L$157:$L$160</definedName>
    <definedName name="primyield">[1]MDB!$C$159</definedName>
    <definedName name="PUAlloc">[1]Input!$B$100</definedName>
    <definedName name="PUMiles">[1]Input!$B$99</definedName>
    <definedName name="rental">[1]Input!$H$149:$H$158,[1]Input!$H$160:$H$164,[1]Input!$H$166:$H$173,[1]Input!$H$175:$H$195</definedName>
    <definedName name="Roller_Bar_Rake">[1]MDB!$A$110:$A$112</definedName>
    <definedName name="Round_Baler_Tie">[1]MDB!$A$118:$A$121</definedName>
    <definedName name="seed2">[1]Input!$B$22:$B$25,[1]Input!$B$27,[1]Input!$B$28:$F$28</definedName>
    <definedName name="SemiAlloc">[1]Input!$B$109</definedName>
    <definedName name="SemiMiles">[1]Input!$F$109</definedName>
    <definedName name="Silage_Wrapper">[1]MDB!$A$31</definedName>
    <definedName name="Soybeanhead_Size">[1]MDB!$A$128:$A$132</definedName>
    <definedName name="SplitRow_Planter">[1]MDB!$A$76:$A$79</definedName>
    <definedName name="ss">#REF!</definedName>
    <definedName name="storage">[1]Input!$B$105,[1]Input!$F$105</definedName>
    <definedName name="Swather_Mower_Conditioner">[1]MDB!$A$113:$A$115</definedName>
    <definedName name="Tandem_Disk">[1]MDB!$A$55:$A$58</definedName>
    <definedName name="TenWheelAlloc">[1]Input!$B$108</definedName>
    <definedName name="TenWheelMiles">[1]Input!$F$108</definedName>
    <definedName name="VRipper">[1]MDB!$A$59:$A$62</definedName>
    <definedName name="Wheel_Rake">[1]MDB!$A$136:$A$140</definedName>
    <definedName name="ww">[2]!Table4[Implement]</definedName>
    <definedName name="yield">[1]Input!$B$13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2" l="1"/>
  <c r="G21" i="2"/>
  <c r="G20" i="2"/>
  <c r="G21" i="4"/>
  <c r="G22" i="4"/>
  <c r="G22" i="5"/>
  <c r="G21" i="5"/>
  <c r="F21" i="5"/>
  <c r="C21" i="5"/>
  <c r="F3" i="5"/>
  <c r="E3" i="5"/>
  <c r="F22" i="5"/>
  <c r="C22" i="5"/>
  <c r="G20" i="5"/>
  <c r="D20" i="5"/>
  <c r="G19" i="5"/>
  <c r="D19" i="5"/>
  <c r="D18" i="5"/>
  <c r="G17" i="5"/>
  <c r="D17" i="5"/>
  <c r="G16" i="5"/>
  <c r="D16" i="5"/>
  <c r="G13" i="5"/>
  <c r="D13" i="5"/>
  <c r="G12" i="5"/>
  <c r="D12" i="5"/>
  <c r="G11" i="5"/>
  <c r="D11" i="5"/>
  <c r="G10" i="5"/>
  <c r="D10" i="5"/>
  <c r="G9" i="5"/>
  <c r="D9" i="5"/>
  <c r="G8" i="5"/>
  <c r="D8" i="5"/>
  <c r="F21" i="4"/>
  <c r="C21" i="4"/>
  <c r="E3" i="4"/>
  <c r="F3" i="4"/>
  <c r="F22" i="4"/>
  <c r="C22" i="4"/>
  <c r="G20" i="4"/>
  <c r="D20" i="4"/>
  <c r="G19" i="4"/>
  <c r="D19" i="4"/>
  <c r="D18" i="4"/>
  <c r="G17" i="4"/>
  <c r="D17" i="4"/>
  <c r="G16" i="4"/>
  <c r="D16" i="4"/>
  <c r="G13" i="4"/>
  <c r="D13" i="4"/>
  <c r="G12" i="4"/>
  <c r="D12" i="4"/>
  <c r="G11" i="4"/>
  <c r="D11" i="4"/>
  <c r="G10" i="4"/>
  <c r="D10" i="4"/>
  <c r="G9" i="4"/>
  <c r="D9" i="4"/>
  <c r="G8" i="4"/>
  <c r="D8" i="4"/>
  <c r="D21" i="2"/>
  <c r="F22" i="2"/>
  <c r="D22" i="2"/>
  <c r="D23" i="2" s="1"/>
  <c r="C22" i="2"/>
  <c r="G23" i="2" l="1"/>
  <c r="J8" i="5"/>
  <c r="J5" i="5" s="1"/>
  <c r="J8" i="2"/>
  <c r="J6" i="2" s="1"/>
  <c r="J8" i="4"/>
  <c r="M3" i="5"/>
  <c r="L3" i="5" s="1"/>
  <c r="G3" i="5" s="1"/>
  <c r="F21" i="2"/>
  <c r="C21" i="2"/>
  <c r="D21" i="5" l="1"/>
  <c r="D22" i="5" s="1"/>
  <c r="D23" i="5" s="1"/>
  <c r="G23" i="5"/>
  <c r="O3" i="5"/>
  <c r="O8" i="5" s="1"/>
  <c r="K3" i="5"/>
  <c r="K8" i="5" s="1"/>
  <c r="N3" i="5"/>
  <c r="J7" i="5"/>
  <c r="L7" i="5" s="1"/>
  <c r="J6" i="5"/>
  <c r="J4" i="5"/>
  <c r="O3" i="4"/>
  <c r="N3" i="4"/>
  <c r="L3" i="4"/>
  <c r="K3" i="4"/>
  <c r="M3" i="4"/>
  <c r="O3" i="2"/>
  <c r="N3" i="2"/>
  <c r="L3" i="2"/>
  <c r="K3" i="2"/>
  <c r="M3" i="2"/>
  <c r="E3" i="2" s="1"/>
  <c r="L5" i="5"/>
  <c r="P13" i="1"/>
  <c r="P12" i="1"/>
  <c r="M8" i="1"/>
  <c r="N7" i="1"/>
  <c r="M7" i="1"/>
  <c r="N6" i="1"/>
  <c r="M6" i="1"/>
  <c r="N4" i="1"/>
  <c r="P5" i="1"/>
  <c r="M4" i="1"/>
  <c r="H13" i="1"/>
  <c r="D23" i="1"/>
  <c r="H5" i="1"/>
  <c r="E8" i="1"/>
  <c r="F7" i="1"/>
  <c r="E7" i="1"/>
  <c r="F6" i="1"/>
  <c r="E6" i="1"/>
  <c r="F4" i="1"/>
  <c r="E4" i="1"/>
  <c r="L8" i="4" l="1"/>
  <c r="G3" i="4"/>
  <c r="G9" i="2"/>
  <c r="D9" i="2"/>
  <c r="D17" i="2"/>
  <c r="D19" i="1"/>
  <c r="H12" i="1" s="1"/>
  <c r="G16" i="2"/>
  <c r="G17" i="2"/>
  <c r="N8" i="4"/>
  <c r="J7" i="4"/>
  <c r="O7" i="4" s="1"/>
  <c r="J6" i="4"/>
  <c r="J4" i="4"/>
  <c r="O4" i="4" s="1"/>
  <c r="J5" i="4"/>
  <c r="N5" i="4" s="1"/>
  <c r="J7" i="2"/>
  <c r="J4" i="2"/>
  <c r="K4" i="2" s="1"/>
  <c r="J5" i="2"/>
  <c r="N6" i="5"/>
  <c r="M8" i="5"/>
  <c r="L8" i="5"/>
  <c r="M6" i="5"/>
  <c r="L6" i="5"/>
  <c r="N8" i="5"/>
  <c r="K6" i="5"/>
  <c r="L4" i="5"/>
  <c r="N5" i="5"/>
  <c r="O7" i="5"/>
  <c r="K4" i="5"/>
  <c r="K5" i="5"/>
  <c r="O4" i="5"/>
  <c r="N4" i="5"/>
  <c r="K7" i="5"/>
  <c r="O5" i="5"/>
  <c r="M5" i="5"/>
  <c r="M4" i="5"/>
  <c r="O6" i="5"/>
  <c r="N7" i="5"/>
  <c r="M7" i="5"/>
  <c r="K8" i="4"/>
  <c r="M8" i="4"/>
  <c r="O8" i="4"/>
  <c r="D26" i="1"/>
  <c r="O8" i="2"/>
  <c r="G23" i="4" l="1"/>
  <c r="D21" i="4"/>
  <c r="D22" i="4" s="1"/>
  <c r="D23" i="4" s="1"/>
  <c r="D25" i="1"/>
  <c r="H14" i="1" s="1"/>
  <c r="O5" i="4"/>
  <c r="N4" i="4"/>
  <c r="D16" i="2"/>
  <c r="N7" i="4"/>
  <c r="K6" i="4"/>
  <c r="M7" i="4"/>
  <c r="O6" i="4"/>
  <c r="N6" i="4"/>
  <c r="L4" i="4"/>
  <c r="M4" i="4"/>
  <c r="K7" i="4"/>
  <c r="L7" i="4"/>
  <c r="M6" i="2"/>
  <c r="W5" i="2" s="1"/>
  <c r="F3" i="2"/>
  <c r="G3" i="2" s="1"/>
  <c r="W7" i="2"/>
  <c r="W3" i="2"/>
  <c r="K4" i="4"/>
  <c r="K5" i="4"/>
  <c r="L5" i="4"/>
  <c r="M5" i="4"/>
  <c r="M6" i="4"/>
  <c r="L6" i="4"/>
  <c r="N4" i="2"/>
  <c r="K5" i="2"/>
  <c r="K6" i="2"/>
  <c r="L8" i="2"/>
  <c r="K8" i="2"/>
  <c r="L4" i="2"/>
  <c r="L6" i="2"/>
  <c r="M4" i="2"/>
  <c r="O4" i="2"/>
  <c r="N6" i="2"/>
  <c r="M8" i="2"/>
  <c r="K7" i="2"/>
  <c r="O6" i="2"/>
  <c r="N8" i="2"/>
  <c r="P7" i="1"/>
  <c r="H6" i="1"/>
  <c r="H4" i="1"/>
  <c r="P6" i="1"/>
  <c r="H7" i="1"/>
  <c r="P14" i="1"/>
  <c r="P4" i="1"/>
  <c r="H15" i="1"/>
  <c r="M5" i="2"/>
  <c r="M7" i="2"/>
  <c r="N5" i="2"/>
  <c r="N7" i="2"/>
  <c r="W4" i="2" s="1"/>
  <c r="O5" i="2"/>
  <c r="O7" i="2"/>
  <c r="L5" i="2"/>
  <c r="W6" i="2" s="1"/>
  <c r="L7" i="2"/>
  <c r="D18" i="2" l="1"/>
  <c r="D10" i="2"/>
  <c r="G10" i="2"/>
  <c r="G8" i="2"/>
  <c r="D8" i="2"/>
  <c r="G19" i="2"/>
  <c r="D11" i="2"/>
  <c r="G11" i="2"/>
  <c r="D19" i="2"/>
  <c r="H9" i="1"/>
  <c r="F8" i="1"/>
  <c r="H8" i="1" s="1"/>
  <c r="N8" i="1"/>
  <c r="P8" i="1" s="1"/>
  <c r="P9" i="1" l="1"/>
  <c r="G12" i="2"/>
  <c r="D12" i="2"/>
  <c r="H16" i="1"/>
  <c r="D13" i="2"/>
  <c r="P15" i="1" l="1"/>
  <c r="G13" i="2"/>
  <c r="D20" i="2"/>
</calcChain>
</file>

<file path=xl/sharedStrings.xml><?xml version="1.0" encoding="utf-8"?>
<sst xmlns="http://schemas.openxmlformats.org/spreadsheetml/2006/main" count="318" uniqueCount="140">
  <si>
    <t>Big Bluestem Seed Revenue</t>
  </si>
  <si>
    <t>Indiangrass Seed Revenue</t>
  </si>
  <si>
    <t>Eastern Gamagrass Seed Revenue</t>
  </si>
  <si>
    <t>Seed Production (PLS lb/acre)</t>
  </si>
  <si>
    <t>Seed price ($/PLS lb)</t>
  </si>
  <si>
    <t>Retail seed price</t>
  </si>
  <si>
    <t>Brush-Stripper Harvesting Cost</t>
  </si>
  <si>
    <t>Combine Harvesting Cost</t>
  </si>
  <si>
    <t>Operating costs</t>
  </si>
  <si>
    <t>Unit</t>
  </si>
  <si>
    <t>Quantity</t>
  </si>
  <si>
    <t>Price</t>
  </si>
  <si>
    <t>Total per acre</t>
  </si>
  <si>
    <t>Labor</t>
  </si>
  <si>
    <t>Hours</t>
  </si>
  <si>
    <t>Custom combining</t>
  </si>
  <si>
    <t>Drying</t>
  </si>
  <si>
    <t>kWh</t>
  </si>
  <si>
    <t>Storage upkeep</t>
  </si>
  <si>
    <t>Marketing</t>
  </si>
  <si>
    <t>Operating interest</t>
  </si>
  <si>
    <t>% APR</t>
  </si>
  <si>
    <t>Total operating costs</t>
  </si>
  <si>
    <t>Ownership costs</t>
  </si>
  <si>
    <t>Interest on facilties and equipment</t>
  </si>
  <si>
    <t>Interest on facilities and equipment</t>
  </si>
  <si>
    <t>Storage facility depreciation</t>
  </si>
  <si>
    <t>Total ownership costs</t>
  </si>
  <si>
    <t>Total costs per acre</t>
  </si>
  <si>
    <t>Operating speed</t>
  </si>
  <si>
    <t>feet</t>
  </si>
  <si>
    <t>Seed stirring</t>
  </si>
  <si>
    <t>Rotary mowing custom rate</t>
  </si>
  <si>
    <t>Drying energy</t>
  </si>
  <si>
    <t>Electricity price</t>
  </si>
  <si>
    <t>Storage equipment value</t>
  </si>
  <si>
    <t>% of value</t>
  </si>
  <si>
    <t>Tractor allocation</t>
  </si>
  <si>
    <t>Total use to seed harvest</t>
  </si>
  <si>
    <t>Tractor annual use</t>
  </si>
  <si>
    <t>Tractor lifespan</t>
  </si>
  <si>
    <t>hours</t>
  </si>
  <si>
    <t>Tractor value and life from Ray's machinery spreadsheet</t>
  </si>
  <si>
    <t>Stripper brush life</t>
  </si>
  <si>
    <t>Hours of harvest</t>
  </si>
  <si>
    <t>Interest rate</t>
  </si>
  <si>
    <t>Storage system life</t>
  </si>
  <si>
    <t>years</t>
  </si>
  <si>
    <t>This tab provides further information about the input assumptions used in creating the NWSG budgets.</t>
  </si>
  <si>
    <t>Category</t>
  </si>
  <si>
    <t>Description</t>
  </si>
  <si>
    <t>Native Warm Season Grass Seed Harvest Partial Budget</t>
  </si>
  <si>
    <t>Big Bluestem</t>
  </si>
  <si>
    <t>Purity</t>
  </si>
  <si>
    <t>Germination</t>
  </si>
  <si>
    <t>Dormancy</t>
  </si>
  <si>
    <t>percent</t>
  </si>
  <si>
    <t>Bulk yield</t>
  </si>
  <si>
    <t>pounds per acre</t>
  </si>
  <si>
    <t>Indiangrass</t>
  </si>
  <si>
    <t>Eastern Gamagrass</t>
  </si>
  <si>
    <t>Seed production</t>
  </si>
  <si>
    <t>Harvest Expenses</t>
  </si>
  <si>
    <t>Combine harvested</t>
  </si>
  <si>
    <t>Stripper harvested</t>
  </si>
  <si>
    <t>General</t>
  </si>
  <si>
    <t>dollars per hour</t>
  </si>
  <si>
    <t>dollars per pound</t>
  </si>
  <si>
    <t>Storage building value</t>
  </si>
  <si>
    <t>Maintenance on storage</t>
  </si>
  <si>
    <t>Portion of costs financed</t>
  </si>
  <si>
    <t>percent of total</t>
  </si>
  <si>
    <t>percent APR</t>
  </si>
  <si>
    <t>Total harvested acreage</t>
  </si>
  <si>
    <t>acres per year</t>
  </si>
  <si>
    <t>times stirred</t>
  </si>
  <si>
    <t>dollars per kWh</t>
  </si>
  <si>
    <t>dollars</t>
  </si>
  <si>
    <t>percent of value</t>
  </si>
  <si>
    <t>Custom grass seed combining</t>
  </si>
  <si>
    <t>dollars per acre</t>
  </si>
  <si>
    <t>Value</t>
  </si>
  <si>
    <t>miles per hour</t>
  </si>
  <si>
    <t>Operating width</t>
  </si>
  <si>
    <t>Operating efficiency</t>
  </si>
  <si>
    <t>Stripping passes</t>
  </si>
  <si>
    <t>Custom rates fixed cost</t>
  </si>
  <si>
    <t>percent of custom charge</t>
  </si>
  <si>
    <t>passes</t>
  </si>
  <si>
    <t>Time required to stir seed</t>
  </si>
  <si>
    <t>hours per stirring</t>
  </si>
  <si>
    <t>Stirring labor</t>
  </si>
  <si>
    <t>Equipment salvage value</t>
  </si>
  <si>
    <t>percent of purchase price</t>
  </si>
  <si>
    <t>105 hp MFWD tractor value</t>
  </si>
  <si>
    <t>Stripper brush value</t>
  </si>
  <si>
    <t>Detailed equipment assumptions</t>
  </si>
  <si>
    <t xml:space="preserve">Machinery operating cost </t>
  </si>
  <si>
    <t>Salvage value of storage facility</t>
  </si>
  <si>
    <t>Machinery depreciation</t>
  </si>
  <si>
    <t>Tractor depreciation</t>
  </si>
  <si>
    <t>Stripper depreciation</t>
  </si>
  <si>
    <t>percent of revenue</t>
  </si>
  <si>
    <t>Cost of sales</t>
  </si>
  <si>
    <t>Best case revenue</t>
  </si>
  <si>
    <t>Bulk seed loss - combine</t>
  </si>
  <si>
    <t>Bulk seed loss - stripper</t>
  </si>
  <si>
    <t>Average revenue</t>
  </si>
  <si>
    <t>Worst case revenue</t>
  </si>
  <si>
    <t>High revenue</t>
  </si>
  <si>
    <t>Low revenue</t>
  </si>
  <si>
    <t>Select revenue level</t>
  </si>
  <si>
    <t>-</t>
  </si>
  <si>
    <t>Big Bluestem Seed Production Budget</t>
  </si>
  <si>
    <t>Yield</t>
  </si>
  <si>
    <t>PLS lb/acre</t>
  </si>
  <si>
    <t>Seed sales</t>
  </si>
  <si>
    <t>Brush-stripper harvest cost</t>
  </si>
  <si>
    <t>Combine harvest cost</t>
  </si>
  <si>
    <t>Brush-stripper seed loss</t>
  </si>
  <si>
    <t>Combine seed loss</t>
  </si>
  <si>
    <t>Indiangrass Seed Production Budget</t>
  </si>
  <si>
    <t>Eastern Gamagrass Seed Production Budget</t>
  </si>
  <si>
    <t>Developed by:</t>
  </si>
  <si>
    <t>University of Missouri Extension</t>
  </si>
  <si>
    <t xml:space="preserve">Funding was provided by the MU/MDC Native Grass Extension Project. </t>
  </si>
  <si>
    <t>Native Warm-Season Grass Seed Production Budget</t>
  </si>
  <si>
    <t>Drew Kientzy, Ryan Milhollin, and Joe Horner</t>
  </si>
  <si>
    <t>Updated: 12/20/2023</t>
  </si>
  <si>
    <t>Input assumptions</t>
  </si>
  <si>
    <t>Shows a range of possible revenues produced from seed harvest of an established single-species stand of Big Bluestem. Harvest, marketing, and storage costs are deducted from revenue to approximate potential returns.</t>
  </si>
  <si>
    <t>Shows a range of possible revenues produced from seed harvest of an established single-species stand of Indiangrass. Harvest, marketing, and storage costs are deducted from revenue to approximate potential returns.</t>
  </si>
  <si>
    <t>Shows a range of possible revenues produced from seed harvest of an established single-species stand of Eastern Gamagrass. Harvest, marketing, and storage costs are deducted from revenue to approximate potential returns.</t>
  </si>
  <si>
    <t>Harvesting Cost</t>
  </si>
  <si>
    <t>Provides a detailed breakdown of harvest costs for both brush-stripper and combine harvesting operations.</t>
  </si>
  <si>
    <t>Enter specific information for your scenario in the grey cells to make the budgets more accurate results catered top your operation. If you are unsure about the specifics of what seed harvest may look like, the numbers currently filling the grey cells represent a typical scenario that could be expected in the Midwest.</t>
  </si>
  <si>
    <t>This worksheet is for educational purposes only and the user assumes all risks associated with its use. Grass seed yield can be highly variable and sensitive to timing and weather. Prices fluctuate widely based on weather in major seed producing areas. Plan your harvest operations with the risks present in mind.</t>
  </si>
  <si>
    <t>This partial budget was developed for the owners and operators of land with native warm-season grass stands present to evaluate the financial implications of harvesting seed. The listing seen below describes the contents of this tool and the user input required. Native warm-season grass seed is assumed to be sold to a retailer as-harvested for 70% of retail value on a pure live seed (PLS) basis.</t>
  </si>
  <si>
    <t>Return to land and management</t>
  </si>
  <si>
    <t>Marketing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</si>
</sst>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00"/>
    <numFmt numFmtId="167" formatCode="_(* #,##0.0_);_(* \(#,##0.0\);_(* &quot;-&quot;??_);_(@_)"/>
    <numFmt numFmtId="168" formatCode="0.0"/>
    <numFmt numFmtId="169" formatCode="_(&quot;$&quot;* #,##0.0_);_(&quot;$&quot;* \(#,##0.0\);_(&quot;$&quot;* &quot;-&quot;??_);_(@_)"/>
  </numFmts>
  <fonts count="19">
    <font>
      <sz val="11"/>
      <color theme="1"/>
      <name val="Calibri"/>
      <family val="2"/>
      <scheme val="minor"/>
    </font>
    <font>
      <sz val="11"/>
      <color theme="1"/>
      <name val="Calibri"/>
      <family val="2"/>
      <scheme val="minor"/>
    </font>
    <font>
      <b/>
      <sz val="11"/>
      <color theme="1"/>
      <name val="Verdana"/>
      <family val="2"/>
    </font>
    <font>
      <sz val="11"/>
      <color theme="1"/>
      <name val="Verdana"/>
      <family val="2"/>
    </font>
    <font>
      <i/>
      <sz val="11"/>
      <color theme="1"/>
      <name val="Verdana"/>
      <family val="2"/>
    </font>
    <font>
      <sz val="10"/>
      <name val="TimesNewRomanPS"/>
    </font>
    <font>
      <b/>
      <sz val="10"/>
      <name val="Verdana"/>
      <family val="2"/>
    </font>
    <font>
      <sz val="9"/>
      <name val="Verdana"/>
      <family val="2"/>
    </font>
    <font>
      <sz val="10"/>
      <name val="Verdana"/>
      <family val="2"/>
    </font>
    <font>
      <b/>
      <sz val="9"/>
      <color theme="1"/>
      <name val="Verdana"/>
      <family val="2"/>
    </font>
    <font>
      <sz val="9"/>
      <color theme="1"/>
      <name val="Verdana"/>
      <family val="2"/>
    </font>
    <font>
      <b/>
      <sz val="11"/>
      <color theme="1"/>
      <name val="Calibri"/>
      <family val="2"/>
      <scheme val="minor"/>
    </font>
    <font>
      <b/>
      <i/>
      <sz val="11"/>
      <color theme="1"/>
      <name val="Verdana"/>
      <family val="2"/>
    </font>
    <font>
      <b/>
      <sz val="11"/>
      <color rgb="FF3F3F3F"/>
      <name val="Calibri"/>
      <family val="2"/>
      <scheme val="minor"/>
    </font>
    <font>
      <b/>
      <sz val="14"/>
      <color rgb="FFF1B82D"/>
      <name val="Verdana"/>
      <family val="2"/>
    </font>
    <font>
      <sz val="12"/>
      <color theme="1"/>
      <name val="Verdana"/>
      <family val="2"/>
    </font>
    <font>
      <sz val="10"/>
      <color theme="1"/>
      <name val="Calibri"/>
      <family val="2"/>
      <scheme val="minor"/>
    </font>
    <font>
      <b/>
      <sz val="9.5"/>
      <color rgb="FF3F3F3F"/>
      <name val="Verdana"/>
      <family val="2"/>
    </font>
    <font>
      <sz val="9"/>
      <color rgb="FF3F3F3F"/>
      <name val="Verdana"/>
      <family val="2"/>
    </font>
  </fonts>
  <fills count="8">
    <fill>
      <patternFill patternType="none"/>
    </fill>
    <fill>
      <patternFill patternType="gray125"/>
    </fill>
    <fill>
      <patternFill patternType="solid">
        <fgColor rgb="FFF1B82D"/>
        <bgColor indexed="64"/>
      </patternFill>
    </fill>
    <fill>
      <patternFill patternType="solid">
        <fgColor theme="1"/>
        <bgColor indexed="64"/>
      </patternFill>
    </fill>
    <fill>
      <patternFill patternType="solid">
        <fgColor theme="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rgb="FFF2F2F2"/>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0">
    <xf numFmtId="0" fontId="0"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5" fillId="0" borderId="0"/>
    <xf numFmtId="44" fontId="1" fillId="0" borderId="0" applyFont="0" applyFill="0" applyBorder="0" applyAlignment="0" applyProtection="0"/>
    <xf numFmtId="0" fontId="13" fillId="7" borderId="36" applyNumberFormat="0" applyAlignment="0" applyProtection="0"/>
    <xf numFmtId="0" fontId="1" fillId="0" borderId="0"/>
  </cellStyleXfs>
  <cellXfs count="200">
    <xf numFmtId="0" fontId="0" fillId="0" borderId="0" xfId="0"/>
    <xf numFmtId="0" fontId="3" fillId="0" borderId="0" xfId="0" applyFont="1"/>
    <xf numFmtId="0" fontId="3" fillId="3" borderId="4" xfId="0" applyFont="1" applyFill="1" applyBorder="1"/>
    <xf numFmtId="0" fontId="3" fillId="3" borderId="0" xfId="0" applyFont="1" applyFill="1"/>
    <xf numFmtId="0" fontId="4" fillId="0" borderId="6" xfId="0" applyFont="1" applyBorder="1" applyAlignment="1">
      <alignment horizontal="center"/>
    </xf>
    <xf numFmtId="43" fontId="3" fillId="0" borderId="8" xfId="2" applyFont="1" applyBorder="1"/>
    <xf numFmtId="43" fontId="3" fillId="0" borderId="9" xfId="2" applyFont="1" applyBorder="1"/>
    <xf numFmtId="44" fontId="3" fillId="0" borderId="11" xfId="3" applyFont="1" applyBorder="1"/>
    <xf numFmtId="44" fontId="3" fillId="0" borderId="15" xfId="3" applyFont="1" applyBorder="1"/>
    <xf numFmtId="0" fontId="2" fillId="0" borderId="0" xfId="0" applyFont="1"/>
    <xf numFmtId="0" fontId="3" fillId="0" borderId="4" xfId="0" applyFont="1" applyBorder="1"/>
    <xf numFmtId="0" fontId="2" fillId="0" borderId="6" xfId="0" applyFont="1" applyBorder="1" applyAlignment="1">
      <alignment horizontal="center"/>
    </xf>
    <xf numFmtId="0" fontId="4" fillId="0" borderId="22" xfId="0" applyFont="1" applyBorder="1" applyAlignment="1">
      <alignment horizontal="center"/>
    </xf>
    <xf numFmtId="2" fontId="3" fillId="0" borderId="0" xfId="0" applyNumberFormat="1" applyFont="1"/>
    <xf numFmtId="44" fontId="3" fillId="0" borderId="24" xfId="3" applyFont="1" applyBorder="1"/>
    <xf numFmtId="10" fontId="3" fillId="0" borderId="0" xfId="4" applyNumberFormat="1" applyFont="1" applyBorder="1"/>
    <xf numFmtId="3" fontId="3" fillId="0" borderId="0" xfId="0" applyNumberFormat="1" applyFont="1"/>
    <xf numFmtId="9" fontId="3" fillId="0" borderId="0" xfId="4" applyFont="1" applyBorder="1"/>
    <xf numFmtId="44" fontId="3" fillId="0" borderId="0" xfId="0" applyNumberFormat="1" applyFont="1"/>
    <xf numFmtId="0" fontId="3" fillId="0" borderId="8" xfId="0" applyFont="1" applyBorder="1"/>
    <xf numFmtId="44" fontId="4" fillId="0" borderId="22" xfId="3" applyFont="1" applyBorder="1"/>
    <xf numFmtId="0" fontId="3" fillId="0" borderId="23" xfId="0" applyFont="1" applyBorder="1"/>
    <xf numFmtId="165" fontId="3" fillId="0" borderId="0" xfId="2" applyNumberFormat="1" applyFont="1"/>
    <xf numFmtId="9" fontId="3" fillId="0" borderId="0" xfId="1" applyFont="1"/>
    <xf numFmtId="0" fontId="3" fillId="0" borderId="23" xfId="0" applyFont="1" applyBorder="1" applyAlignment="1">
      <alignment horizontal="left" indent="1"/>
    </xf>
    <xf numFmtId="0" fontId="3" fillId="0" borderId="0" xfId="0" applyFont="1" applyAlignment="1">
      <alignment horizontal="left" indent="1"/>
    </xf>
    <xf numFmtId="0" fontId="8" fillId="0" borderId="6" xfId="6" applyFont="1" applyBorder="1"/>
    <xf numFmtId="0" fontId="9" fillId="0" borderId="18" xfId="0" applyFont="1" applyBorder="1"/>
    <xf numFmtId="0" fontId="8" fillId="0" borderId="8" xfId="6" applyFont="1" applyBorder="1" applyAlignment="1">
      <alignment horizontal="left"/>
    </xf>
    <xf numFmtId="0" fontId="10" fillId="0" borderId="23" xfId="0" applyFont="1" applyBorder="1"/>
    <xf numFmtId="0" fontId="8" fillId="0" borderId="0" xfId="6" applyFont="1" applyAlignment="1">
      <alignment horizontal="left"/>
    </xf>
    <xf numFmtId="166" fontId="8" fillId="4" borderId="0" xfId="3" applyNumberFormat="1" applyFont="1" applyFill="1" applyBorder="1" applyProtection="1">
      <protection locked="0"/>
    </xf>
    <xf numFmtId="0" fontId="8" fillId="0" borderId="23" xfId="6" applyFont="1" applyBorder="1" applyAlignment="1">
      <alignment horizontal="left" indent="2"/>
    </xf>
    <xf numFmtId="0" fontId="8" fillId="0" borderId="25" xfId="6" applyFont="1" applyBorder="1" applyAlignment="1">
      <alignment horizontal="left" indent="2"/>
    </xf>
    <xf numFmtId="0" fontId="8" fillId="0" borderId="21" xfId="6" applyFont="1" applyBorder="1"/>
    <xf numFmtId="9" fontId="8" fillId="4" borderId="0" xfId="1" applyFont="1" applyFill="1" applyBorder="1" applyProtection="1">
      <protection locked="0"/>
    </xf>
    <xf numFmtId="0" fontId="6" fillId="3" borderId="0" xfId="6" applyFont="1" applyFill="1" applyAlignment="1">
      <alignment horizontal="center"/>
    </xf>
    <xf numFmtId="0" fontId="6" fillId="3" borderId="24" xfId="6" applyFont="1" applyFill="1" applyBorder="1" applyAlignment="1">
      <alignment horizontal="center"/>
    </xf>
    <xf numFmtId="0" fontId="0" fillId="3" borderId="4" xfId="0" applyFill="1" applyBorder="1"/>
    <xf numFmtId="0" fontId="0" fillId="3" borderId="0" xfId="0" applyFill="1"/>
    <xf numFmtId="0" fontId="0" fillId="3" borderId="12" xfId="0" applyFill="1" applyBorder="1"/>
    <xf numFmtId="0" fontId="8" fillId="0" borderId="5" xfId="6" applyFont="1" applyBorder="1"/>
    <xf numFmtId="0" fontId="8" fillId="0" borderId="7" xfId="6" applyFont="1" applyBorder="1" applyAlignment="1">
      <alignment horizontal="center"/>
    </xf>
    <xf numFmtId="0" fontId="9" fillId="0" borderId="27" xfId="0" applyFont="1" applyBorder="1"/>
    <xf numFmtId="0" fontId="10" fillId="0" borderId="4" xfId="0" applyFont="1" applyBorder="1"/>
    <xf numFmtId="166" fontId="8" fillId="4" borderId="12" xfId="3" applyNumberFormat="1" applyFont="1" applyFill="1" applyBorder="1" applyProtection="1">
      <protection locked="0"/>
    </xf>
    <xf numFmtId="9" fontId="8" fillId="4" borderId="12" xfId="1" applyFont="1" applyFill="1" applyBorder="1" applyProtection="1">
      <protection locked="0"/>
    </xf>
    <xf numFmtId="167" fontId="8" fillId="4" borderId="12" xfId="5" applyNumberFormat="1" applyFont="1" applyFill="1" applyBorder="1" applyProtection="1">
      <protection locked="0"/>
    </xf>
    <xf numFmtId="165" fontId="8" fillId="4" borderId="12" xfId="5" applyNumberFormat="1" applyFont="1" applyFill="1" applyBorder="1" applyProtection="1">
      <protection locked="0"/>
    </xf>
    <xf numFmtId="0" fontId="0" fillId="0" borderId="16" xfId="0" applyBorder="1"/>
    <xf numFmtId="0" fontId="8" fillId="0" borderId="29" xfId="6" applyFont="1" applyBorder="1" applyAlignment="1">
      <alignment horizontal="left" indent="2"/>
    </xf>
    <xf numFmtId="0" fontId="8" fillId="0" borderId="6" xfId="6" applyFont="1" applyBorder="1" applyAlignment="1">
      <alignment horizontal="center"/>
    </xf>
    <xf numFmtId="0" fontId="10" fillId="0" borderId="26" xfId="0" applyFont="1" applyBorder="1"/>
    <xf numFmtId="165" fontId="8" fillId="4" borderId="0" xfId="5" applyNumberFormat="1" applyFont="1" applyFill="1" applyBorder="1" applyProtection="1">
      <protection locked="0"/>
    </xf>
    <xf numFmtId="167" fontId="8" fillId="4" borderId="24" xfId="5" applyNumberFormat="1" applyFont="1" applyFill="1" applyBorder="1" applyProtection="1">
      <protection locked="0"/>
    </xf>
    <xf numFmtId="9" fontId="8" fillId="4" borderId="24" xfId="1" applyFont="1" applyFill="1" applyBorder="1" applyProtection="1">
      <protection locked="0"/>
    </xf>
    <xf numFmtId="166" fontId="8" fillId="4" borderId="24" xfId="3" applyNumberFormat="1" applyFont="1" applyFill="1" applyBorder="1" applyProtection="1">
      <protection locked="0"/>
    </xf>
    <xf numFmtId="9" fontId="8" fillId="4" borderId="30" xfId="1" applyFont="1" applyFill="1" applyBorder="1" applyProtection="1">
      <protection locked="0"/>
    </xf>
    <xf numFmtId="164" fontId="8" fillId="4" borderId="24" xfId="7" applyNumberFormat="1" applyFont="1" applyFill="1" applyBorder="1" applyProtection="1">
      <protection locked="0"/>
    </xf>
    <xf numFmtId="168" fontId="3" fillId="0" borderId="0" xfId="0" applyNumberFormat="1" applyFont="1"/>
    <xf numFmtId="9" fontId="0" fillId="4" borderId="12" xfId="1" applyFont="1" applyFill="1" applyBorder="1"/>
    <xf numFmtId="165" fontId="0" fillId="4" borderId="17" xfId="5" applyNumberFormat="1" applyFont="1" applyFill="1" applyBorder="1"/>
    <xf numFmtId="44" fontId="0" fillId="0" borderId="0" xfId="7" applyFont="1"/>
    <xf numFmtId="0" fontId="0" fillId="0" borderId="15" xfId="0" applyBorder="1"/>
    <xf numFmtId="0" fontId="4" fillId="0" borderId="7" xfId="0" applyFont="1" applyBorder="1" applyAlignment="1">
      <alignment horizontal="center"/>
    </xf>
    <xf numFmtId="0" fontId="10" fillId="0" borderId="31" xfId="0" applyFont="1" applyBorder="1"/>
    <xf numFmtId="0" fontId="10" fillId="0" borderId="32" xfId="0" applyFont="1" applyBorder="1"/>
    <xf numFmtId="0" fontId="3" fillId="0" borderId="0" xfId="0" applyFont="1" applyAlignment="1">
      <alignment horizontal="left"/>
    </xf>
    <xf numFmtId="44" fontId="3" fillId="0" borderId="12" xfId="0" applyNumberFormat="1" applyFont="1" applyBorder="1"/>
    <xf numFmtId="164" fontId="3" fillId="0" borderId="0" xfId="0" applyNumberFormat="1" applyFont="1"/>
    <xf numFmtId="0" fontId="4" fillId="0" borderId="0" xfId="0" applyFont="1"/>
    <xf numFmtId="0" fontId="3" fillId="0" borderId="0" xfId="0" quotePrefix="1" applyFont="1"/>
    <xf numFmtId="44" fontId="3" fillId="0" borderId="0" xfId="3" applyFont="1" applyBorder="1"/>
    <xf numFmtId="44" fontId="4" fillId="0" borderId="0" xfId="3" applyFont="1" applyBorder="1"/>
    <xf numFmtId="0" fontId="2" fillId="0" borderId="0" xfId="0" applyFont="1" applyAlignment="1">
      <alignment horizontal="center"/>
    </xf>
    <xf numFmtId="0" fontId="4" fillId="0" borderId="0" xfId="0" applyFont="1" applyAlignment="1">
      <alignment horizontal="center"/>
    </xf>
    <xf numFmtId="44" fontId="3" fillId="0" borderId="8" xfId="0" applyNumberFormat="1" applyFont="1" applyBorder="1"/>
    <xf numFmtId="44" fontId="3" fillId="0" borderId="12" xfId="3" applyFont="1" applyBorder="1"/>
    <xf numFmtId="0" fontId="3" fillId="0" borderId="4" xfId="0" applyFont="1" applyBorder="1" applyAlignment="1">
      <alignment horizontal="left" indent="1"/>
    </xf>
    <xf numFmtId="0" fontId="3" fillId="0" borderId="12" xfId="0" applyFont="1" applyBorder="1"/>
    <xf numFmtId="0" fontId="2" fillId="0" borderId="4" xfId="0" applyFont="1" applyBorder="1" applyAlignment="1">
      <alignment horizontal="right"/>
    </xf>
    <xf numFmtId="44" fontId="2" fillId="0" borderId="12" xfId="3" applyFont="1" applyBorder="1"/>
    <xf numFmtId="44" fontId="3" fillId="0" borderId="9" xfId="0" applyNumberFormat="1" applyFont="1" applyBorder="1"/>
    <xf numFmtId="44" fontId="3" fillId="0" borderId="28" xfId="0" applyNumberFormat="1" applyFont="1" applyBorder="1"/>
    <xf numFmtId="44" fontId="2" fillId="0" borderId="35" xfId="0" applyNumberFormat="1" applyFont="1" applyBorder="1"/>
    <xf numFmtId="0" fontId="2" fillId="0" borderId="6" xfId="0" applyFont="1" applyBorder="1"/>
    <xf numFmtId="44" fontId="12" fillId="0" borderId="22" xfId="3" applyFont="1" applyBorder="1"/>
    <xf numFmtId="0" fontId="3" fillId="0" borderId="0" xfId="9" applyFont="1"/>
    <xf numFmtId="0" fontId="1" fillId="0" borderId="0" xfId="9"/>
    <xf numFmtId="0" fontId="2" fillId="0" borderId="0" xfId="9" applyFont="1"/>
    <xf numFmtId="0" fontId="2" fillId="0" borderId="0" xfId="9" applyFont="1" applyAlignment="1">
      <alignment horizontal="left" indent="4"/>
    </xf>
    <xf numFmtId="0" fontId="15" fillId="0" borderId="0" xfId="9" applyFont="1" applyAlignment="1">
      <alignment wrapText="1"/>
    </xf>
    <xf numFmtId="0" fontId="17" fillId="0" borderId="0" xfId="8" applyFont="1" applyFill="1" applyBorder="1" applyAlignment="1">
      <alignment horizontal="left"/>
    </xf>
    <xf numFmtId="0" fontId="18" fillId="0" borderId="0" xfId="8" applyFont="1" applyFill="1" applyBorder="1" applyAlignment="1"/>
    <xf numFmtId="0" fontId="2" fillId="0" borderId="0" xfId="9" applyFont="1" applyAlignment="1">
      <alignment horizontal="left" vertical="center"/>
    </xf>
    <xf numFmtId="0" fontId="2" fillId="0" borderId="0" xfId="9" applyFont="1" applyAlignment="1">
      <alignment vertical="center"/>
    </xf>
    <xf numFmtId="0" fontId="17" fillId="0" borderId="0" xfId="8" applyFont="1" applyFill="1" applyBorder="1" applyAlignment="1"/>
    <xf numFmtId="0" fontId="8" fillId="0" borderId="18" xfId="6" applyFont="1" applyBorder="1" applyAlignment="1">
      <alignment horizontal="left"/>
    </xf>
    <xf numFmtId="0" fontId="8" fillId="0" borderId="19" xfId="6" applyFont="1" applyBorder="1" applyAlignment="1">
      <alignment horizontal="left"/>
    </xf>
    <xf numFmtId="0" fontId="11" fillId="0" borderId="27" xfId="0" applyFont="1" applyBorder="1"/>
    <xf numFmtId="9" fontId="0" fillId="4" borderId="19" xfId="1" applyFont="1" applyFill="1" applyBorder="1"/>
    <xf numFmtId="0" fontId="0" fillId="0" borderId="39" xfId="0" applyBorder="1"/>
    <xf numFmtId="0" fontId="8" fillId="0" borderId="29" xfId="6" applyFont="1" applyBorder="1" applyAlignment="1">
      <alignment horizontal="left"/>
    </xf>
    <xf numFmtId="0" fontId="8" fillId="0" borderId="16" xfId="6" applyFont="1" applyBorder="1" applyAlignment="1">
      <alignment horizontal="left"/>
    </xf>
    <xf numFmtId="0" fontId="0" fillId="0" borderId="40" xfId="0" applyBorder="1"/>
    <xf numFmtId="9" fontId="8" fillId="0" borderId="16" xfId="1" applyFont="1" applyFill="1" applyBorder="1" applyProtection="1">
      <protection locked="0"/>
    </xf>
    <xf numFmtId="169" fontId="3" fillId="0" borderId="0" xfId="3" applyNumberFormat="1" applyFont="1" applyBorder="1"/>
    <xf numFmtId="169" fontId="3" fillId="0" borderId="12" xfId="3" applyNumberFormat="1" applyFont="1" applyBorder="1"/>
    <xf numFmtId="169" fontId="3" fillId="5" borderId="0" xfId="3" applyNumberFormat="1" applyFont="1" applyFill="1" applyBorder="1"/>
    <xf numFmtId="169" fontId="3" fillId="0" borderId="16" xfId="3" applyNumberFormat="1" applyFont="1" applyBorder="1"/>
    <xf numFmtId="169" fontId="3" fillId="0" borderId="17" xfId="3" applyNumberFormat="1" applyFont="1" applyBorder="1"/>
    <xf numFmtId="169" fontId="3" fillId="0" borderId="0" xfId="7" applyNumberFormat="1" applyFont="1" applyBorder="1"/>
    <xf numFmtId="169" fontId="3" fillId="0" borderId="12" xfId="7" applyNumberFormat="1" applyFont="1" applyBorder="1"/>
    <xf numFmtId="169" fontId="3" fillId="6" borderId="0" xfId="7" applyNumberFormat="1" applyFont="1" applyFill="1" applyBorder="1"/>
    <xf numFmtId="169" fontId="3" fillId="0" borderId="16" xfId="7" applyNumberFormat="1" applyFont="1" applyBorder="1"/>
    <xf numFmtId="169" fontId="3" fillId="0" borderId="17" xfId="7" applyNumberFormat="1" applyFont="1" applyBorder="1"/>
    <xf numFmtId="167" fontId="3" fillId="0" borderId="8" xfId="2" applyNumberFormat="1" applyFont="1" applyBorder="1"/>
    <xf numFmtId="167" fontId="3" fillId="0" borderId="9" xfId="2" applyNumberFormat="1" applyFont="1" applyBorder="1"/>
    <xf numFmtId="169" fontId="3" fillId="6" borderId="0" xfId="3" applyNumberFormat="1" applyFont="1" applyFill="1" applyBorder="1"/>
    <xf numFmtId="0" fontId="2" fillId="0" borderId="0" xfId="0" applyFont="1" applyAlignment="1">
      <alignment horizontal="right"/>
    </xf>
    <xf numFmtId="2" fontId="3" fillId="0" borderId="8" xfId="0" applyNumberFormat="1" applyFont="1" applyBorder="1"/>
    <xf numFmtId="44" fontId="3" fillId="0" borderId="9" xfId="3" applyFont="1" applyBorder="1"/>
    <xf numFmtId="0" fontId="4" fillId="0" borderId="19" xfId="0" applyFont="1" applyBorder="1" applyAlignment="1">
      <alignment horizontal="center"/>
    </xf>
    <xf numFmtId="0" fontId="4" fillId="0" borderId="28" xfId="0" applyFont="1" applyBorder="1" applyAlignment="1">
      <alignment horizontal="center"/>
    </xf>
    <xf numFmtId="0" fontId="3" fillId="0" borderId="28" xfId="0" applyFont="1" applyBorder="1"/>
    <xf numFmtId="0" fontId="4" fillId="0" borderId="4" xfId="0" applyFont="1" applyBorder="1"/>
    <xf numFmtId="9" fontId="4" fillId="0" borderId="0" xfId="0" applyNumberFormat="1" applyFont="1"/>
    <xf numFmtId="0" fontId="14" fillId="3" borderId="37" xfId="9" applyFont="1" applyFill="1" applyBorder="1" applyAlignment="1">
      <alignment horizontal="center"/>
    </xf>
    <xf numFmtId="0" fontId="14" fillId="3" borderId="38" xfId="9" applyFont="1" applyFill="1" applyBorder="1" applyAlignment="1">
      <alignment horizontal="center"/>
    </xf>
    <xf numFmtId="0" fontId="3" fillId="0" borderId="0" xfId="9" applyFont="1" applyAlignment="1">
      <alignment horizontal="right"/>
    </xf>
    <xf numFmtId="0" fontId="3" fillId="0" borderId="0" xfId="9" applyFont="1"/>
    <xf numFmtId="0" fontId="14" fillId="3" borderId="37" xfId="9" applyFont="1" applyFill="1" applyBorder="1"/>
    <xf numFmtId="0" fontId="14" fillId="3" borderId="38" xfId="9" applyFont="1" applyFill="1" applyBorder="1"/>
    <xf numFmtId="0" fontId="15" fillId="0" borderId="0" xfId="9" applyFont="1" applyAlignment="1">
      <alignment horizontal="left" wrapText="1"/>
    </xf>
    <xf numFmtId="0" fontId="16" fillId="0" borderId="0" xfId="9" applyFont="1" applyAlignment="1">
      <alignment horizontal="left" wrapText="1"/>
    </xf>
    <xf numFmtId="0" fontId="17" fillId="7" borderId="0" xfId="8" applyFont="1" applyBorder="1" applyAlignment="1">
      <alignment horizontal="left" wrapText="1"/>
    </xf>
    <xf numFmtId="0" fontId="8" fillId="0" borderId="18" xfId="6" applyFont="1" applyBorder="1" applyAlignment="1">
      <alignment horizontal="left"/>
    </xf>
    <xf numFmtId="0" fontId="8" fillId="0" borderId="19" xfId="6" applyFont="1" applyBorder="1" applyAlignment="1">
      <alignment horizontal="left"/>
    </xf>
    <xf numFmtId="0" fontId="6" fillId="2" borderId="1" xfId="6" applyFont="1" applyFill="1" applyBorder="1" applyAlignment="1">
      <alignment horizontal="center"/>
    </xf>
    <xf numFmtId="0" fontId="6" fillId="2" borderId="2" xfId="6" applyFont="1" applyFill="1" applyBorder="1" applyAlignment="1">
      <alignment horizontal="center"/>
    </xf>
    <xf numFmtId="0" fontId="6" fillId="2" borderId="3" xfId="6" applyFont="1" applyFill="1" applyBorder="1" applyAlignment="1">
      <alignment horizontal="center"/>
    </xf>
    <xf numFmtId="0" fontId="8" fillId="0" borderId="28" xfId="6" applyFont="1" applyBorder="1" applyAlignment="1">
      <alignment horizontal="left"/>
    </xf>
    <xf numFmtId="0" fontId="8" fillId="0" borderId="20" xfId="6" applyFont="1" applyBorder="1" applyAlignment="1">
      <alignment horizontal="left"/>
    </xf>
    <xf numFmtId="0" fontId="8" fillId="0" borderId="23" xfId="6" applyFont="1" applyBorder="1" applyAlignment="1">
      <alignment horizontal="left"/>
    </xf>
    <xf numFmtId="0" fontId="8" fillId="0" borderId="0" xfId="6" applyFont="1" applyAlignment="1">
      <alignment horizontal="left"/>
    </xf>
    <xf numFmtId="0" fontId="8" fillId="0" borderId="12" xfId="6" applyFont="1" applyBorder="1" applyAlignment="1">
      <alignment horizontal="left"/>
    </xf>
    <xf numFmtId="0" fontId="7" fillId="0" borderId="26" xfId="6" applyFont="1" applyBorder="1" applyAlignment="1">
      <alignment horizontal="left" vertical="top" wrapText="1"/>
    </xf>
    <xf numFmtId="0" fontId="7" fillId="0" borderId="8" xfId="6" applyFont="1" applyBorder="1" applyAlignment="1">
      <alignment horizontal="left" vertical="top" wrapText="1"/>
    </xf>
    <xf numFmtId="0" fontId="7" fillId="0" borderId="9" xfId="6" applyFont="1" applyBorder="1" applyAlignment="1">
      <alignment horizontal="left" vertical="top" wrapText="1"/>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10" xfId="0" applyFont="1" applyBorder="1" applyAlignment="1">
      <alignment horizontal="center" vertical="center" textRotation="90" wrapText="1"/>
    </xf>
    <xf numFmtId="0" fontId="4" fillId="0" borderId="13" xfId="0" applyFont="1" applyBorder="1" applyAlignment="1">
      <alignment horizontal="center" vertical="center" textRotation="90" wrapText="1"/>
    </xf>
    <xf numFmtId="0" fontId="4" fillId="0" borderId="14" xfId="0" applyFont="1" applyBorder="1" applyAlignment="1">
      <alignment horizontal="center" vertical="center" textRotation="90" wrapText="1"/>
    </xf>
    <xf numFmtId="0" fontId="4" fillId="0" borderId="5" xfId="0" applyFont="1" applyBorder="1" applyAlignment="1">
      <alignment horizontal="left"/>
    </xf>
    <xf numFmtId="0" fontId="4" fillId="0" borderId="6" xfId="0" applyFont="1" applyBorder="1" applyAlignment="1">
      <alignment horizontal="left"/>
    </xf>
    <xf numFmtId="0" fontId="4" fillId="0" borderId="27" xfId="0" applyFont="1" applyBorder="1" applyAlignment="1">
      <alignment horizontal="left"/>
    </xf>
    <xf numFmtId="0" fontId="3" fillId="0" borderId="19" xfId="0" applyFont="1" applyBorder="1" applyAlignment="1">
      <alignment horizontal="left"/>
    </xf>
    <xf numFmtId="0" fontId="3" fillId="0" borderId="26" xfId="0" applyFont="1" applyBorder="1" applyAlignment="1">
      <alignment horizontal="left" indent="1"/>
    </xf>
    <xf numFmtId="0" fontId="3" fillId="0" borderId="8" xfId="0" applyFont="1" applyBorder="1" applyAlignment="1">
      <alignment horizontal="left" indent="1"/>
    </xf>
    <xf numFmtId="0" fontId="2" fillId="2" borderId="41" xfId="0" applyFont="1" applyFill="1" applyBorder="1" applyAlignment="1">
      <alignment horizontal="center"/>
    </xf>
    <xf numFmtId="0" fontId="2" fillId="2" borderId="42" xfId="0" applyFont="1" applyFill="1" applyBorder="1" applyAlignment="1">
      <alignment horizontal="center"/>
    </xf>
    <xf numFmtId="0" fontId="2" fillId="2" borderId="43" xfId="0" applyFont="1" applyFill="1" applyBorder="1" applyAlignment="1">
      <alignment horizontal="center"/>
    </xf>
    <xf numFmtId="0" fontId="3" fillId="0" borderId="4" xfId="0" applyFont="1" applyBorder="1" applyAlignment="1">
      <alignment horizontal="left" indent="1"/>
    </xf>
    <xf numFmtId="0" fontId="3" fillId="0" borderId="0" xfId="0" applyFont="1" applyAlignment="1">
      <alignment horizontal="left" indent="1"/>
    </xf>
    <xf numFmtId="0" fontId="12" fillId="0" borderId="26" xfId="0" applyFont="1" applyBorder="1" applyAlignment="1">
      <alignment horizontal="center"/>
    </xf>
    <xf numFmtId="0" fontId="12" fillId="0" borderId="8" xfId="0" applyFont="1" applyBorder="1" applyAlignment="1">
      <alignment horizontal="center"/>
    </xf>
    <xf numFmtId="0" fontId="12" fillId="0" borderId="9" xfId="0" applyFont="1" applyBorder="1" applyAlignment="1">
      <alignment horizontal="center"/>
    </xf>
    <xf numFmtId="0" fontId="3" fillId="0" borderId="27" xfId="0" applyFont="1" applyBorder="1" applyAlignment="1">
      <alignment horizontal="left" indent="1"/>
    </xf>
    <xf numFmtId="0" fontId="3" fillId="0" borderId="19" xfId="0" applyFont="1" applyBorder="1" applyAlignment="1">
      <alignment horizontal="left" indent="1"/>
    </xf>
    <xf numFmtId="0" fontId="4" fillId="0" borderId="5" xfId="0" applyFont="1" applyBorder="1" applyAlignment="1">
      <alignment horizontal="right"/>
    </xf>
    <xf numFmtId="0" fontId="4" fillId="0" borderId="6" xfId="0" applyFont="1" applyBorder="1" applyAlignment="1">
      <alignment horizontal="right"/>
    </xf>
    <xf numFmtId="0" fontId="4" fillId="0" borderId="4" xfId="0" applyFont="1" applyBorder="1" applyAlignment="1">
      <alignment horizontal="left"/>
    </xf>
    <xf numFmtId="0" fontId="4" fillId="0" borderId="0" xfId="0" applyFont="1" applyAlignment="1">
      <alignment horizontal="left"/>
    </xf>
    <xf numFmtId="0" fontId="4" fillId="0" borderId="27" xfId="0" applyFont="1" applyBorder="1" applyAlignment="1">
      <alignment horizontal="right"/>
    </xf>
    <xf numFmtId="0" fontId="4" fillId="0" borderId="19" xfId="0" applyFont="1" applyBorder="1" applyAlignment="1">
      <alignment horizontal="right"/>
    </xf>
    <xf numFmtId="0" fontId="4" fillId="0" borderId="26" xfId="0" applyFont="1" applyBorder="1" applyAlignment="1">
      <alignment horizontal="right"/>
    </xf>
    <xf numFmtId="0" fontId="4" fillId="0" borderId="8" xfId="0" applyFont="1" applyBorder="1" applyAlignment="1">
      <alignment horizontal="right"/>
    </xf>
    <xf numFmtId="0" fontId="12" fillId="0" borderId="33" xfId="0" applyFont="1" applyBorder="1" applyAlignment="1">
      <alignment horizontal="right"/>
    </xf>
    <xf numFmtId="0" fontId="12" fillId="0" borderId="34" xfId="0" applyFont="1" applyBorder="1" applyAlignment="1">
      <alignment horizontal="right"/>
    </xf>
    <xf numFmtId="0" fontId="4" fillId="0" borderId="4" xfId="0" applyFont="1" applyBorder="1" applyAlignment="1">
      <alignment horizontal="right"/>
    </xf>
    <xf numFmtId="0" fontId="4" fillId="0" borderId="0" xfId="0" applyFont="1" applyAlignment="1">
      <alignment horizontal="right"/>
    </xf>
    <xf numFmtId="0" fontId="3" fillId="0" borderId="0" xfId="0" applyFont="1" applyAlignment="1">
      <alignment horizontal="center" wrapText="1"/>
    </xf>
    <xf numFmtId="0" fontId="2" fillId="2" borderId="18" xfId="0" applyFont="1" applyFill="1" applyBorder="1" applyAlignment="1">
      <alignment horizontal="center"/>
    </xf>
    <xf numFmtId="0" fontId="2" fillId="2" borderId="19" xfId="0" applyFont="1" applyFill="1" applyBorder="1" applyAlignment="1">
      <alignment horizontal="center"/>
    </xf>
    <xf numFmtId="0" fontId="2" fillId="2" borderId="20" xfId="0" applyFont="1" applyFill="1" applyBorder="1" applyAlignment="1">
      <alignment horizontal="center"/>
    </xf>
    <xf numFmtId="0" fontId="4" fillId="0" borderId="21" xfId="0" applyFont="1" applyBorder="1" applyAlignment="1">
      <alignment horizontal="left"/>
    </xf>
    <xf numFmtId="0" fontId="3" fillId="0" borderId="23" xfId="0" applyFont="1" applyBorder="1" applyAlignment="1">
      <alignment horizontal="left" indent="1"/>
    </xf>
    <xf numFmtId="0" fontId="4" fillId="0" borderId="25" xfId="0" applyFont="1" applyBorder="1" applyAlignment="1">
      <alignment horizontal="right"/>
    </xf>
    <xf numFmtId="0" fontId="3" fillId="0" borderId="0" xfId="0" applyFont="1" applyAlignment="1">
      <alignment horizontal="left" wrapText="1"/>
    </xf>
    <xf numFmtId="0" fontId="4" fillId="0" borderId="23" xfId="0" applyFont="1" applyBorder="1" applyAlignment="1">
      <alignment horizontal="left"/>
    </xf>
    <xf numFmtId="0" fontId="4" fillId="0" borderId="23" xfId="0" applyFont="1" applyBorder="1" applyAlignment="1">
      <alignment horizontal="right" indent="1"/>
    </xf>
    <xf numFmtId="0" fontId="4" fillId="0" borderId="0" xfId="0" applyFont="1" applyAlignment="1">
      <alignment horizontal="right" indent="1"/>
    </xf>
    <xf numFmtId="0" fontId="4" fillId="0" borderId="23" xfId="0" applyFont="1" applyBorder="1" applyAlignment="1">
      <alignment horizontal="right"/>
    </xf>
    <xf numFmtId="0" fontId="12" fillId="0" borderId="21" xfId="0" applyFont="1" applyBorder="1" applyAlignment="1">
      <alignment horizontal="right"/>
    </xf>
    <xf numFmtId="0" fontId="12" fillId="0" borderId="6" xfId="0" applyFont="1" applyBorder="1" applyAlignment="1">
      <alignment horizontal="right"/>
    </xf>
  </cellXfs>
  <cellStyles count="10">
    <cellStyle name="Comma" xfId="5" builtinId="3"/>
    <cellStyle name="Comma 2" xfId="2" xr:uid="{F2329C8A-8700-4FCC-B9B0-7100C1283C37}"/>
    <cellStyle name="Currency" xfId="7" builtinId="4"/>
    <cellStyle name="Currency 2" xfId="3" xr:uid="{7C166C08-B3E2-4E2B-BCB1-AB0A478FBC32}"/>
    <cellStyle name="Normal" xfId="0" builtinId="0"/>
    <cellStyle name="Normal 2" xfId="6" xr:uid="{6A239201-E33B-48A6-A8B1-01DAD84B06EC}"/>
    <cellStyle name="Normal 2 2" xfId="9" xr:uid="{9C9322C2-5BD4-4327-880B-1E2971D71FAD}"/>
    <cellStyle name="Output" xfId="8" builtinId="21"/>
    <cellStyle name="Percent" xfId="1" builtinId="5"/>
    <cellStyle name="Percent 2" xfId="4" xr:uid="{877CF61F-A2AB-4813-9FC3-3C0FB5C3CA4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733425</xdr:colOff>
      <xdr:row>3</xdr:row>
      <xdr:rowOff>149575</xdr:rowOff>
    </xdr:from>
    <xdr:to>
      <xdr:col>5</xdr:col>
      <xdr:colOff>0</xdr:colOff>
      <xdr:row>7</xdr:row>
      <xdr:rowOff>108525</xdr:rowOff>
    </xdr:to>
    <xdr:pic>
      <xdr:nvPicPr>
        <xdr:cNvPr id="2" name="Picture 1">
          <a:extLst>
            <a:ext uri="{FF2B5EF4-FFF2-40B4-BE49-F238E27FC236}">
              <a16:creationId xmlns:a16="http://schemas.microsoft.com/office/drawing/2014/main" id="{80EC1FD6-6885-4852-97C5-BF9B425445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81800" y="778225"/>
          <a:ext cx="2295525" cy="720950"/>
        </a:xfrm>
        <a:prstGeom prst="rect">
          <a:avLst/>
        </a:prstGeom>
      </xdr:spPr>
    </xdr:pic>
    <xdr:clientData/>
  </xdr:twoCellAnchor>
  <xdr:twoCellAnchor editAs="oneCell">
    <xdr:from>
      <xdr:col>4</xdr:col>
      <xdr:colOff>2962276</xdr:colOff>
      <xdr:row>2</xdr:row>
      <xdr:rowOff>180975</xdr:rowOff>
    </xdr:from>
    <xdr:to>
      <xdr:col>5</xdr:col>
      <xdr:colOff>1590676</xdr:colOff>
      <xdr:row>8</xdr:row>
      <xdr:rowOff>0</xdr:rowOff>
    </xdr:to>
    <xdr:pic>
      <xdr:nvPicPr>
        <xdr:cNvPr id="3" name="Picture 2">
          <a:extLst>
            <a:ext uri="{FF2B5EF4-FFF2-40B4-BE49-F238E27FC236}">
              <a16:creationId xmlns:a16="http://schemas.microsoft.com/office/drawing/2014/main" id="{DF8E6AA2-D431-4720-813C-78904F3E83E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029701" y="619125"/>
          <a:ext cx="1657350" cy="9620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sseyr/Box%20Sync/Budgets/Budget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ilhollinr/Box%20Sync/Crops/Industrial%20Hemp%20-%20MASBDA%20-%202019/Resources%20-%20Proprietary/Budgets/2020%20Industrial%20Hemp%20Budget%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
      <sheetName val="Wheat(2015 SRW)"/>
      <sheetName val="Beans, DC(2015 DoubleCrop)"/>
      <sheetName val="Beans(2015 Dryland)"/>
      <sheetName val="Milo(Gr Sorghum 2015)"/>
      <sheetName val="Corn(2015 Irrigated)"/>
      <sheetName val="Corn(Corn(2015 Dryland...)"/>
      <sheetName val="Corn, Dryland 2014"/>
      <sheetName val="Corn, Irrigated 2014"/>
      <sheetName val="Soybean 2014"/>
      <sheetName val="Soybean, Double Crop 2014"/>
      <sheetName val="Wheat SRW 2014"/>
      <sheetName val="Grain Sorghum 2014"/>
      <sheetName val="Output"/>
      <sheetName val="Machinery Cost"/>
      <sheetName val="MDB"/>
      <sheetName val="Store"/>
    </sheetNames>
    <sheetDataSet>
      <sheetData sheetId="0"/>
      <sheetData sheetId="1">
        <row r="12">
          <cell r="B12">
            <v>100</v>
          </cell>
        </row>
        <row r="13">
          <cell r="B13">
            <v>55</v>
          </cell>
        </row>
        <row r="25">
          <cell r="B25">
            <v>100</v>
          </cell>
        </row>
        <row r="46">
          <cell r="F46">
            <v>19.38</v>
          </cell>
        </row>
        <row r="99">
          <cell r="B99">
            <v>15000</v>
          </cell>
        </row>
        <row r="100">
          <cell r="B100">
            <v>5</v>
          </cell>
        </row>
        <row r="109">
          <cell r="B109">
            <v>5</v>
          </cell>
          <cell r="F109">
            <v>6800</v>
          </cell>
        </row>
        <row r="114">
          <cell r="F114">
            <v>2</v>
          </cell>
        </row>
        <row r="149">
          <cell r="F149">
            <v>0</v>
          </cell>
          <cell r="H149">
            <v>0</v>
          </cell>
        </row>
        <row r="150">
          <cell r="F150">
            <v>0</v>
          </cell>
          <cell r="H150">
            <v>0</v>
          </cell>
        </row>
        <row r="151">
          <cell r="F151">
            <v>0</v>
          </cell>
          <cell r="H151">
            <v>0</v>
          </cell>
        </row>
        <row r="152">
          <cell r="F152">
            <v>0</v>
          </cell>
          <cell r="H152">
            <v>0</v>
          </cell>
        </row>
        <row r="153">
          <cell r="F153">
            <v>0</v>
          </cell>
          <cell r="H153">
            <v>0</v>
          </cell>
        </row>
        <row r="154">
          <cell r="F154">
            <v>0</v>
          </cell>
          <cell r="H154">
            <v>0</v>
          </cell>
        </row>
        <row r="155">
          <cell r="F155">
            <v>0</v>
          </cell>
          <cell r="H155">
            <v>0</v>
          </cell>
        </row>
        <row r="156">
          <cell r="F156">
            <v>0</v>
          </cell>
          <cell r="H156">
            <v>0</v>
          </cell>
        </row>
        <row r="157">
          <cell r="F157">
            <v>0</v>
          </cell>
          <cell r="H157">
            <v>0</v>
          </cell>
        </row>
        <row r="158">
          <cell r="F158">
            <v>0</v>
          </cell>
          <cell r="H158">
            <v>0</v>
          </cell>
        </row>
        <row r="160">
          <cell r="F160">
            <v>0</v>
          </cell>
          <cell r="H160">
            <v>0</v>
          </cell>
        </row>
        <row r="161">
          <cell r="F161">
            <v>0</v>
          </cell>
          <cell r="H161">
            <v>0</v>
          </cell>
        </row>
        <row r="162">
          <cell r="F162">
            <v>0</v>
          </cell>
          <cell r="H162">
            <v>0</v>
          </cell>
        </row>
        <row r="163">
          <cell r="F163">
            <v>0</v>
          </cell>
          <cell r="H163">
            <v>0</v>
          </cell>
        </row>
        <row r="164">
          <cell r="D164" t="str">
            <v>200 MFWD</v>
          </cell>
          <cell r="F164">
            <v>1</v>
          </cell>
          <cell r="H164">
            <v>0</v>
          </cell>
        </row>
        <row r="166">
          <cell r="F166">
            <v>0</v>
          </cell>
          <cell r="H166">
            <v>0</v>
          </cell>
        </row>
        <row r="167">
          <cell r="F167">
            <v>0</v>
          </cell>
          <cell r="H167">
            <v>0</v>
          </cell>
        </row>
        <row r="168">
          <cell r="F168">
            <v>0</v>
          </cell>
          <cell r="H168">
            <v>0</v>
          </cell>
        </row>
        <row r="169">
          <cell r="F169">
            <v>0</v>
          </cell>
          <cell r="H169">
            <v>0</v>
          </cell>
        </row>
        <row r="170">
          <cell r="D170" t="str">
            <v>130 MFWD</v>
          </cell>
          <cell r="F170">
            <v>1</v>
          </cell>
          <cell r="H170">
            <v>0</v>
          </cell>
        </row>
        <row r="171">
          <cell r="F171">
            <v>0</v>
          </cell>
          <cell r="H171">
            <v>0</v>
          </cell>
        </row>
        <row r="172">
          <cell r="F172">
            <v>0</v>
          </cell>
          <cell r="H172">
            <v>0</v>
          </cell>
        </row>
        <row r="173">
          <cell r="F173">
            <v>0</v>
          </cell>
          <cell r="H173">
            <v>0</v>
          </cell>
        </row>
        <row r="175">
          <cell r="F175">
            <v>0</v>
          </cell>
          <cell r="H175">
            <v>0</v>
          </cell>
        </row>
        <row r="176">
          <cell r="F176">
            <v>0</v>
          </cell>
          <cell r="H176">
            <v>0</v>
          </cell>
        </row>
        <row r="177">
          <cell r="F177">
            <v>0</v>
          </cell>
          <cell r="H177">
            <v>0</v>
          </cell>
        </row>
        <row r="178">
          <cell r="F178">
            <v>0</v>
          </cell>
          <cell r="H178">
            <v>0</v>
          </cell>
        </row>
        <row r="179">
          <cell r="F179">
            <v>0</v>
          </cell>
          <cell r="H179">
            <v>0</v>
          </cell>
        </row>
        <row r="180">
          <cell r="F180">
            <v>0</v>
          </cell>
          <cell r="H180">
            <v>0</v>
          </cell>
        </row>
        <row r="181">
          <cell r="F181">
            <v>0</v>
          </cell>
          <cell r="H181">
            <v>0</v>
          </cell>
        </row>
        <row r="182">
          <cell r="F182">
            <v>0</v>
          </cell>
          <cell r="H182">
            <v>0</v>
          </cell>
        </row>
        <row r="183">
          <cell r="F183">
            <v>0</v>
          </cell>
          <cell r="H183">
            <v>0</v>
          </cell>
        </row>
        <row r="184">
          <cell r="F184">
            <v>0</v>
          </cell>
          <cell r="H184">
            <v>0</v>
          </cell>
        </row>
        <row r="185">
          <cell r="F185">
            <v>0</v>
          </cell>
          <cell r="H185">
            <v>0</v>
          </cell>
        </row>
        <row r="186">
          <cell r="F186">
            <v>0</v>
          </cell>
          <cell r="H186">
            <v>0</v>
          </cell>
        </row>
        <row r="187">
          <cell r="F187">
            <v>0</v>
          </cell>
          <cell r="H187">
            <v>0</v>
          </cell>
        </row>
        <row r="188">
          <cell r="F188">
            <v>0</v>
          </cell>
        </row>
        <row r="189">
          <cell r="F189">
            <v>0</v>
          </cell>
        </row>
        <row r="190">
          <cell r="F190">
            <v>0</v>
          </cell>
        </row>
        <row r="191">
          <cell r="F191">
            <v>0</v>
          </cell>
        </row>
        <row r="192">
          <cell r="F192">
            <v>0</v>
          </cell>
          <cell r="H192">
            <v>0</v>
          </cell>
        </row>
        <row r="193">
          <cell r="F193">
            <v>1</v>
          </cell>
          <cell r="H193">
            <v>0</v>
          </cell>
        </row>
        <row r="194">
          <cell r="F194">
            <v>0</v>
          </cell>
          <cell r="H194">
            <v>0</v>
          </cell>
        </row>
        <row r="195">
          <cell r="F195">
            <v>0</v>
          </cell>
          <cell r="H195">
            <v>0</v>
          </cell>
        </row>
        <row r="196">
          <cell r="D196" t="str">
            <v>200 MFWD</v>
          </cell>
        </row>
        <row r="197">
          <cell r="D197" t="str">
            <v>130 MFWD</v>
          </cell>
        </row>
      </sheetData>
      <sheetData sheetId="2"/>
      <sheetData sheetId="3"/>
      <sheetData sheetId="4"/>
      <sheetData sheetId="5"/>
      <sheetData sheetId="6"/>
      <sheetData sheetId="7"/>
      <sheetData sheetId="8"/>
      <sheetData sheetId="9"/>
      <sheetData sheetId="10"/>
      <sheetData sheetId="11"/>
      <sheetData sheetId="12"/>
      <sheetData sheetId="13"/>
      <sheetData sheetId="14">
        <row r="8">
          <cell r="C8" t="str">
            <v>bushels</v>
          </cell>
          <cell r="D8">
            <v>55</v>
          </cell>
          <cell r="E8">
            <v>5.3</v>
          </cell>
          <cell r="F8">
            <v>291.5</v>
          </cell>
          <cell r="G8">
            <v>291.5</v>
          </cell>
          <cell r="H8">
            <v>0</v>
          </cell>
        </row>
        <row r="9">
          <cell r="C9" t="str">
            <v>bushels</v>
          </cell>
          <cell r="D9">
            <v>0</v>
          </cell>
          <cell r="E9">
            <v>0</v>
          </cell>
          <cell r="F9">
            <v>0</v>
          </cell>
          <cell r="G9">
            <v>0</v>
          </cell>
          <cell r="H9">
            <v>0</v>
          </cell>
        </row>
        <row r="10">
          <cell r="F10">
            <v>0</v>
          </cell>
          <cell r="G10">
            <v>0</v>
          </cell>
          <cell r="H10">
            <v>0</v>
          </cell>
        </row>
        <row r="11">
          <cell r="F11">
            <v>0</v>
          </cell>
          <cell r="G11">
            <v>0</v>
          </cell>
          <cell r="H11">
            <v>0</v>
          </cell>
        </row>
        <row r="12">
          <cell r="F12">
            <v>291.5</v>
          </cell>
          <cell r="G12">
            <v>291.5</v>
          </cell>
          <cell r="H12">
            <v>0</v>
          </cell>
        </row>
        <row r="15">
          <cell r="F15">
            <v>36</v>
          </cell>
          <cell r="G15">
            <v>36</v>
          </cell>
          <cell r="H15">
            <v>0</v>
          </cell>
        </row>
        <row r="16">
          <cell r="F16">
            <v>77.900000000000006</v>
          </cell>
          <cell r="G16">
            <v>77.900000000000006</v>
          </cell>
          <cell r="H16">
            <v>0</v>
          </cell>
        </row>
        <row r="17">
          <cell r="E17">
            <v>39.75</v>
          </cell>
        </row>
        <row r="18">
          <cell r="E18">
            <v>17.149999999999999</v>
          </cell>
        </row>
        <row r="19">
          <cell r="E19">
            <v>8</v>
          </cell>
        </row>
        <row r="20">
          <cell r="E20">
            <v>13</v>
          </cell>
        </row>
        <row r="21">
          <cell r="F21">
            <v>19.38</v>
          </cell>
          <cell r="G21">
            <v>19.38</v>
          </cell>
          <cell r="H21">
            <v>0</v>
          </cell>
        </row>
        <row r="22">
          <cell r="E22">
            <v>19.38</v>
          </cell>
        </row>
        <row r="23">
          <cell r="E23">
            <v>0</v>
          </cell>
        </row>
        <row r="24">
          <cell r="F24">
            <v>1</v>
          </cell>
          <cell r="G24">
            <v>1</v>
          </cell>
          <cell r="H24">
            <v>0</v>
          </cell>
        </row>
        <row r="25">
          <cell r="F25">
            <v>13</v>
          </cell>
          <cell r="G25">
            <v>13</v>
          </cell>
          <cell r="H25">
            <v>0</v>
          </cell>
        </row>
        <row r="26">
          <cell r="F26">
            <v>12</v>
          </cell>
          <cell r="G26">
            <v>12</v>
          </cell>
          <cell r="H26">
            <v>0</v>
          </cell>
        </row>
        <row r="27">
          <cell r="F27">
            <v>13.772941621140765</v>
          </cell>
          <cell r="G27">
            <v>13.772941621140765</v>
          </cell>
          <cell r="H27">
            <v>0</v>
          </cell>
        </row>
        <row r="28">
          <cell r="F28">
            <v>10.564209124880641</v>
          </cell>
          <cell r="G28">
            <v>10.564209124880641</v>
          </cell>
          <cell r="H28">
            <v>0</v>
          </cell>
        </row>
        <row r="29">
          <cell r="F29">
            <v>12.169842531095279</v>
          </cell>
          <cell r="G29">
            <v>12.169842531095279</v>
          </cell>
          <cell r="H29">
            <v>0</v>
          </cell>
        </row>
        <row r="30">
          <cell r="F30">
            <v>0</v>
          </cell>
          <cell r="G30">
            <v>0</v>
          </cell>
          <cell r="H30">
            <v>0</v>
          </cell>
        </row>
        <row r="31">
          <cell r="F31">
            <v>5.8736097983135007</v>
          </cell>
          <cell r="G31">
            <v>5.8736097983135007</v>
          </cell>
          <cell r="H31">
            <v>0</v>
          </cell>
        </row>
        <row r="32">
          <cell r="F32">
            <v>201.6606030754302</v>
          </cell>
          <cell r="G32">
            <v>201.6606030754302</v>
          </cell>
          <cell r="H32">
            <v>0</v>
          </cell>
        </row>
        <row r="35">
          <cell r="F35">
            <v>4.25</v>
          </cell>
          <cell r="G35">
            <v>4.25</v>
          </cell>
          <cell r="H35">
            <v>0</v>
          </cell>
        </row>
        <row r="36">
          <cell r="F36">
            <v>14.306653314023379</v>
          </cell>
          <cell r="G36">
            <v>14.306653314023379</v>
          </cell>
          <cell r="H36">
            <v>0</v>
          </cell>
        </row>
        <row r="37">
          <cell r="F37">
            <v>17.776766132218697</v>
          </cell>
          <cell r="G37">
            <v>17.776766132218697</v>
          </cell>
          <cell r="H37">
            <v>0</v>
          </cell>
        </row>
        <row r="38">
          <cell r="F38">
            <v>140</v>
          </cell>
          <cell r="G38">
            <v>0</v>
          </cell>
          <cell r="H38">
            <v>140</v>
          </cell>
        </row>
        <row r="39">
          <cell r="F39">
            <v>176.33341944624209</v>
          </cell>
          <cell r="G39">
            <v>36.333419446242075</v>
          </cell>
          <cell r="H39">
            <v>140</v>
          </cell>
        </row>
        <row r="41">
          <cell r="F41">
            <v>377.99402252167226</v>
          </cell>
          <cell r="G41">
            <v>237.99402252167226</v>
          </cell>
          <cell r="H41">
            <v>140</v>
          </cell>
        </row>
        <row r="43">
          <cell r="F43">
            <v>89.839396924569797</v>
          </cell>
          <cell r="G43">
            <v>89.839396924569797</v>
          </cell>
          <cell r="H43">
            <v>0</v>
          </cell>
        </row>
        <row r="44">
          <cell r="F44">
            <v>-86.494022521672264</v>
          </cell>
          <cell r="G44">
            <v>53.505977478327736</v>
          </cell>
          <cell r="H44">
            <v>-140</v>
          </cell>
        </row>
        <row r="46">
          <cell r="D46" t="str">
            <v>Operating costs per bushel</v>
          </cell>
          <cell r="F46">
            <v>3.6665564195532765</v>
          </cell>
          <cell r="G46">
            <v>3.6665564195532765</v>
          </cell>
          <cell r="H46" t="e">
            <v>#DIV/0!</v>
          </cell>
        </row>
        <row r="47">
          <cell r="D47" t="str">
            <v>Ownership costs per bushel</v>
          </cell>
          <cell r="F47">
            <v>3.2060621717498563</v>
          </cell>
          <cell r="G47">
            <v>0.66060762629531045</v>
          </cell>
          <cell r="H47" t="e">
            <v>#DIV/0!</v>
          </cell>
        </row>
        <row r="48">
          <cell r="D48" t="str">
            <v>Total costs per bushel</v>
          </cell>
          <cell r="F48">
            <v>6.8726185913031319</v>
          </cell>
          <cell r="G48">
            <v>4.3271640458485869</v>
          </cell>
          <cell r="H48" t="e">
            <v>#DIV/0!</v>
          </cell>
        </row>
        <row r="51">
          <cell r="B51" t="str">
            <v>Detailed Report</v>
          </cell>
          <cell r="C51" t="str">
            <v>Wheat</v>
          </cell>
          <cell r="F51" t="str">
            <v>2015 SRW</v>
          </cell>
        </row>
        <row r="53">
          <cell r="B53" t="str">
            <v>Selected input quantities</v>
          </cell>
          <cell r="C53" t="str">
            <v>per acre</v>
          </cell>
          <cell r="F53" t="str">
            <v>Selected input prices</v>
          </cell>
        </row>
        <row r="54">
          <cell r="B54" t="str">
            <v>Yield, bushels</v>
          </cell>
          <cell r="C54">
            <v>55</v>
          </cell>
          <cell r="F54" t="str">
            <v>Farm diesel, per gallon</v>
          </cell>
        </row>
        <row r="55">
          <cell r="B55" t="str">
            <v>Seeding rate, count</v>
          </cell>
          <cell r="C55">
            <v>100</v>
          </cell>
          <cell r="F55" t="str">
            <v>Operating interest, %</v>
          </cell>
        </row>
        <row r="56">
          <cell r="B56" t="str">
            <v>Nitrogen rate, lbs</v>
          </cell>
          <cell r="C56">
            <v>75</v>
          </cell>
          <cell r="F56" t="str">
            <v>Nitrogen, per lb</v>
          </cell>
        </row>
        <row r="57">
          <cell r="B57" t="str">
            <v>Phosphorus rate, lbs</v>
          </cell>
          <cell r="C57">
            <v>35</v>
          </cell>
          <cell r="F57" t="str">
            <v>Phosphorus, per lb</v>
          </cell>
        </row>
        <row r="58">
          <cell r="B58" t="str">
            <v>Potassium rate, lbs</v>
          </cell>
          <cell r="C58">
            <v>20</v>
          </cell>
          <cell r="F58" t="str">
            <v>Potassium, per lb</v>
          </cell>
        </row>
        <row r="59">
          <cell r="B59" t="str">
            <v>Lime rate, tons</v>
          </cell>
          <cell r="C59">
            <v>0.5</v>
          </cell>
          <cell r="F59" t="str">
            <v>Lime, per ton</v>
          </cell>
        </row>
        <row r="60">
          <cell r="B60" t="str">
            <v>Sum of allocated labor, hours</v>
          </cell>
          <cell r="C60">
            <v>0.8155445397093749</v>
          </cell>
          <cell r="F60" t="str">
            <v>Skilled labor, per hour</v>
          </cell>
        </row>
        <row r="61">
          <cell r="B61" t="str">
            <v>Irrigation, inches</v>
          </cell>
          <cell r="C61">
            <v>0</v>
          </cell>
          <cell r="F61" t="str">
            <v>Land value, per acre</v>
          </cell>
        </row>
        <row r="68">
          <cell r="B68" t="str">
            <v>No-till drill (20 ft); 200 MFWD</v>
          </cell>
          <cell r="C68">
            <v>0.11785714285714287</v>
          </cell>
          <cell r="D68">
            <v>1.0371428571428571</v>
          </cell>
          <cell r="E68">
            <v>8.8440812804509861</v>
          </cell>
          <cell r="F68">
            <v>12.466857734277623</v>
          </cell>
          <cell r="G68">
            <v>21.310939014728611</v>
          </cell>
        </row>
        <row r="69">
          <cell r="B69" t="str">
            <v>Boom sprayer (30 ft); 130 MFWD</v>
          </cell>
          <cell r="C69">
            <v>6.5088757396449703E-2</v>
          </cell>
          <cell r="D69">
            <v>0.37230769230769228</v>
          </cell>
          <cell r="E69">
            <v>3.3417888540143723</v>
          </cell>
          <cell r="F69">
            <v>3.1492959305098358</v>
          </cell>
          <cell r="G69">
            <v>6.4910847845242081</v>
          </cell>
        </row>
        <row r="70">
          <cell r="B70" t="str">
            <v>Combine, fixed grain head (30 ft); 275 HP Comb.</v>
          </cell>
          <cell r="C70">
            <v>7.4829931972789115E-2</v>
          </cell>
          <cell r="D70">
            <v>0.90544217687074835</v>
          </cell>
          <cell r="E70">
            <v>8.5786626603383969</v>
          </cell>
          <cell r="F70">
            <v>8.8641254045838682</v>
          </cell>
          <cell r="G70">
            <v>17.442788064922265</v>
          </cell>
        </row>
        <row r="71">
          <cell r="B71" t="str">
            <v>Grain cart (500 bushel); 200 MFWD</v>
          </cell>
          <cell r="C71">
            <v>4.6768707482993194E-2</v>
          </cell>
          <cell r="D71">
            <v>0.41156462585034009</v>
          </cell>
          <cell r="E71">
            <v>2.741955782312925</v>
          </cell>
          <cell r="F71">
            <v>2.5384838435374149</v>
          </cell>
          <cell r="G71">
            <v>5.2804396258503399</v>
          </cell>
        </row>
        <row r="72">
          <cell r="B72" t="str">
            <v>Grain auger 10 in- 5000 bu/hr (70 ft); 130 MFWD</v>
          </cell>
          <cell r="C72">
            <v>1.1000000000000001E-2</v>
          </cell>
          <cell r="D72">
            <v>6.2920000000000004E-2</v>
          </cell>
          <cell r="E72">
            <v>0.46670469999999997</v>
          </cell>
          <cell r="F72">
            <v>0.3875982</v>
          </cell>
          <cell r="G72">
            <v>0.85430289999999998</v>
          </cell>
        </row>
        <row r="73">
          <cell r="B73" t="str">
            <v>Semi, tractor and trailer</v>
          </cell>
          <cell r="C73"/>
          <cell r="D73">
            <v>0.48571428571428577</v>
          </cell>
          <cell r="E73">
            <v>3.1238000000000001</v>
          </cell>
          <cell r="F73">
            <v>2.0147333333333335</v>
          </cell>
          <cell r="G73">
            <v>5.1385333333333332</v>
          </cell>
        </row>
        <row r="74">
          <cell r="B74" t="str">
            <v>Pickup truck</v>
          </cell>
          <cell r="C74"/>
          <cell r="D74">
            <v>0.57692307692307698</v>
          </cell>
          <cell r="E74">
            <v>2.66</v>
          </cell>
          <cell r="F74">
            <v>2.6623250000000001</v>
          </cell>
          <cell r="G74">
            <v>5.3223250000000002</v>
          </cell>
        </row>
        <row r="75">
          <cell r="B75"/>
          <cell r="C75"/>
          <cell r="D75"/>
          <cell r="E75"/>
          <cell r="F75"/>
          <cell r="G75"/>
        </row>
        <row r="76">
          <cell r="B76"/>
          <cell r="C76"/>
          <cell r="D76"/>
          <cell r="E76"/>
          <cell r="F76"/>
          <cell r="G76"/>
        </row>
        <row r="77">
          <cell r="B77"/>
          <cell r="C77"/>
          <cell r="D77"/>
          <cell r="E77"/>
          <cell r="F77"/>
          <cell r="G77"/>
        </row>
        <row r="78">
          <cell r="B78"/>
          <cell r="C78"/>
          <cell r="D78"/>
          <cell r="E78"/>
          <cell r="F78"/>
          <cell r="G78"/>
        </row>
        <row r="79">
          <cell r="B79"/>
          <cell r="C79"/>
          <cell r="D79"/>
          <cell r="E79"/>
          <cell r="F79"/>
          <cell r="G79"/>
        </row>
        <row r="80">
          <cell r="B80"/>
          <cell r="C80"/>
          <cell r="D80"/>
          <cell r="E80"/>
          <cell r="F80"/>
          <cell r="G80"/>
        </row>
        <row r="81">
          <cell r="B81"/>
          <cell r="C81"/>
          <cell r="D81"/>
          <cell r="E81"/>
          <cell r="F81"/>
          <cell r="G81"/>
        </row>
        <row r="82">
          <cell r="B82"/>
          <cell r="C82"/>
          <cell r="D82"/>
          <cell r="E82"/>
          <cell r="F82"/>
          <cell r="G82"/>
        </row>
        <row r="83">
          <cell r="B83"/>
          <cell r="C83"/>
          <cell r="D83"/>
          <cell r="E83"/>
          <cell r="F83"/>
          <cell r="G83"/>
        </row>
        <row r="84">
          <cell r="B84"/>
          <cell r="C84"/>
          <cell r="D84"/>
          <cell r="E84"/>
          <cell r="F84"/>
          <cell r="G84"/>
        </row>
        <row r="85">
          <cell r="B85"/>
          <cell r="C85"/>
          <cell r="D85"/>
          <cell r="E85"/>
          <cell r="F85"/>
          <cell r="G85"/>
        </row>
        <row r="86">
          <cell r="B86"/>
          <cell r="C86"/>
          <cell r="D86"/>
          <cell r="E86"/>
          <cell r="F86"/>
          <cell r="G86"/>
        </row>
        <row r="87">
          <cell r="B87"/>
          <cell r="C87"/>
          <cell r="D87"/>
          <cell r="E87"/>
          <cell r="F87"/>
          <cell r="G87"/>
        </row>
        <row r="88">
          <cell r="B88"/>
          <cell r="C88"/>
          <cell r="D88"/>
          <cell r="E88"/>
          <cell r="F88"/>
          <cell r="G88"/>
        </row>
        <row r="89">
          <cell r="B89"/>
          <cell r="C89"/>
          <cell r="D89"/>
          <cell r="E89"/>
          <cell r="F89"/>
          <cell r="G89"/>
        </row>
        <row r="90">
          <cell r="B90"/>
          <cell r="C90"/>
          <cell r="D90"/>
          <cell r="E90"/>
          <cell r="F90"/>
          <cell r="G90"/>
        </row>
        <row r="91">
          <cell r="B91"/>
          <cell r="C91"/>
          <cell r="D91"/>
          <cell r="E91"/>
          <cell r="F91"/>
          <cell r="G91"/>
        </row>
        <row r="92">
          <cell r="B92"/>
          <cell r="C92"/>
          <cell r="D92"/>
          <cell r="E92"/>
          <cell r="F92"/>
          <cell r="G92"/>
        </row>
        <row r="93">
          <cell r="B93"/>
          <cell r="C93"/>
          <cell r="D93"/>
          <cell r="E93"/>
          <cell r="F93"/>
          <cell r="G93"/>
        </row>
        <row r="94">
          <cell r="B94"/>
          <cell r="C94"/>
          <cell r="D94"/>
          <cell r="E94"/>
          <cell r="F94"/>
          <cell r="G94"/>
        </row>
        <row r="95">
          <cell r="B95"/>
          <cell r="C95"/>
          <cell r="D95"/>
          <cell r="E95"/>
          <cell r="F95"/>
          <cell r="G95"/>
        </row>
        <row r="96">
          <cell r="B96"/>
          <cell r="C96"/>
          <cell r="D96"/>
          <cell r="E96"/>
          <cell r="F96"/>
          <cell r="G96"/>
        </row>
        <row r="97">
          <cell r="B97"/>
          <cell r="C97"/>
          <cell r="D97"/>
          <cell r="E97"/>
          <cell r="F97"/>
          <cell r="G97"/>
        </row>
        <row r="98">
          <cell r="B98"/>
          <cell r="C98"/>
          <cell r="D98"/>
          <cell r="E98"/>
          <cell r="F98"/>
          <cell r="G98"/>
        </row>
        <row r="101">
          <cell r="B101" t="str">
            <v>1 Farm business overhead includes liability insurance, utilities, accounting, etc. Machinery overhead is the sum of opportunity interest,</v>
          </cell>
        </row>
        <row r="102">
          <cell r="B102" t="str">
            <v xml:space="preserve">   property taxes, insurance, and housing. Machinery depreciation is a market value decline due to aging and usage. Thus, a portion of</v>
          </cell>
        </row>
        <row r="103">
          <cell r="B103" t="str">
            <v xml:space="preserve">   depreciation should be considered an operating costs for some decisions. Real estate charge includes land, improvements, taxes.</v>
          </cell>
        </row>
        <row r="104">
          <cell r="B104" t="str">
            <v xml:space="preserve">   Economic costs may differ from rental rates.</v>
          </cell>
        </row>
      </sheetData>
      <sheetData sheetId="15"/>
      <sheetData sheetId="16">
        <row r="4">
          <cell r="H4" t="str">
            <v>130 MFWD</v>
          </cell>
        </row>
        <row r="5">
          <cell r="H5" t="str">
            <v>200 MFWD</v>
          </cell>
        </row>
        <row r="24">
          <cell r="B24" t="str">
            <v>100 HP Comb.</v>
          </cell>
        </row>
        <row r="25">
          <cell r="B25" t="str">
            <v>220 HP Comb.</v>
          </cell>
        </row>
        <row r="26">
          <cell r="B26" t="str">
            <v>275 HP Comb.</v>
          </cell>
        </row>
        <row r="27">
          <cell r="B27" t="str">
            <v>340 HP Comb.</v>
          </cell>
        </row>
        <row r="31">
          <cell r="A31">
            <v>1</v>
          </cell>
        </row>
        <row r="32">
          <cell r="A32" t="str">
            <v>500 bushel</v>
          </cell>
        </row>
        <row r="33">
          <cell r="A33" t="str">
            <v>1000 bushel</v>
          </cell>
        </row>
        <row r="34">
          <cell r="A34" t="str">
            <v>70 ft</v>
          </cell>
        </row>
        <row r="39">
          <cell r="A39" t="str">
            <v>15 ft</v>
          </cell>
        </row>
        <row r="40">
          <cell r="A40" t="str">
            <v>23 ft</v>
          </cell>
        </row>
        <row r="41">
          <cell r="A41" t="str">
            <v>37 ft</v>
          </cell>
        </row>
        <row r="42">
          <cell r="A42" t="str">
            <v>57 ft</v>
          </cell>
        </row>
        <row r="43">
          <cell r="A43" t="str">
            <v>16.3 ft</v>
          </cell>
        </row>
        <row r="44">
          <cell r="A44" t="str">
            <v>21.3 ft</v>
          </cell>
        </row>
        <row r="45">
          <cell r="A45" t="str">
            <v>6 ft</v>
          </cell>
        </row>
        <row r="46">
          <cell r="A46" t="str">
            <v>7.5 ft</v>
          </cell>
        </row>
        <row r="47">
          <cell r="A47" t="str">
            <v>9 ft</v>
          </cell>
        </row>
        <row r="48">
          <cell r="A48" t="str">
            <v>12 ft</v>
          </cell>
        </row>
        <row r="49">
          <cell r="A49" t="str">
            <v>18 ft</v>
          </cell>
        </row>
        <row r="50">
          <cell r="A50" t="str">
            <v>23 ft</v>
          </cell>
        </row>
        <row r="51">
          <cell r="A51" t="str">
            <v>30 ft</v>
          </cell>
        </row>
        <row r="52">
          <cell r="A52" t="str">
            <v>35 ft</v>
          </cell>
        </row>
        <row r="53">
          <cell r="A53" t="str">
            <v>47 ft</v>
          </cell>
        </row>
        <row r="54">
          <cell r="A54" t="str">
            <v>60 ft</v>
          </cell>
        </row>
        <row r="55">
          <cell r="A55" t="str">
            <v>11 ft</v>
          </cell>
        </row>
        <row r="56">
          <cell r="A56" t="str">
            <v>21 ft</v>
          </cell>
        </row>
        <row r="57">
          <cell r="A57" t="str">
            <v>25 ft</v>
          </cell>
        </row>
        <row r="58">
          <cell r="A58" t="str">
            <v>30 ft</v>
          </cell>
        </row>
        <row r="59">
          <cell r="A59" t="str">
            <v>25" O.C., 10 ft</v>
          </cell>
        </row>
        <row r="60">
          <cell r="A60" t="str">
            <v>25" O.C., 18 ft</v>
          </cell>
        </row>
        <row r="61">
          <cell r="A61" t="str">
            <v>30" O.C., 17 ft</v>
          </cell>
        </row>
        <row r="62">
          <cell r="A62" t="str">
            <v>30" O.C., 22.5 ft</v>
          </cell>
        </row>
        <row r="63">
          <cell r="A63" t="str">
            <v>16 ft</v>
          </cell>
        </row>
        <row r="64">
          <cell r="A64" t="str">
            <v>25 ft</v>
          </cell>
        </row>
        <row r="65">
          <cell r="A65" t="str">
            <v>33 ft</v>
          </cell>
        </row>
        <row r="66">
          <cell r="A66" t="str">
            <v>17.5 ft</v>
          </cell>
        </row>
        <row r="67">
          <cell r="A67" t="str">
            <v>22.5 ft</v>
          </cell>
        </row>
        <row r="68">
          <cell r="A68" t="str">
            <v>22 ft</v>
          </cell>
        </row>
        <row r="69">
          <cell r="A69" t="str">
            <v>38 ft</v>
          </cell>
        </row>
        <row r="70">
          <cell r="A70" t="str">
            <v>12 ft</v>
          </cell>
        </row>
        <row r="71">
          <cell r="A71" t="str">
            <v>28 ft</v>
          </cell>
        </row>
        <row r="72">
          <cell r="A72" t="str">
            <v>6 row</v>
          </cell>
        </row>
        <row r="73">
          <cell r="A73" t="str">
            <v>8 row</v>
          </cell>
        </row>
        <row r="74">
          <cell r="A74" t="str">
            <v>12 row</v>
          </cell>
        </row>
        <row r="75">
          <cell r="A75" t="str">
            <v>16 row</v>
          </cell>
        </row>
        <row r="76">
          <cell r="A76" t="str">
            <v>(6/11 row 30/15")</v>
          </cell>
        </row>
        <row r="77">
          <cell r="A77" t="str">
            <v>(8/15 row 30/15")</v>
          </cell>
        </row>
        <row r="78">
          <cell r="A78" t="str">
            <v>(12/23 row 30/15")</v>
          </cell>
        </row>
        <row r="79">
          <cell r="A79" t="str">
            <v>(16/31 row 30/15")</v>
          </cell>
        </row>
        <row r="80">
          <cell r="A80" t="str">
            <v>6 row</v>
          </cell>
        </row>
        <row r="81">
          <cell r="A81" t="str">
            <v>8 row</v>
          </cell>
        </row>
        <row r="82">
          <cell r="A82" t="str">
            <v>12 row</v>
          </cell>
        </row>
        <row r="83">
          <cell r="A83" t="str">
            <v>16 row</v>
          </cell>
        </row>
        <row r="84">
          <cell r="A84" t="str">
            <v>16 ft</v>
          </cell>
        </row>
        <row r="85">
          <cell r="A85" t="str">
            <v>20 ft</v>
          </cell>
        </row>
        <row r="86">
          <cell r="A86" t="str">
            <v>25 ft</v>
          </cell>
        </row>
        <row r="87">
          <cell r="A87" t="str">
            <v>30 ft</v>
          </cell>
        </row>
        <row r="88">
          <cell r="A88" t="str">
            <v>15 ft</v>
          </cell>
        </row>
        <row r="89">
          <cell r="A89" t="str">
            <v>20 ft</v>
          </cell>
        </row>
        <row r="90">
          <cell r="A90" t="str">
            <v>30 ft</v>
          </cell>
        </row>
        <row r="91">
          <cell r="A91" t="str">
            <v>6 row</v>
          </cell>
        </row>
        <row r="92">
          <cell r="A92" t="str">
            <v>8 row</v>
          </cell>
        </row>
        <row r="93">
          <cell r="A93" t="str">
            <v>12 row</v>
          </cell>
        </row>
        <row r="94">
          <cell r="A94" t="str">
            <v>16 row</v>
          </cell>
        </row>
        <row r="95">
          <cell r="A95" t="str">
            <v>6 row</v>
          </cell>
        </row>
        <row r="96">
          <cell r="A96" t="str">
            <v>8 row</v>
          </cell>
        </row>
        <row r="97">
          <cell r="A97" t="str">
            <v>12 row</v>
          </cell>
        </row>
        <row r="99">
          <cell r="A99" t="str">
            <v>60 ft</v>
          </cell>
        </row>
        <row r="100">
          <cell r="A100" t="str">
            <v>30 ft</v>
          </cell>
        </row>
        <row r="101">
          <cell r="A101" t="str">
            <v>50 ft</v>
          </cell>
        </row>
        <row r="104">
          <cell r="A104" t="str">
            <v>7 ft swath</v>
          </cell>
        </row>
        <row r="105">
          <cell r="A105" t="str">
            <v>8 ft swath</v>
          </cell>
        </row>
        <row r="106">
          <cell r="A106" t="str">
            <v>9 ft swath</v>
          </cell>
        </row>
        <row r="107">
          <cell r="A107" t="str">
            <v>10 ft swath</v>
          </cell>
        </row>
        <row r="108">
          <cell r="A108" t="str">
            <v>6 ft</v>
          </cell>
        </row>
        <row r="109">
          <cell r="A109" t="str">
            <v>9 ft</v>
          </cell>
        </row>
        <row r="110">
          <cell r="A110" t="str">
            <v>8.5 ft</v>
          </cell>
        </row>
        <row r="111">
          <cell r="A111" t="str">
            <v>9.5 ft</v>
          </cell>
        </row>
        <row r="112">
          <cell r="A112" t="str">
            <v>tandem, 24 ft</v>
          </cell>
        </row>
        <row r="113">
          <cell r="A113" t="str">
            <v>7 ft swath</v>
          </cell>
        </row>
        <row r="114">
          <cell r="A114" t="str">
            <v>9 ft swath</v>
          </cell>
        </row>
        <row r="115">
          <cell r="A115" t="str">
            <v>12 ft swath</v>
          </cell>
        </row>
        <row r="118">
          <cell r="A118" t="str">
            <v>750 lb</v>
          </cell>
        </row>
        <row r="119">
          <cell r="A119" t="str">
            <v>1000 lb</v>
          </cell>
        </row>
        <row r="120">
          <cell r="A120" t="str">
            <v>1500 lb</v>
          </cell>
        </row>
        <row r="121">
          <cell r="A121" t="str">
            <v>2000 lb</v>
          </cell>
        </row>
        <row r="125">
          <cell r="A125" t="str">
            <v>15 ft</v>
          </cell>
        </row>
        <row r="126">
          <cell r="A126" t="str">
            <v>20 ft</v>
          </cell>
        </row>
        <row r="127">
          <cell r="A127" t="str">
            <v>30 ft</v>
          </cell>
        </row>
        <row r="128">
          <cell r="A128" t="str">
            <v>15 ft</v>
          </cell>
        </row>
        <row r="129">
          <cell r="A129" t="str">
            <v>18 ft</v>
          </cell>
        </row>
        <row r="130">
          <cell r="A130" t="str">
            <v>20 ft</v>
          </cell>
        </row>
        <row r="131">
          <cell r="A131" t="str">
            <v>25 ft</v>
          </cell>
        </row>
        <row r="132">
          <cell r="A132" t="str">
            <v>30 ft</v>
          </cell>
        </row>
        <row r="133">
          <cell r="A133" t="str">
            <v>6 row</v>
          </cell>
        </row>
        <row r="134">
          <cell r="A134" t="str">
            <v>8 row</v>
          </cell>
        </row>
        <row r="135">
          <cell r="A135" t="str">
            <v>12 row</v>
          </cell>
        </row>
        <row r="136">
          <cell r="A136" t="str">
            <v>8 wheel, 17.5 ft</v>
          </cell>
        </row>
        <row r="137">
          <cell r="A137" t="str">
            <v>10 wheel, 20 ft</v>
          </cell>
        </row>
        <row r="138">
          <cell r="A138" t="str">
            <v>12 wheel, 25 ft</v>
          </cell>
        </row>
        <row r="139">
          <cell r="A139" t="str">
            <v>16 wheel, 31 ft</v>
          </cell>
        </row>
        <row r="140">
          <cell r="A140" t="str">
            <v>20 wheel, 36 ft</v>
          </cell>
        </row>
        <row r="157">
          <cell r="G157" t="str">
            <v>Irrigated</v>
          </cell>
          <cell r="I157" t="str">
            <v>Corn, grain</v>
          </cell>
          <cell r="L157" t="str">
            <v>Bushel</v>
          </cell>
        </row>
        <row r="158">
          <cell r="C158">
            <v>6</v>
          </cell>
          <cell r="G158" t="str">
            <v>Dryland</v>
          </cell>
          <cell r="I158" t="str">
            <v>Corn, silage</v>
          </cell>
          <cell r="L158" t="str">
            <v>Ton</v>
          </cell>
        </row>
        <row r="159">
          <cell r="C159">
            <v>1</v>
          </cell>
          <cell r="I159" t="str">
            <v>Grain sorghum</v>
          </cell>
          <cell r="L159" t="str">
            <v>Cwt</v>
          </cell>
        </row>
        <row r="160">
          <cell r="C160">
            <v>1</v>
          </cell>
          <cell r="G160" t="str">
            <v>Owned land</v>
          </cell>
          <cell r="I160" t="str">
            <v>Soybeans</v>
          </cell>
          <cell r="L160" t="str">
            <v>Bale</v>
          </cell>
        </row>
        <row r="161">
          <cell r="C161">
            <v>2</v>
          </cell>
          <cell r="G161" t="str">
            <v>Cash rent</v>
          </cell>
          <cell r="I161" t="str">
            <v>Soybeans, double crop</v>
          </cell>
        </row>
        <row r="162">
          <cell r="C162">
            <v>1</v>
          </cell>
          <cell r="G162" t="str">
            <v>Share lease</v>
          </cell>
          <cell r="I162" t="str">
            <v>Wheat</v>
          </cell>
        </row>
        <row r="163">
          <cell r="I163" t="str">
            <v>Wheat &amp; straw</v>
          </cell>
        </row>
        <row r="164">
          <cell r="C164" t="str">
            <v>Wheat</v>
          </cell>
        </row>
      </sheetData>
      <sheetData sheetId="17">
        <row r="3">
          <cell r="E3" t="str">
            <v>cropnum-22706</v>
          </cell>
          <cell r="F3">
            <v>6</v>
          </cell>
        </row>
        <row r="4">
          <cell r="E4" t="str">
            <v>primyieldtype-22706</v>
          </cell>
          <cell r="F4">
            <v>1</v>
          </cell>
        </row>
        <row r="5">
          <cell r="E5" t="str">
            <v>byyieldtype-22706</v>
          </cell>
          <cell r="F5">
            <v>1</v>
          </cell>
        </row>
        <row r="6">
          <cell r="E6" t="str">
            <v>irrigation2-22706</v>
          </cell>
          <cell r="F6">
            <v>2</v>
          </cell>
        </row>
        <row r="7">
          <cell r="E7" t="str">
            <v>leasenum-22706</v>
          </cell>
          <cell r="F7">
            <v>1</v>
          </cell>
        </row>
        <row r="8">
          <cell r="E8" t="str">
            <v>40hp-22706</v>
          </cell>
          <cell r="F8">
            <v>0</v>
          </cell>
        </row>
        <row r="9">
          <cell r="E9" t="str">
            <v>60hp-22706</v>
          </cell>
          <cell r="F9">
            <v>0</v>
          </cell>
        </row>
        <row r="10">
          <cell r="E10" t="str">
            <v>75hp-22706</v>
          </cell>
          <cell r="F10">
            <v>0</v>
          </cell>
        </row>
        <row r="11">
          <cell r="E11" t="str">
            <v>105twd-22706</v>
          </cell>
          <cell r="F11">
            <v>0</v>
          </cell>
        </row>
        <row r="12">
          <cell r="E12" t="str">
            <v>140twd-22706</v>
          </cell>
          <cell r="F12">
            <v>0</v>
          </cell>
        </row>
        <row r="13">
          <cell r="E13" t="str">
            <v>105mfwd-22706</v>
          </cell>
          <cell r="F13">
            <v>0</v>
          </cell>
        </row>
        <row r="14">
          <cell r="E14" t="str">
            <v>130mfwd-22706</v>
          </cell>
          <cell r="F14" t="b">
            <v>1</v>
          </cell>
        </row>
        <row r="15">
          <cell r="E15" t="str">
            <v>160mfwd-22706</v>
          </cell>
          <cell r="F15">
            <v>0</v>
          </cell>
        </row>
        <row r="16">
          <cell r="E16" t="str">
            <v>200mfwd-22706</v>
          </cell>
          <cell r="F16" t="b">
            <v>1</v>
          </cell>
        </row>
        <row r="17">
          <cell r="E17" t="str">
            <v>225mfwd-22706</v>
          </cell>
          <cell r="F17">
            <v>0</v>
          </cell>
        </row>
        <row r="18">
          <cell r="E18" t="str">
            <v>2604wd-22706</v>
          </cell>
          <cell r="F18">
            <v>0</v>
          </cell>
        </row>
        <row r="19">
          <cell r="E19" t="str">
            <v>3104wd-22706</v>
          </cell>
          <cell r="F19">
            <v>0</v>
          </cell>
        </row>
        <row r="20">
          <cell r="E20" t="str">
            <v>360 4wd-22706</v>
          </cell>
          <cell r="F20">
            <v>0</v>
          </cell>
        </row>
        <row r="21">
          <cell r="E21" t="str">
            <v>4254wd-22706</v>
          </cell>
          <cell r="F21">
            <v>0</v>
          </cell>
        </row>
        <row r="22">
          <cell r="E22" t="str">
            <v>225tt-22706</v>
          </cell>
          <cell r="F22">
            <v>0</v>
          </cell>
        </row>
        <row r="23">
          <cell r="E23" t="str">
            <v>425tt-22706</v>
          </cell>
          <cell r="F23">
            <v>0</v>
          </cell>
        </row>
        <row r="24">
          <cell r="E24" t="str">
            <v>description-1-22706</v>
          </cell>
          <cell r="F24" t="str">
            <v>2014 SRW</v>
          </cell>
        </row>
        <row r="25">
          <cell r="E25" t="str">
            <v>acres-1-22706</v>
          </cell>
          <cell r="F25">
            <v>100</v>
          </cell>
        </row>
        <row r="26">
          <cell r="E26" t="str">
            <v>receipts-1-22706</v>
          </cell>
          <cell r="F26">
            <v>55</v>
          </cell>
        </row>
        <row r="27">
          <cell r="E27" t="str">
            <v>receipts-2-22706</v>
          </cell>
          <cell r="F27">
            <v>6.75</v>
          </cell>
        </row>
        <row r="28">
          <cell r="E28" t="str">
            <v>receipts-3-22706</v>
          </cell>
          <cell r="F28">
            <v>0</v>
          </cell>
        </row>
        <row r="29">
          <cell r="E29" t="str">
            <v>receipts-4-22706</v>
          </cell>
          <cell r="F29">
            <v>0</v>
          </cell>
        </row>
        <row r="30">
          <cell r="E30" t="str">
            <v>receipts-5-22706</v>
          </cell>
          <cell r="F30">
            <v>0</v>
          </cell>
        </row>
        <row r="31">
          <cell r="E31" t="str">
            <v>receipts-6-22706</v>
          </cell>
          <cell r="F31">
            <v>0</v>
          </cell>
        </row>
        <row r="32">
          <cell r="E32" t="str">
            <v>seed1-1-22706</v>
          </cell>
          <cell r="F32">
            <v>0</v>
          </cell>
        </row>
        <row r="33">
          <cell r="E33" t="str">
            <v>seed1-2-22706</v>
          </cell>
          <cell r="F33">
            <v>0</v>
          </cell>
        </row>
        <row r="34">
          <cell r="E34" t="str">
            <v>seed1-3-22706</v>
          </cell>
          <cell r="F34">
            <v>0</v>
          </cell>
        </row>
        <row r="35">
          <cell r="E35" t="str">
            <v>seed1-4-22706</v>
          </cell>
          <cell r="F35">
            <v>18</v>
          </cell>
        </row>
        <row r="36">
          <cell r="E36" t="str">
            <v>seed1-5-22706</v>
          </cell>
          <cell r="F36">
            <v>0</v>
          </cell>
        </row>
        <row r="37">
          <cell r="E37" t="str">
            <v>seed1-6-22706</v>
          </cell>
          <cell r="F37">
            <v>0</v>
          </cell>
        </row>
        <row r="38">
          <cell r="E38" t="str">
            <v>seed2-1-22706</v>
          </cell>
          <cell r="F38">
            <v>0</v>
          </cell>
        </row>
        <row r="39">
          <cell r="E39" t="str">
            <v>seed2-2-22706</v>
          </cell>
          <cell r="F39">
            <v>0</v>
          </cell>
        </row>
        <row r="40">
          <cell r="E40" t="str">
            <v>seed2-3-22706</v>
          </cell>
          <cell r="F40">
            <v>0</v>
          </cell>
        </row>
        <row r="41">
          <cell r="E41" t="str">
            <v>seed2-4-22706</v>
          </cell>
          <cell r="F41">
            <v>100</v>
          </cell>
        </row>
        <row r="42">
          <cell r="E42" t="str">
            <v>seed2-5-22706</v>
          </cell>
          <cell r="F42">
            <v>0</v>
          </cell>
        </row>
        <row r="43">
          <cell r="E43" t="str">
            <v>seed2-6-22706</v>
          </cell>
          <cell r="F43">
            <v>0</v>
          </cell>
        </row>
        <row r="44">
          <cell r="E44" t="str">
            <v>fertilizer1-1-22706</v>
          </cell>
          <cell r="F44">
            <v>0</v>
          </cell>
        </row>
        <row r="45">
          <cell r="E45" t="str">
            <v>fertilizer1-2-22706</v>
          </cell>
          <cell r="F45">
            <v>75</v>
          </cell>
        </row>
        <row r="46">
          <cell r="E46" t="str">
            <v>fertilizer1-3-22706</v>
          </cell>
          <cell r="F46">
            <v>0</v>
          </cell>
        </row>
        <row r="47">
          <cell r="E47" t="str">
            <v>fertilizer1-4-22706</v>
          </cell>
          <cell r="F47">
            <v>35</v>
          </cell>
        </row>
        <row r="48">
          <cell r="E48" t="str">
            <v>fertilizer1-5-22706</v>
          </cell>
          <cell r="F48">
            <v>20</v>
          </cell>
        </row>
        <row r="49">
          <cell r="E49" t="str">
            <v>fertilizer1-6-22706</v>
          </cell>
          <cell r="F49">
            <v>0.5</v>
          </cell>
        </row>
        <row r="50">
          <cell r="E50" t="str">
            <v>fertilizer1-7-22706</v>
          </cell>
          <cell r="F50">
            <v>10</v>
          </cell>
        </row>
        <row r="51">
          <cell r="E51" t="str">
            <v>fertilizer1-8-22706</v>
          </cell>
          <cell r="F51">
            <v>0</v>
          </cell>
        </row>
        <row r="52">
          <cell r="E52" t="str">
            <v>fertilizer2-1-22706</v>
          </cell>
          <cell r="F52">
            <v>0</v>
          </cell>
        </row>
        <row r="53">
          <cell r="E53" t="str">
            <v>fertilizer2-2-22706</v>
          </cell>
          <cell r="F53">
            <v>0.47</v>
          </cell>
        </row>
        <row r="54">
          <cell r="E54" t="str">
            <v>fertilizer2-3-22706</v>
          </cell>
          <cell r="F54">
            <v>0</v>
          </cell>
        </row>
        <row r="55">
          <cell r="E55" t="str">
            <v>fertilizer2-4-22706</v>
          </cell>
          <cell r="F55">
            <v>0.41</v>
          </cell>
        </row>
        <row r="56">
          <cell r="E56" t="str">
            <v>fertilizer2-5-22706</v>
          </cell>
          <cell r="F56">
            <v>0.44</v>
          </cell>
        </row>
        <row r="57">
          <cell r="E57" t="str">
            <v>fertilizer2-6-22706</v>
          </cell>
          <cell r="F57">
            <v>10</v>
          </cell>
        </row>
        <row r="58">
          <cell r="E58" t="str">
            <v>fertilizer2-7-22706</v>
          </cell>
          <cell r="F58">
            <v>0.55000000000000004</v>
          </cell>
        </row>
        <row r="59">
          <cell r="E59" t="str">
            <v>fertilizer2-8-22706</v>
          </cell>
          <cell r="F59">
            <v>0</v>
          </cell>
        </row>
        <row r="60">
          <cell r="E60" t="str">
            <v>herbicide1-1-22706</v>
          </cell>
          <cell r="F60">
            <v>0</v>
          </cell>
        </row>
        <row r="61">
          <cell r="E61" t="str">
            <v>herbicide1-2-22706</v>
          </cell>
          <cell r="F61">
            <v>0</v>
          </cell>
        </row>
        <row r="62">
          <cell r="E62" t="str">
            <v>herbicide1-3-22706</v>
          </cell>
          <cell r="F62">
            <v>0</v>
          </cell>
        </row>
        <row r="63">
          <cell r="E63" t="str">
            <v>herbicide1-4-22706</v>
          </cell>
          <cell r="F63">
            <v>1</v>
          </cell>
        </row>
        <row r="64">
          <cell r="E64" t="str">
            <v>herbicide1-5-22706</v>
          </cell>
          <cell r="F64">
            <v>0</v>
          </cell>
        </row>
        <row r="65">
          <cell r="E65" t="str">
            <v>herbicide1-6-22706</v>
          </cell>
          <cell r="F65">
            <v>0</v>
          </cell>
        </row>
        <row r="66">
          <cell r="E66" t="str">
            <v>herbicide1-7-22706</v>
          </cell>
          <cell r="F66">
            <v>0</v>
          </cell>
        </row>
        <row r="67">
          <cell r="E67" t="str">
            <v>herbicide1-8-22706</v>
          </cell>
          <cell r="F67">
            <v>0</v>
          </cell>
        </row>
        <row r="68">
          <cell r="E68" t="str">
            <v>herbicide2-1-22706</v>
          </cell>
          <cell r="F68">
            <v>0</v>
          </cell>
        </row>
        <row r="69">
          <cell r="E69" t="str">
            <v>herbicide2-2-22706</v>
          </cell>
          <cell r="F69">
            <v>0</v>
          </cell>
        </row>
        <row r="70">
          <cell r="E70" t="str">
            <v>herbicide2-3-22706</v>
          </cell>
          <cell r="F70">
            <v>0</v>
          </cell>
        </row>
        <row r="71">
          <cell r="E71" t="str">
            <v>herbicide2-4-22706</v>
          </cell>
          <cell r="F71">
            <v>19</v>
          </cell>
        </row>
        <row r="72">
          <cell r="E72" t="str">
            <v>herbicide2-5-22706</v>
          </cell>
          <cell r="F72">
            <v>0</v>
          </cell>
        </row>
        <row r="73">
          <cell r="E73" t="str">
            <v>herbicide2-6-22706</v>
          </cell>
          <cell r="F73">
            <v>0</v>
          </cell>
        </row>
        <row r="74">
          <cell r="E74" t="str">
            <v>herbicide2-7-22706</v>
          </cell>
          <cell r="F74">
            <v>0</v>
          </cell>
        </row>
        <row r="75">
          <cell r="E75" t="str">
            <v>herbicide2-8-22706</v>
          </cell>
          <cell r="F75">
            <v>0</v>
          </cell>
        </row>
        <row r="76">
          <cell r="E76" t="str">
            <v>herbicide2-9-22706</v>
          </cell>
          <cell r="F76">
            <v>0</v>
          </cell>
        </row>
        <row r="77">
          <cell r="E77" t="str">
            <v>insecticide1-1-22706</v>
          </cell>
          <cell r="F77">
            <v>0</v>
          </cell>
        </row>
        <row r="78">
          <cell r="E78" t="str">
            <v>insecticide1-2-22706</v>
          </cell>
          <cell r="F78">
            <v>0</v>
          </cell>
        </row>
        <row r="79">
          <cell r="E79" t="str">
            <v>insecticide1-3-22706</v>
          </cell>
          <cell r="F79">
            <v>0</v>
          </cell>
        </row>
        <row r="80">
          <cell r="E80" t="str">
            <v>insecticide1-4-22706</v>
          </cell>
          <cell r="F80">
            <v>0</v>
          </cell>
        </row>
        <row r="81">
          <cell r="E81" t="str">
            <v>insecticide2-1-22706</v>
          </cell>
          <cell r="F81">
            <v>0</v>
          </cell>
        </row>
        <row r="82">
          <cell r="E82" t="str">
            <v>insecticide2-2-22706</v>
          </cell>
          <cell r="F82">
            <v>0</v>
          </cell>
        </row>
        <row r="83">
          <cell r="E83" t="str">
            <v>insecticide2-3-22706</v>
          </cell>
          <cell r="F83">
            <v>0</v>
          </cell>
        </row>
        <row r="84">
          <cell r="E84" t="str">
            <v>insecticide2-4-22706</v>
          </cell>
          <cell r="F84">
            <v>0</v>
          </cell>
        </row>
        <row r="85">
          <cell r="E85" t="str">
            <v>insecticide2-5-22706</v>
          </cell>
          <cell r="F85">
            <v>0</v>
          </cell>
        </row>
        <row r="86">
          <cell r="E86" t="str">
            <v>labor-1-22706</v>
          </cell>
          <cell r="F86">
            <v>0.5</v>
          </cell>
        </row>
        <row r="87">
          <cell r="E87" t="str">
            <v>labor-2-22706</v>
          </cell>
          <cell r="F87">
            <v>12.5</v>
          </cell>
        </row>
        <row r="88">
          <cell r="E88" t="str">
            <v>labor-3-22706</v>
          </cell>
          <cell r="F88">
            <v>18</v>
          </cell>
        </row>
        <row r="89">
          <cell r="E89" t="str">
            <v>irrigation1-1-22706</v>
          </cell>
          <cell r="F89">
            <v>0</v>
          </cell>
        </row>
        <row r="90">
          <cell r="E90" t="str">
            <v>irrigation1-2-22706</v>
          </cell>
          <cell r="F90">
            <v>0</v>
          </cell>
        </row>
        <row r="91">
          <cell r="E91" t="str">
            <v>irrigation1-3-22706</v>
          </cell>
          <cell r="F91">
            <v>0</v>
          </cell>
        </row>
        <row r="92">
          <cell r="E92" t="str">
            <v>land-1-22706</v>
          </cell>
          <cell r="F92">
            <v>3600</v>
          </cell>
        </row>
        <row r="93">
          <cell r="E93" t="str">
            <v>land-2-22706</v>
          </cell>
          <cell r="F93">
            <v>5</v>
          </cell>
        </row>
        <row r="94">
          <cell r="E94" t="str">
            <v>land-3-22706</v>
          </cell>
          <cell r="F94">
            <v>0</v>
          </cell>
        </row>
        <row r="95">
          <cell r="E95" t="str">
            <v>land-3-9106</v>
          </cell>
          <cell r="F95">
            <v>0</v>
          </cell>
        </row>
        <row r="96">
          <cell r="E96" t="str">
            <v>land-4-22706</v>
          </cell>
          <cell r="F96">
            <v>0</v>
          </cell>
        </row>
        <row r="97">
          <cell r="E97" t="str">
            <v>otheritems1-1-22706</v>
          </cell>
          <cell r="F97">
            <v>6</v>
          </cell>
        </row>
        <row r="98">
          <cell r="E98" t="str">
            <v>otheritems1-2-22706</v>
          </cell>
          <cell r="F98">
            <v>3.6</v>
          </cell>
        </row>
        <row r="99">
          <cell r="E99" t="str">
            <v>otheritems1-3-22706</v>
          </cell>
          <cell r="F99">
            <v>3.3</v>
          </cell>
        </row>
        <row r="100">
          <cell r="E100" t="str">
            <v>otheritems1-4-22706</v>
          </cell>
          <cell r="F100">
            <v>1</v>
          </cell>
        </row>
        <row r="101">
          <cell r="E101" t="str">
            <v>otheritems1-5-22706</v>
          </cell>
          <cell r="F101">
            <v>0</v>
          </cell>
        </row>
        <row r="102">
          <cell r="E102" t="str">
            <v>otheritems1-6-22706</v>
          </cell>
          <cell r="F102">
            <v>18</v>
          </cell>
        </row>
        <row r="103">
          <cell r="E103" t="str">
            <v>otheritems1-7-22706</v>
          </cell>
          <cell r="F103">
            <v>0</v>
          </cell>
        </row>
        <row r="104">
          <cell r="E104" t="str">
            <v>postharvest-1-22706</v>
          </cell>
          <cell r="F104">
            <v>0</v>
          </cell>
        </row>
        <row r="105">
          <cell r="E105" t="str">
            <v>postharvest-2-22706</v>
          </cell>
          <cell r="F105">
            <v>0</v>
          </cell>
        </row>
        <row r="106">
          <cell r="E106" t="str">
            <v>postharvest-3-22706</v>
          </cell>
          <cell r="F106">
            <v>0</v>
          </cell>
        </row>
        <row r="107">
          <cell r="E107" t="str">
            <v>postharvest-4-22706</v>
          </cell>
          <cell r="F107">
            <v>0</v>
          </cell>
        </row>
        <row r="108">
          <cell r="E108" t="str">
            <v>postharvest-5-22706</v>
          </cell>
          <cell r="F108">
            <v>0</v>
          </cell>
        </row>
        <row r="109">
          <cell r="E109" t="str">
            <v>postharvest-6-22706</v>
          </cell>
          <cell r="F109">
            <v>5</v>
          </cell>
        </row>
        <row r="110">
          <cell r="E110" t="str">
            <v>postharvest-7-22706</v>
          </cell>
          <cell r="F110">
            <v>0</v>
          </cell>
        </row>
        <row r="111">
          <cell r="E111" t="str">
            <v>postharvest-8-22706</v>
          </cell>
          <cell r="F111">
            <v>0</v>
          </cell>
        </row>
        <row r="112">
          <cell r="E112" t="str">
            <v>postharvest-9-22706</v>
          </cell>
          <cell r="F112">
            <v>0</v>
          </cell>
        </row>
        <row r="113">
          <cell r="E113" t="str">
            <v>postharvest-10-22706</v>
          </cell>
          <cell r="F113">
            <v>6800</v>
          </cell>
        </row>
        <row r="114">
          <cell r="E114" t="str">
            <v>overhead-1-22706</v>
          </cell>
          <cell r="F114">
            <v>0</v>
          </cell>
        </row>
        <row r="115">
          <cell r="E115" t="str">
            <v>overhead-2-22706</v>
          </cell>
          <cell r="F115">
            <v>0</v>
          </cell>
        </row>
        <row r="116">
          <cell r="E116" t="str">
            <v>overhead-3-22706</v>
          </cell>
          <cell r="F116">
            <v>8500</v>
          </cell>
        </row>
        <row r="117">
          <cell r="E117" t="str">
            <v>overhead-4-22706</v>
          </cell>
          <cell r="F117">
            <v>5</v>
          </cell>
        </row>
        <row r="118">
          <cell r="E118" t="str">
            <v>overhead-5-22706</v>
          </cell>
          <cell r="F118">
            <v>15000</v>
          </cell>
        </row>
        <row r="119">
          <cell r="E119" t="str">
            <v>overhead-6-22706</v>
          </cell>
          <cell r="F119">
            <v>5</v>
          </cell>
        </row>
        <row r="120">
          <cell r="E120" t="str">
            <v>landlord_share-1-22706</v>
          </cell>
          <cell r="F120">
            <v>0</v>
          </cell>
        </row>
        <row r="121">
          <cell r="E121" t="str">
            <v>landlord_share-2-22706</v>
          </cell>
          <cell r="F121">
            <v>0</v>
          </cell>
        </row>
        <row r="122">
          <cell r="E122" t="str">
            <v>landlord_share-3-22706</v>
          </cell>
          <cell r="F122">
            <v>0</v>
          </cell>
        </row>
        <row r="123">
          <cell r="E123" t="str">
            <v>landlord_share-4-22706</v>
          </cell>
          <cell r="F123">
            <v>0</v>
          </cell>
        </row>
        <row r="124">
          <cell r="E124" t="str">
            <v>landlord_share-5-22706</v>
          </cell>
          <cell r="F124">
            <v>0</v>
          </cell>
        </row>
        <row r="125">
          <cell r="E125" t="str">
            <v>landlord_share-6-22706</v>
          </cell>
          <cell r="F125">
            <v>0</v>
          </cell>
        </row>
        <row r="126">
          <cell r="E126" t="str">
            <v>landlord_share-7-22706</v>
          </cell>
          <cell r="F126">
            <v>0</v>
          </cell>
        </row>
        <row r="127">
          <cell r="E127" t="str">
            <v>landlord_share-8-22706</v>
          </cell>
          <cell r="F127">
            <v>0</v>
          </cell>
        </row>
        <row r="128">
          <cell r="E128" t="str">
            <v>landlord_share-9-22706</v>
          </cell>
          <cell r="F128">
            <v>0</v>
          </cell>
        </row>
        <row r="129">
          <cell r="E129" t="str">
            <v>landlord_share-10-22706</v>
          </cell>
          <cell r="F129">
            <v>0</v>
          </cell>
        </row>
        <row r="130">
          <cell r="E130" t="str">
            <v>landlord_share-11-22706</v>
          </cell>
          <cell r="F130">
            <v>0</v>
          </cell>
        </row>
        <row r="131">
          <cell r="E131" t="str">
            <v>customhire1-1-22706</v>
          </cell>
          <cell r="F131">
            <v>5.5</v>
          </cell>
        </row>
        <row r="132">
          <cell r="E132" t="str">
            <v>customhire1-2-22706</v>
          </cell>
          <cell r="F132">
            <v>0</v>
          </cell>
        </row>
        <row r="133">
          <cell r="E133" t="str">
            <v>customhire1-3-22706</v>
          </cell>
          <cell r="F133">
            <v>0</v>
          </cell>
        </row>
        <row r="134">
          <cell r="E134" t="str">
            <v>customhire1-4-22706</v>
          </cell>
          <cell r="F134">
            <v>0</v>
          </cell>
        </row>
        <row r="135">
          <cell r="E135" t="str">
            <v>customhire1-5-22706</v>
          </cell>
          <cell r="F135">
            <v>0</v>
          </cell>
        </row>
        <row r="136">
          <cell r="E136" t="str">
            <v>customhire1-6-22706</v>
          </cell>
          <cell r="F136">
            <v>0</v>
          </cell>
        </row>
        <row r="137">
          <cell r="E137" t="str">
            <v>customhire1-7-22706</v>
          </cell>
          <cell r="F137">
            <v>0</v>
          </cell>
        </row>
        <row r="138">
          <cell r="E138" t="str">
            <v>customhire1-8-22706</v>
          </cell>
          <cell r="F138">
            <v>0</v>
          </cell>
        </row>
        <row r="139">
          <cell r="E139" t="str">
            <v>customhire1-9-22706</v>
          </cell>
          <cell r="F139">
            <v>0</v>
          </cell>
        </row>
        <row r="140">
          <cell r="E140" t="str">
            <v>customhire1-10-22706</v>
          </cell>
          <cell r="F140">
            <v>0</v>
          </cell>
        </row>
        <row r="141">
          <cell r="E141" t="str">
            <v>customhire1-11-22706</v>
          </cell>
          <cell r="F141">
            <v>0</v>
          </cell>
        </row>
        <row r="142">
          <cell r="E142" t="str">
            <v>customhire1-12-22706</v>
          </cell>
          <cell r="F142">
            <v>0</v>
          </cell>
        </row>
        <row r="143">
          <cell r="E143" t="str">
            <v>customhire1-13-22706</v>
          </cell>
          <cell r="F143">
            <v>0</v>
          </cell>
        </row>
        <row r="144">
          <cell r="E144" t="str">
            <v>customhire2-1-22706</v>
          </cell>
          <cell r="F144">
            <v>2</v>
          </cell>
        </row>
        <row r="145">
          <cell r="E145" t="str">
            <v>customhire2-2-22706</v>
          </cell>
          <cell r="F145">
            <v>0</v>
          </cell>
        </row>
        <row r="146">
          <cell r="E146" t="str">
            <v>customhire2-3-22706</v>
          </cell>
          <cell r="F146">
            <v>0</v>
          </cell>
        </row>
        <row r="147">
          <cell r="E147" t="str">
            <v>customhire2-4-22706</v>
          </cell>
          <cell r="F147">
            <v>0</v>
          </cell>
        </row>
        <row r="148">
          <cell r="E148" t="str">
            <v>customhire2-5-22706</v>
          </cell>
          <cell r="F148">
            <v>0</v>
          </cell>
        </row>
        <row r="149">
          <cell r="E149" t="str">
            <v>customhire2-6-22706</v>
          </cell>
          <cell r="F149">
            <v>0</v>
          </cell>
        </row>
        <row r="150">
          <cell r="E150" t="str">
            <v>customhire2-7-22706</v>
          </cell>
          <cell r="F150">
            <v>0</v>
          </cell>
        </row>
        <row r="151">
          <cell r="E151" t="str">
            <v>customhire2-8-22706</v>
          </cell>
          <cell r="F151">
            <v>0</v>
          </cell>
        </row>
        <row r="152">
          <cell r="E152" t="str">
            <v>size-1-3806</v>
          </cell>
          <cell r="F152" t="str">
            <v>15 ft</v>
          </cell>
        </row>
        <row r="153">
          <cell r="E153" t="str">
            <v>size-2-3806</v>
          </cell>
          <cell r="F153" t="str">
            <v>16.3 ft</v>
          </cell>
        </row>
        <row r="154">
          <cell r="E154" t="str">
            <v>size-3-3806</v>
          </cell>
          <cell r="F154" t="str">
            <v>6 ft</v>
          </cell>
        </row>
        <row r="155">
          <cell r="E155" t="str">
            <v>size-4-3806</v>
          </cell>
          <cell r="F155" t="str">
            <v>35 ft</v>
          </cell>
        </row>
        <row r="156">
          <cell r="E156" t="str">
            <v>size-5-3806</v>
          </cell>
          <cell r="F156" t="str">
            <v>30 ft</v>
          </cell>
        </row>
        <row r="157">
          <cell r="E157" t="str">
            <v>size-6-3806</v>
          </cell>
          <cell r="F157" t="str">
            <v>30" O.C., 17 ft</v>
          </cell>
        </row>
        <row r="158">
          <cell r="E158" t="str">
            <v>size-7-3806</v>
          </cell>
          <cell r="F158" t="str">
            <v>16 ft</v>
          </cell>
        </row>
        <row r="159">
          <cell r="E159" t="str">
            <v>size-8-3806</v>
          </cell>
          <cell r="F159" t="str">
            <v>17.5 ft</v>
          </cell>
        </row>
        <row r="160">
          <cell r="E160" t="str">
            <v>size-9-3806</v>
          </cell>
          <cell r="F160" t="str">
            <v>22 ft</v>
          </cell>
        </row>
        <row r="161">
          <cell r="E161" t="str">
            <v>size-10-3806</v>
          </cell>
          <cell r="F161" t="str">
            <v>12 ft</v>
          </cell>
        </row>
        <row r="162">
          <cell r="E162" t="str">
            <v>size-11-3806</v>
          </cell>
          <cell r="F162" t="str">
            <v>6 row</v>
          </cell>
        </row>
        <row r="163">
          <cell r="E163" t="str">
            <v>size-12-3806</v>
          </cell>
          <cell r="F163" t="str">
            <v>(16/31 row 30/15")</v>
          </cell>
        </row>
        <row r="164">
          <cell r="E164" t="str">
            <v>size-13-3806</v>
          </cell>
          <cell r="F164" t="str">
            <v>6 row</v>
          </cell>
        </row>
        <row r="165">
          <cell r="E165" t="str">
            <v>size-14-3806</v>
          </cell>
          <cell r="F165" t="str">
            <v>16 ft</v>
          </cell>
        </row>
        <row r="166">
          <cell r="E166" t="str">
            <v>size-15-3806</v>
          </cell>
          <cell r="F166" t="str">
            <v>20 ft</v>
          </cell>
        </row>
        <row r="167">
          <cell r="E167" t="str">
            <v>size-16-3806</v>
          </cell>
          <cell r="F167" t="str">
            <v>6 row</v>
          </cell>
        </row>
        <row r="168">
          <cell r="E168" t="str">
            <v>size-17-3806</v>
          </cell>
          <cell r="F168" t="str">
            <v>6 row</v>
          </cell>
        </row>
        <row r="169">
          <cell r="E169" t="str">
            <v>size-18-3806</v>
          </cell>
          <cell r="F169" t="str">
            <v>30 ft</v>
          </cell>
        </row>
        <row r="170">
          <cell r="E170" t="str">
            <v>size-27-101707</v>
          </cell>
          <cell r="F170" t="str">
            <v>7 ft swath</v>
          </cell>
        </row>
        <row r="171">
          <cell r="E171" t="str">
            <v>size-19-3806</v>
          </cell>
          <cell r="F171" t="str">
            <v>6 ft</v>
          </cell>
        </row>
        <row r="172">
          <cell r="E172" t="str">
            <v>size-28-101707</v>
          </cell>
          <cell r="F172" t="str">
            <v>7 ft swath</v>
          </cell>
        </row>
        <row r="173">
          <cell r="E173" t="str">
            <v>size-25-101707</v>
          </cell>
          <cell r="F173" t="str">
            <v>10 wheel, 20 ft</v>
          </cell>
        </row>
        <row r="174">
          <cell r="E174" t="str">
            <v>size-26-101707</v>
          </cell>
          <cell r="F174" t="str">
            <v>9.5 ft</v>
          </cell>
        </row>
        <row r="175">
          <cell r="E175" t="str">
            <v>size-20-101707</v>
          </cell>
          <cell r="F175" t="str">
            <v>1000 lb</v>
          </cell>
        </row>
        <row r="176">
          <cell r="E176" t="str">
            <v>size-21-3806</v>
          </cell>
          <cell r="F176" t="str">
            <v>30 ft</v>
          </cell>
        </row>
        <row r="177">
          <cell r="E177" t="str">
            <v>size-22-3806</v>
          </cell>
          <cell r="F177" t="str">
            <v>30 ft</v>
          </cell>
        </row>
        <row r="178">
          <cell r="E178" t="str">
            <v>size-23-3806</v>
          </cell>
          <cell r="F178" t="str">
            <v>8 row</v>
          </cell>
        </row>
        <row r="179">
          <cell r="E179" t="str">
            <v>size-24-3806</v>
          </cell>
          <cell r="F179" t="str">
            <v>500 bushel</v>
          </cell>
        </row>
        <row r="180">
          <cell r="E180" t="str">
            <v>power-1-22706</v>
          </cell>
          <cell r="F180">
            <v>0</v>
          </cell>
        </row>
        <row r="181">
          <cell r="E181" t="str">
            <v>power-2-22706</v>
          </cell>
          <cell r="F181">
            <v>0</v>
          </cell>
        </row>
        <row r="182">
          <cell r="E182" t="str">
            <v>power-3-22706</v>
          </cell>
          <cell r="F182">
            <v>0</v>
          </cell>
        </row>
        <row r="183">
          <cell r="E183" t="str">
            <v>power-4-22706</v>
          </cell>
          <cell r="F183">
            <v>0</v>
          </cell>
        </row>
        <row r="184">
          <cell r="E184" t="str">
            <v>power-5-22706</v>
          </cell>
          <cell r="F184">
            <v>0</v>
          </cell>
        </row>
        <row r="185">
          <cell r="E185" t="str">
            <v>power-6-22706</v>
          </cell>
          <cell r="F185">
            <v>0</v>
          </cell>
        </row>
        <row r="186">
          <cell r="E186" t="str">
            <v>power-7-22706</v>
          </cell>
          <cell r="F186">
            <v>0</v>
          </cell>
        </row>
        <row r="187">
          <cell r="E187" t="str">
            <v>power-8-22706</v>
          </cell>
          <cell r="F187">
            <v>0</v>
          </cell>
        </row>
        <row r="188">
          <cell r="E188" t="str">
            <v>power-9-22706</v>
          </cell>
          <cell r="F188">
            <v>0</v>
          </cell>
        </row>
        <row r="189">
          <cell r="E189" t="str">
            <v>power-10-22706</v>
          </cell>
          <cell r="F189">
            <v>0</v>
          </cell>
        </row>
        <row r="190">
          <cell r="E190" t="str">
            <v>power-11-22706</v>
          </cell>
          <cell r="F190">
            <v>0</v>
          </cell>
        </row>
        <row r="191">
          <cell r="E191" t="str">
            <v>power-12-22706</v>
          </cell>
          <cell r="F191">
            <v>0</v>
          </cell>
        </row>
        <row r="192">
          <cell r="E192" t="str">
            <v>power-13-22706</v>
          </cell>
          <cell r="F192">
            <v>0</v>
          </cell>
        </row>
        <row r="193">
          <cell r="E193" t="str">
            <v>power-14-22706</v>
          </cell>
          <cell r="F193">
            <v>0</v>
          </cell>
        </row>
        <row r="194">
          <cell r="E194" t="str">
            <v>power-15-22706</v>
          </cell>
          <cell r="F194" t="str">
            <v>200 MFWD</v>
          </cell>
        </row>
        <row r="195">
          <cell r="E195" t="str">
            <v>power-16-22706</v>
          </cell>
          <cell r="F195">
            <v>0</v>
          </cell>
        </row>
        <row r="196">
          <cell r="E196" t="str">
            <v>power-17-22706</v>
          </cell>
          <cell r="F196">
            <v>0</v>
          </cell>
        </row>
        <row r="197">
          <cell r="E197" t="str">
            <v>power-18-22706</v>
          </cell>
          <cell r="F197">
            <v>0</v>
          </cell>
        </row>
        <row r="198">
          <cell r="E198" t="str">
            <v>power-19-22706</v>
          </cell>
          <cell r="F198">
            <v>0</v>
          </cell>
        </row>
        <row r="199">
          <cell r="E199" t="str">
            <v>power-20-22706</v>
          </cell>
          <cell r="F199" t="str">
            <v>130 MFWD</v>
          </cell>
        </row>
        <row r="200">
          <cell r="E200" t="str">
            <v>power-21-22706</v>
          </cell>
          <cell r="F200">
            <v>0</v>
          </cell>
        </row>
        <row r="201">
          <cell r="E201" t="str">
            <v>power-22-22706</v>
          </cell>
          <cell r="F201">
            <v>0</v>
          </cell>
        </row>
        <row r="202">
          <cell r="E202" t="str">
            <v>power-23-22706</v>
          </cell>
          <cell r="F202">
            <v>0</v>
          </cell>
        </row>
        <row r="203">
          <cell r="E203" t="str">
            <v>power-24-22706</v>
          </cell>
          <cell r="F203">
            <v>0</v>
          </cell>
        </row>
        <row r="204">
          <cell r="E204" t="str">
            <v>power-25-22706</v>
          </cell>
          <cell r="F204">
            <v>0</v>
          </cell>
        </row>
        <row r="205">
          <cell r="E205" t="str">
            <v>power-26-22706</v>
          </cell>
          <cell r="F205">
            <v>0</v>
          </cell>
        </row>
        <row r="206">
          <cell r="E206" t="str">
            <v>power-27-22706</v>
          </cell>
          <cell r="F206">
            <v>0</v>
          </cell>
        </row>
        <row r="207">
          <cell r="E207" t="str">
            <v>power-28-22706</v>
          </cell>
          <cell r="F207">
            <v>0</v>
          </cell>
        </row>
        <row r="208">
          <cell r="E208" t="str">
            <v>power-29-22706</v>
          </cell>
          <cell r="F208">
            <v>0</v>
          </cell>
        </row>
        <row r="209">
          <cell r="E209" t="str">
            <v>power-30-22706</v>
          </cell>
          <cell r="F209">
            <v>0</v>
          </cell>
        </row>
        <row r="210">
          <cell r="E210" t="str">
            <v>power-31-22706</v>
          </cell>
          <cell r="F210">
            <v>0</v>
          </cell>
        </row>
        <row r="211">
          <cell r="E211" t="str">
            <v>power-32-22706</v>
          </cell>
          <cell r="F211">
            <v>0</v>
          </cell>
        </row>
        <row r="212">
          <cell r="E212" t="str">
            <v>power-33-22706</v>
          </cell>
          <cell r="F212">
            <v>0</v>
          </cell>
        </row>
        <row r="213">
          <cell r="E213" t="str">
            <v>power-34-22706</v>
          </cell>
          <cell r="F213">
            <v>0</v>
          </cell>
        </row>
        <row r="214">
          <cell r="E214" t="str">
            <v>power-35-22706</v>
          </cell>
          <cell r="F214">
            <v>0</v>
          </cell>
        </row>
        <row r="215">
          <cell r="E215" t="str">
            <v>power-36-22706</v>
          </cell>
          <cell r="F215">
            <v>0</v>
          </cell>
        </row>
        <row r="216">
          <cell r="E216" t="str">
            <v>power-37-22706</v>
          </cell>
          <cell r="F216" t="str">
            <v>200 MFWD</v>
          </cell>
        </row>
        <row r="217">
          <cell r="E217" t="str">
            <v>power-38-22706</v>
          </cell>
          <cell r="F217" t="str">
            <v>130 MFWD</v>
          </cell>
        </row>
        <row r="218">
          <cell r="E218" t="str">
            <v>passes-1-22706</v>
          </cell>
          <cell r="F218">
            <v>0</v>
          </cell>
        </row>
        <row r="219">
          <cell r="E219" t="str">
            <v>passes-2-22706</v>
          </cell>
          <cell r="F219">
            <v>0</v>
          </cell>
        </row>
        <row r="220">
          <cell r="E220" t="str">
            <v>passes-3-22706</v>
          </cell>
          <cell r="F220">
            <v>0</v>
          </cell>
        </row>
        <row r="221">
          <cell r="E221" t="str">
            <v>passes-4-22706</v>
          </cell>
          <cell r="F221">
            <v>0</v>
          </cell>
        </row>
        <row r="222">
          <cell r="E222" t="str">
            <v>passes-5-22706</v>
          </cell>
          <cell r="F222">
            <v>0</v>
          </cell>
        </row>
        <row r="223">
          <cell r="E223" t="str">
            <v>passes-6-22706</v>
          </cell>
          <cell r="F223">
            <v>0</v>
          </cell>
        </row>
        <row r="224">
          <cell r="E224" t="str">
            <v>passes-7-22706</v>
          </cell>
          <cell r="F224">
            <v>0</v>
          </cell>
        </row>
        <row r="225">
          <cell r="E225" t="str">
            <v>passes-8-22706</v>
          </cell>
          <cell r="F225">
            <v>0</v>
          </cell>
        </row>
        <row r="226">
          <cell r="E226" t="str">
            <v>passes-9-22706</v>
          </cell>
          <cell r="F226">
            <v>0</v>
          </cell>
        </row>
        <row r="227">
          <cell r="E227" t="str">
            <v>passes-10-22706</v>
          </cell>
          <cell r="F227">
            <v>0</v>
          </cell>
        </row>
        <row r="228">
          <cell r="E228" t="str">
            <v>passes-11-22706</v>
          </cell>
          <cell r="F228">
            <v>0</v>
          </cell>
        </row>
        <row r="229">
          <cell r="E229" t="str">
            <v>passes-12-22706</v>
          </cell>
          <cell r="F229">
            <v>0</v>
          </cell>
        </row>
        <row r="230">
          <cell r="E230" t="str">
            <v>passes-13-22706</v>
          </cell>
          <cell r="F230">
            <v>0</v>
          </cell>
        </row>
        <row r="231">
          <cell r="E231" t="str">
            <v>passes-14-22706</v>
          </cell>
          <cell r="F231">
            <v>0</v>
          </cell>
        </row>
        <row r="232">
          <cell r="E232" t="str">
            <v>passes-15-22706</v>
          </cell>
          <cell r="F232">
            <v>1</v>
          </cell>
        </row>
        <row r="233">
          <cell r="E233" t="str">
            <v>passes-16-22706</v>
          </cell>
          <cell r="F233">
            <v>0</v>
          </cell>
        </row>
        <row r="234">
          <cell r="E234" t="str">
            <v>passes-17-22706</v>
          </cell>
          <cell r="F234">
            <v>0</v>
          </cell>
        </row>
        <row r="235">
          <cell r="E235" t="str">
            <v>passes-18-22706</v>
          </cell>
          <cell r="F235">
            <v>0</v>
          </cell>
        </row>
        <row r="236">
          <cell r="E236" t="str">
            <v>passes-19-22706</v>
          </cell>
          <cell r="F236">
            <v>0</v>
          </cell>
        </row>
        <row r="237">
          <cell r="E237" t="str">
            <v>passes-20-22706</v>
          </cell>
          <cell r="F237">
            <v>1</v>
          </cell>
        </row>
        <row r="238">
          <cell r="E238" t="str">
            <v>passes-21-22706</v>
          </cell>
          <cell r="F238">
            <v>0</v>
          </cell>
        </row>
        <row r="239">
          <cell r="E239" t="str">
            <v>passes-22-22706</v>
          </cell>
          <cell r="F239">
            <v>0</v>
          </cell>
        </row>
        <row r="240">
          <cell r="E240" t="str">
            <v>passes-23-22706</v>
          </cell>
          <cell r="F240">
            <v>0</v>
          </cell>
        </row>
        <row r="241">
          <cell r="E241" t="str">
            <v>passes-24-22706</v>
          </cell>
          <cell r="F241">
            <v>0</v>
          </cell>
        </row>
        <row r="242">
          <cell r="E242" t="str">
            <v>passes-25-22706</v>
          </cell>
          <cell r="F242">
            <v>0</v>
          </cell>
        </row>
        <row r="243">
          <cell r="E243" t="str">
            <v>passes-26-22706</v>
          </cell>
          <cell r="F243">
            <v>0</v>
          </cell>
        </row>
        <row r="244">
          <cell r="E244" t="str">
            <v>passes-27-22706</v>
          </cell>
          <cell r="F244">
            <v>0</v>
          </cell>
        </row>
        <row r="245">
          <cell r="E245" t="str">
            <v>passes-28-22706</v>
          </cell>
          <cell r="F245">
            <v>0</v>
          </cell>
        </row>
        <row r="246">
          <cell r="E246" t="str">
            <v>passes-29-22706</v>
          </cell>
          <cell r="F246">
            <v>0</v>
          </cell>
        </row>
        <row r="247">
          <cell r="E247" t="str">
            <v>passes-30-22706</v>
          </cell>
          <cell r="F247">
            <v>0</v>
          </cell>
        </row>
        <row r="248">
          <cell r="E248" t="str">
            <v>passes-31-22706</v>
          </cell>
          <cell r="F248">
            <v>0</v>
          </cell>
        </row>
        <row r="249">
          <cell r="E249" t="str">
            <v>passes-32-22706</v>
          </cell>
          <cell r="F249">
            <v>0</v>
          </cell>
        </row>
        <row r="250">
          <cell r="E250" t="str">
            <v>passes-33-22706</v>
          </cell>
          <cell r="F250">
            <v>0</v>
          </cell>
        </row>
        <row r="251">
          <cell r="E251" t="str">
            <v>passes-34-22706</v>
          </cell>
          <cell r="F251">
            <v>0</v>
          </cell>
        </row>
        <row r="252">
          <cell r="E252" t="str">
            <v>passes-35-22706</v>
          </cell>
          <cell r="F252">
            <v>0</v>
          </cell>
        </row>
        <row r="253">
          <cell r="E253" t="str">
            <v>passes-36-22706</v>
          </cell>
          <cell r="F253">
            <v>0</v>
          </cell>
        </row>
        <row r="254">
          <cell r="E254" t="str">
            <v>passes-37-22706</v>
          </cell>
          <cell r="F254">
            <v>0</v>
          </cell>
        </row>
        <row r="255">
          <cell r="E255" t="str">
            <v>passes-38-22706</v>
          </cell>
          <cell r="F255">
            <v>1</v>
          </cell>
        </row>
        <row r="256">
          <cell r="E256" t="str">
            <v>passes-39-22706</v>
          </cell>
          <cell r="F256">
            <v>0</v>
          </cell>
        </row>
        <row r="257">
          <cell r="E257" t="str">
            <v>passes-40-22706</v>
          </cell>
          <cell r="F257">
            <v>0</v>
          </cell>
        </row>
        <row r="258">
          <cell r="E258" t="str">
            <v>rent-1-82906</v>
          </cell>
          <cell r="F258">
            <v>0</v>
          </cell>
        </row>
        <row r="259">
          <cell r="E259" t="str">
            <v>rent-2-82906</v>
          </cell>
          <cell r="F259">
            <v>0</v>
          </cell>
        </row>
        <row r="260">
          <cell r="E260" t="str">
            <v>rent-3-82906</v>
          </cell>
          <cell r="F260">
            <v>0</v>
          </cell>
        </row>
        <row r="261">
          <cell r="E261" t="str">
            <v>rent-4-82906</v>
          </cell>
          <cell r="F261">
            <v>0</v>
          </cell>
        </row>
        <row r="262">
          <cell r="E262" t="str">
            <v>rent-5-82906</v>
          </cell>
          <cell r="F262">
            <v>0</v>
          </cell>
        </row>
        <row r="263">
          <cell r="E263" t="str">
            <v>rent-6-82906</v>
          </cell>
          <cell r="F263">
            <v>0</v>
          </cell>
        </row>
        <row r="264">
          <cell r="E264" t="str">
            <v>rent-7-82906</v>
          </cell>
          <cell r="F264">
            <v>0</v>
          </cell>
        </row>
        <row r="265">
          <cell r="E265" t="str">
            <v>rent-8-82906</v>
          </cell>
          <cell r="F265">
            <v>0</v>
          </cell>
        </row>
        <row r="266">
          <cell r="E266" t="str">
            <v>rent-9-82906</v>
          </cell>
          <cell r="F266">
            <v>0</v>
          </cell>
        </row>
        <row r="267">
          <cell r="E267" t="str">
            <v>rent-10-82906</v>
          </cell>
          <cell r="F267">
            <v>0</v>
          </cell>
        </row>
        <row r="268">
          <cell r="E268" t="str">
            <v>rent-11-82906</v>
          </cell>
          <cell r="F268">
            <v>0</v>
          </cell>
        </row>
        <row r="269">
          <cell r="E269" t="str">
            <v>rent-12-82906</v>
          </cell>
          <cell r="F269">
            <v>0</v>
          </cell>
        </row>
        <row r="270">
          <cell r="E270" t="str">
            <v>rent-13-82906</v>
          </cell>
          <cell r="F270">
            <v>0</v>
          </cell>
        </row>
        <row r="271">
          <cell r="E271" t="str">
            <v>rent-14-82906</v>
          </cell>
          <cell r="F271">
            <v>0</v>
          </cell>
        </row>
        <row r="272">
          <cell r="E272" t="str">
            <v>rent-15-82906</v>
          </cell>
          <cell r="F272">
            <v>0</v>
          </cell>
        </row>
        <row r="273">
          <cell r="E273" t="str">
            <v>rent-16-82906</v>
          </cell>
          <cell r="F273">
            <v>0</v>
          </cell>
        </row>
        <row r="274">
          <cell r="E274" t="str">
            <v>rent-17-82906</v>
          </cell>
          <cell r="F274">
            <v>0</v>
          </cell>
        </row>
        <row r="275">
          <cell r="E275" t="str">
            <v>rent-18-82906</v>
          </cell>
          <cell r="F275">
            <v>0</v>
          </cell>
        </row>
        <row r="276">
          <cell r="E276" t="str">
            <v>rent-19-82906</v>
          </cell>
          <cell r="F276">
            <v>0</v>
          </cell>
        </row>
        <row r="277">
          <cell r="E277" t="str">
            <v>rent-20-82906</v>
          </cell>
          <cell r="F277">
            <v>0</v>
          </cell>
        </row>
        <row r="278">
          <cell r="E278" t="str">
            <v>rent-21-82906</v>
          </cell>
          <cell r="F278">
            <v>0</v>
          </cell>
        </row>
        <row r="279">
          <cell r="E279" t="str">
            <v>rent-22-82906</v>
          </cell>
          <cell r="F279">
            <v>0</v>
          </cell>
        </row>
        <row r="280">
          <cell r="E280" t="str">
            <v>rent-23-82906</v>
          </cell>
          <cell r="F280">
            <v>0</v>
          </cell>
        </row>
        <row r="281">
          <cell r="E281" t="str">
            <v>rent-24-82906</v>
          </cell>
          <cell r="F281">
            <v>0</v>
          </cell>
        </row>
        <row r="282">
          <cell r="E282" t="str">
            <v>rent-25-82906</v>
          </cell>
          <cell r="F282">
            <v>0</v>
          </cell>
        </row>
        <row r="283">
          <cell r="E283" t="str">
            <v>rent-26-82906</v>
          </cell>
          <cell r="F283">
            <v>0</v>
          </cell>
        </row>
        <row r="284">
          <cell r="E284" t="str">
            <v>rent-27-82906</v>
          </cell>
          <cell r="F284">
            <v>0</v>
          </cell>
        </row>
        <row r="285">
          <cell r="E285" t="str">
            <v>rent-28-82906</v>
          </cell>
          <cell r="F285">
            <v>0</v>
          </cell>
        </row>
        <row r="286">
          <cell r="E286" t="str">
            <v>rent-29-82906</v>
          </cell>
          <cell r="F286">
            <v>0</v>
          </cell>
        </row>
        <row r="287">
          <cell r="E287" t="str">
            <v>rent-30-82906</v>
          </cell>
          <cell r="F287">
            <v>0</v>
          </cell>
        </row>
        <row r="288">
          <cell r="E288" t="str">
            <v>rent-31-82906</v>
          </cell>
          <cell r="F288">
            <v>0</v>
          </cell>
        </row>
        <row r="289">
          <cell r="E289" t="str">
            <v>rent-32-82906</v>
          </cell>
          <cell r="F289">
            <v>0</v>
          </cell>
        </row>
        <row r="290">
          <cell r="E290" t="str">
            <v>rent-33-82906</v>
          </cell>
          <cell r="F290">
            <v>0</v>
          </cell>
        </row>
        <row r="291">
          <cell r="E291" t="str">
            <v>rent-34-82906</v>
          </cell>
          <cell r="F291">
            <v>0</v>
          </cell>
        </row>
        <row r="292">
          <cell r="E292" t="str">
            <v>rent-35-82906</v>
          </cell>
          <cell r="F292">
            <v>0</v>
          </cell>
        </row>
        <row r="293">
          <cell r="E293" t="str">
            <v>rent-36-82906</v>
          </cell>
          <cell r="F293">
            <v>0</v>
          </cell>
        </row>
        <row r="294">
          <cell r="E294" t="str">
            <v>rent-37-82906</v>
          </cell>
          <cell r="F294">
            <v>0</v>
          </cell>
        </row>
        <row r="295">
          <cell r="E295" t="str">
            <v>rent-38-82906</v>
          </cell>
          <cell r="F295">
            <v>0</v>
          </cell>
        </row>
        <row r="296">
          <cell r="E296" t="str">
            <v>rent-39-82906</v>
          </cell>
          <cell r="F296">
            <v>0</v>
          </cell>
        </row>
        <row r="297">
          <cell r="E297" t="str">
            <v>rent-40-82906</v>
          </cell>
          <cell r="F297">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ivity list"/>
      <sheetName val="Introduction"/>
      <sheetName val="Hemp for Fiber"/>
      <sheetName val="Hemp for Grain"/>
      <sheetName val="Hemp for Fiber &amp; Grain"/>
      <sheetName val="Hemp for CBD"/>
      <sheetName val="Notes"/>
      <sheetName val="2020 Industrial Hemp Budget FIN"/>
    </sheetNames>
    <sheetDataSet>
      <sheetData sheetId="0">
        <row r="4">
          <cell r="W4" t="str">
            <v>Implement</v>
          </cell>
          <cell r="X4" t="str">
            <v>Cost/unit</v>
          </cell>
          <cell r="Y4" t="str">
            <v>Unit</v>
          </cell>
          <cell r="Z4" t="str">
            <v>Hours/acre</v>
          </cell>
          <cell r="AA4" t="str">
            <v>Something Else</v>
          </cell>
        </row>
        <row r="5">
          <cell r="W5" t="str">
            <v>Moving Large Square Bales</v>
          </cell>
          <cell r="X5">
            <v>0.23</v>
          </cell>
          <cell r="Y5" t="str">
            <v>$/bale/loaded mile</v>
          </cell>
        </row>
        <row r="6">
          <cell r="W6" t="str">
            <v>Hauling Hay</v>
          </cell>
          <cell r="X6">
            <v>55</v>
          </cell>
        </row>
        <row r="7">
          <cell r="W7" t="str">
            <v>Fertilizer application</v>
          </cell>
          <cell r="X7">
            <v>6.75</v>
          </cell>
          <cell r="Y7" t="str">
            <v>acre</v>
          </cell>
        </row>
        <row r="8">
          <cell r="W8" t="str">
            <v>Drying Plant</v>
          </cell>
          <cell r="X8">
            <v>1</v>
          </cell>
        </row>
        <row r="9">
          <cell r="W9" t="str">
            <v>Hauling Grain to bin</v>
          </cell>
          <cell r="X9">
            <v>0.25</v>
          </cell>
          <cell r="Y9" t="str">
            <v>cwt hauled</v>
          </cell>
        </row>
        <row r="10">
          <cell r="W10" t="str">
            <v>Grain Drying</v>
          </cell>
          <cell r="X10">
            <v>0.12</v>
          </cell>
          <cell r="Y10" t="str">
            <v>cwt dried/% moisture</v>
          </cell>
        </row>
        <row r="11">
          <cell r="W11" t="str">
            <v>Hauling grain to market</v>
          </cell>
          <cell r="X11">
            <v>0.45</v>
          </cell>
          <cell r="Y11" t="str">
            <v>cwt hauled</v>
          </cell>
        </row>
        <row r="12">
          <cell r="W12" t="str">
            <v>Hauling hemp for CBD to processor</v>
          </cell>
          <cell r="X12">
            <v>0.2</v>
          </cell>
          <cell r="Y12" t="str">
            <v>$/cwt/loaded mile</v>
          </cell>
        </row>
        <row r="13">
          <cell r="W13" t="str">
            <v>Seed cleaning</v>
          </cell>
          <cell r="X13">
            <v>0.04</v>
          </cell>
          <cell r="Y13" t="str">
            <v>pound cleaned</v>
          </cell>
        </row>
        <row r="14">
          <cell r="W14" t="str">
            <v>Large Square bales</v>
          </cell>
          <cell r="X14">
            <v>17</v>
          </cell>
          <cell r="Y14" t="str">
            <v>one ton bale</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1E174-2F94-456F-9ED3-56E961329E9C}">
  <dimension ref="B1:H22"/>
  <sheetViews>
    <sheetView showGridLines="0" tabSelected="1" workbookViewId="0">
      <selection activeCell="I19" sqref="I19"/>
    </sheetView>
  </sheetViews>
  <sheetFormatPr defaultRowHeight="15"/>
  <cols>
    <col min="1" max="1" width="3.85546875" style="88" customWidth="1"/>
    <col min="2" max="2" width="24.7109375" style="88" bestFit="1" customWidth="1"/>
    <col min="3" max="3" width="30.28515625" style="88" customWidth="1"/>
    <col min="4" max="4" width="32.140625" style="88" customWidth="1"/>
    <col min="5" max="5" width="45.42578125" style="88" customWidth="1"/>
    <col min="6" max="6" width="25.28515625" style="88" customWidth="1"/>
    <col min="7" max="7" width="16.42578125" style="88" customWidth="1"/>
    <col min="8" max="16384" width="9.140625" style="88"/>
  </cols>
  <sheetData>
    <row r="1" spans="2:8" ht="15.75" thickBot="1">
      <c r="B1" s="87"/>
      <c r="C1" s="87"/>
      <c r="D1" s="87"/>
      <c r="E1" s="87"/>
      <c r="F1" s="87"/>
      <c r="G1" s="87"/>
      <c r="H1" s="87"/>
    </row>
    <row r="2" spans="2:8" ht="18.75" thickBot="1">
      <c r="B2" s="127" t="s">
        <v>126</v>
      </c>
      <c r="C2" s="128"/>
      <c r="D2" s="128"/>
      <c r="E2" s="128"/>
      <c r="F2" s="128"/>
      <c r="G2" s="87"/>
      <c r="H2" s="87"/>
    </row>
    <row r="3" spans="2:8">
      <c r="B3" s="129" t="s">
        <v>128</v>
      </c>
      <c r="C3" s="129"/>
      <c r="D3" s="129"/>
      <c r="E3" s="129"/>
      <c r="F3" s="129"/>
      <c r="G3" s="87"/>
      <c r="H3" s="87"/>
    </row>
    <row r="4" spans="2:8">
      <c r="B4" s="130"/>
      <c r="C4" s="130"/>
      <c r="D4" s="130"/>
      <c r="E4" s="130"/>
      <c r="F4" s="130"/>
      <c r="G4" s="87"/>
      <c r="H4" s="87"/>
    </row>
    <row r="5" spans="2:8">
      <c r="B5" s="87"/>
      <c r="C5" s="89" t="s">
        <v>123</v>
      </c>
      <c r="D5" s="89"/>
      <c r="E5" s="89"/>
      <c r="F5" s="87"/>
      <c r="G5" s="87"/>
      <c r="H5" s="87"/>
    </row>
    <row r="6" spans="2:8">
      <c r="B6" s="87"/>
      <c r="C6" s="90" t="s">
        <v>127</v>
      </c>
      <c r="D6" s="90"/>
      <c r="E6" s="90"/>
      <c r="F6" s="87"/>
      <c r="G6" s="87"/>
      <c r="H6" s="87"/>
    </row>
    <row r="7" spans="2:8">
      <c r="B7" s="87"/>
      <c r="C7" s="90" t="s">
        <v>124</v>
      </c>
      <c r="D7" s="90"/>
      <c r="E7" s="90"/>
      <c r="F7" s="87"/>
      <c r="G7" s="87"/>
      <c r="H7" s="87"/>
    </row>
    <row r="8" spans="2:8">
      <c r="B8" s="87"/>
      <c r="C8" s="87"/>
      <c r="D8" s="87"/>
      <c r="E8" s="87"/>
      <c r="F8" s="87"/>
      <c r="G8" s="87"/>
      <c r="H8" s="87"/>
    </row>
    <row r="9" spans="2:8" ht="57.75" customHeight="1">
      <c r="B9" s="133" t="s">
        <v>137</v>
      </c>
      <c r="C9" s="133"/>
      <c r="D9" s="133"/>
      <c r="E9" s="133"/>
      <c r="F9" s="133"/>
      <c r="G9" s="87"/>
      <c r="H9" s="87"/>
    </row>
    <row r="10" spans="2:8" ht="15" customHeight="1">
      <c r="B10" s="87"/>
      <c r="C10" s="91"/>
      <c r="D10" s="91"/>
      <c r="E10" s="91"/>
      <c r="F10" s="87"/>
      <c r="G10" s="87"/>
      <c r="H10" s="87"/>
    </row>
    <row r="11" spans="2:8" ht="15.75">
      <c r="B11" s="87"/>
      <c r="C11" s="91"/>
      <c r="D11" s="91"/>
      <c r="E11" s="91"/>
      <c r="F11" s="87"/>
      <c r="G11" s="87"/>
      <c r="H11" s="87"/>
    </row>
    <row r="12" spans="2:8" ht="26.25" customHeight="1">
      <c r="B12" s="95" t="s">
        <v>129</v>
      </c>
      <c r="C12" s="134" t="s">
        <v>135</v>
      </c>
      <c r="D12" s="134"/>
      <c r="E12" s="134"/>
      <c r="F12" s="134"/>
      <c r="G12" s="87"/>
      <c r="H12" s="87"/>
    </row>
    <row r="13" spans="2:8" ht="26.25" customHeight="1">
      <c r="B13" s="94" t="s">
        <v>52</v>
      </c>
      <c r="C13" s="134" t="s">
        <v>130</v>
      </c>
      <c r="D13" s="134"/>
      <c r="E13" s="134"/>
      <c r="F13" s="134"/>
      <c r="G13" s="87"/>
      <c r="H13" s="87"/>
    </row>
    <row r="14" spans="2:8" ht="26.25" customHeight="1">
      <c r="B14" s="94" t="s">
        <v>59</v>
      </c>
      <c r="C14" s="134" t="s">
        <v>131</v>
      </c>
      <c r="D14" s="134"/>
      <c r="E14" s="134"/>
      <c r="F14" s="134"/>
      <c r="G14" s="87"/>
      <c r="H14" s="87"/>
    </row>
    <row r="15" spans="2:8" ht="26.25" customHeight="1">
      <c r="B15" s="94" t="s">
        <v>60</v>
      </c>
      <c r="C15" s="134" t="s">
        <v>132</v>
      </c>
      <c r="D15" s="134"/>
      <c r="E15" s="134"/>
      <c r="F15" s="134"/>
      <c r="G15" s="87"/>
      <c r="H15" s="87"/>
    </row>
    <row r="16" spans="2:8" ht="26.25" customHeight="1">
      <c r="B16" s="94" t="s">
        <v>133</v>
      </c>
      <c r="C16" s="134" t="s">
        <v>134</v>
      </c>
      <c r="D16" s="134"/>
      <c r="E16" s="134"/>
      <c r="F16" s="134"/>
      <c r="G16" s="87"/>
      <c r="H16" s="87"/>
    </row>
    <row r="17" spans="2:8">
      <c r="B17" s="87"/>
      <c r="C17" s="87"/>
      <c r="D17" s="87"/>
      <c r="E17" s="87"/>
      <c r="F17" s="87"/>
      <c r="G17" s="87"/>
      <c r="H17" s="87"/>
    </row>
    <row r="18" spans="2:8" ht="50.25" customHeight="1">
      <c r="B18" s="87"/>
      <c r="C18" s="135" t="s">
        <v>136</v>
      </c>
      <c r="D18" s="135"/>
      <c r="E18" s="135"/>
      <c r="F18" s="96"/>
      <c r="G18" s="87"/>
      <c r="H18" s="87"/>
    </row>
    <row r="19" spans="2:8">
      <c r="B19" s="87"/>
      <c r="C19" s="92"/>
      <c r="D19" s="92"/>
      <c r="E19" s="92"/>
      <c r="F19" s="87"/>
      <c r="G19" s="87"/>
      <c r="H19" s="87"/>
    </row>
    <row r="20" spans="2:8" ht="15" customHeight="1">
      <c r="B20" s="87"/>
      <c r="C20" s="93" t="s">
        <v>125</v>
      </c>
      <c r="D20" s="93"/>
      <c r="E20" s="93"/>
      <c r="F20" s="93"/>
      <c r="G20" s="87"/>
      <c r="H20" s="87"/>
    </row>
    <row r="21" spans="2:8" ht="15.75" thickBot="1">
      <c r="B21" s="87"/>
      <c r="C21" s="87"/>
      <c r="D21" s="87"/>
      <c r="E21" s="87"/>
      <c r="F21" s="87"/>
      <c r="G21" s="87"/>
      <c r="H21" s="87"/>
    </row>
    <row r="22" spans="2:8" ht="18.75" thickBot="1">
      <c r="B22" s="131"/>
      <c r="C22" s="132"/>
      <c r="D22" s="132"/>
      <c r="E22" s="132"/>
      <c r="F22" s="132"/>
      <c r="G22" s="87"/>
      <c r="H22" s="87"/>
    </row>
  </sheetData>
  <sheetProtection sheet="1" objects="1" scenarios="1"/>
  <mergeCells count="11">
    <mergeCell ref="B2:F2"/>
    <mergeCell ref="B3:F3"/>
    <mergeCell ref="B4:F4"/>
    <mergeCell ref="B22:F22"/>
    <mergeCell ref="B9:F9"/>
    <mergeCell ref="C12:F12"/>
    <mergeCell ref="C13:F13"/>
    <mergeCell ref="C15:F15"/>
    <mergeCell ref="C18:E18"/>
    <mergeCell ref="C14:F14"/>
    <mergeCell ref="C16:F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39DE1-EC02-4A9F-A659-C45164D121B8}">
  <dimension ref="A1:I33"/>
  <sheetViews>
    <sheetView showGridLines="0" workbookViewId="0">
      <selection activeCell="E24" sqref="E24"/>
    </sheetView>
  </sheetViews>
  <sheetFormatPr defaultColWidth="0" defaultRowHeight="15" zeroHeight="1"/>
  <cols>
    <col min="1" max="1" width="16.7109375" bestFit="1" customWidth="1"/>
    <col min="2" max="2" width="29.28515625" bestFit="1" customWidth="1"/>
    <col min="3" max="3" width="19.42578125" bestFit="1" customWidth="1"/>
    <col min="4" max="4" width="13.5703125" bestFit="1" customWidth="1"/>
    <col min="5" max="5" width="18.42578125" bestFit="1" customWidth="1"/>
    <col min="6" max="6" width="35" bestFit="1" customWidth="1"/>
    <col min="7" max="7" width="26.140625" bestFit="1" customWidth="1"/>
    <col min="8" max="8" width="13.5703125" bestFit="1" customWidth="1"/>
    <col min="9" max="9" width="9.140625" customWidth="1"/>
    <col min="10" max="16384" width="9.140625" hidden="1"/>
  </cols>
  <sheetData>
    <row r="1" spans="1:8">
      <c r="A1" s="138" t="s">
        <v>51</v>
      </c>
      <c r="B1" s="139"/>
      <c r="C1" s="139"/>
      <c r="D1" s="139"/>
      <c r="E1" s="139"/>
      <c r="F1" s="139"/>
      <c r="G1" s="139"/>
      <c r="H1" s="140"/>
    </row>
    <row r="2" spans="1:8">
      <c r="A2" s="38"/>
      <c r="B2" s="36"/>
      <c r="C2" s="36"/>
      <c r="D2" s="37"/>
      <c r="E2" s="39"/>
      <c r="F2" s="39"/>
      <c r="G2" s="39"/>
      <c r="H2" s="40"/>
    </row>
    <row r="3" spans="1:8" ht="24" customHeight="1">
      <c r="A3" s="146" t="s">
        <v>48</v>
      </c>
      <c r="B3" s="147"/>
      <c r="C3" s="147"/>
      <c r="D3" s="147"/>
      <c r="E3" s="147"/>
      <c r="F3" s="147"/>
      <c r="G3" s="147"/>
      <c r="H3" s="148"/>
    </row>
    <row r="4" spans="1:8">
      <c r="A4" s="41" t="s">
        <v>49</v>
      </c>
      <c r="B4" s="26" t="s">
        <v>50</v>
      </c>
      <c r="C4" s="26" t="s">
        <v>9</v>
      </c>
      <c r="D4" s="51" t="s">
        <v>81</v>
      </c>
      <c r="E4" s="34" t="s">
        <v>49</v>
      </c>
      <c r="F4" s="26" t="s">
        <v>50</v>
      </c>
      <c r="G4" s="26" t="s">
        <v>9</v>
      </c>
      <c r="H4" s="42" t="s">
        <v>81</v>
      </c>
    </row>
    <row r="5" spans="1:8">
      <c r="A5" s="43" t="s">
        <v>61</v>
      </c>
      <c r="B5" s="136" t="s">
        <v>52</v>
      </c>
      <c r="C5" s="137"/>
      <c r="D5" s="137"/>
      <c r="E5" s="27" t="s">
        <v>62</v>
      </c>
      <c r="F5" s="136" t="s">
        <v>63</v>
      </c>
      <c r="G5" s="137"/>
      <c r="H5" s="141"/>
    </row>
    <row r="6" spans="1:8">
      <c r="A6" s="44"/>
      <c r="B6" s="32" t="s">
        <v>5</v>
      </c>
      <c r="C6" s="30" t="s">
        <v>67</v>
      </c>
      <c r="D6" s="31">
        <v>9</v>
      </c>
      <c r="E6" s="29"/>
      <c r="F6" s="32" t="s">
        <v>79</v>
      </c>
      <c r="G6" s="30" t="s">
        <v>80</v>
      </c>
      <c r="H6" s="45">
        <v>35</v>
      </c>
    </row>
    <row r="7" spans="1:8">
      <c r="A7" s="44"/>
      <c r="B7" s="32" t="s">
        <v>57</v>
      </c>
      <c r="C7" s="30" t="s">
        <v>58</v>
      </c>
      <c r="D7" s="53">
        <v>90</v>
      </c>
      <c r="E7" s="29"/>
      <c r="F7" s="136" t="s">
        <v>64</v>
      </c>
      <c r="G7" s="137"/>
      <c r="H7" s="142"/>
    </row>
    <row r="8" spans="1:8">
      <c r="A8" s="44"/>
      <c r="B8" s="32" t="s">
        <v>53</v>
      </c>
      <c r="C8" s="30" t="s">
        <v>56</v>
      </c>
      <c r="D8" s="35">
        <v>0.85</v>
      </c>
      <c r="E8" s="29"/>
      <c r="F8" s="32" t="s">
        <v>29</v>
      </c>
      <c r="G8" s="30" t="s">
        <v>82</v>
      </c>
      <c r="H8" s="54">
        <v>5</v>
      </c>
    </row>
    <row r="9" spans="1:8">
      <c r="A9" s="44"/>
      <c r="B9" s="32" t="s">
        <v>54</v>
      </c>
      <c r="C9" s="30" t="s">
        <v>56</v>
      </c>
      <c r="D9" s="35">
        <v>0.5</v>
      </c>
      <c r="E9" s="29"/>
      <c r="F9" s="32" t="s">
        <v>83</v>
      </c>
      <c r="G9" s="30" t="s">
        <v>30</v>
      </c>
      <c r="H9" s="54">
        <v>12</v>
      </c>
    </row>
    <row r="10" spans="1:8">
      <c r="A10" s="44"/>
      <c r="B10" s="32" t="s">
        <v>55</v>
      </c>
      <c r="C10" s="30" t="s">
        <v>56</v>
      </c>
      <c r="D10" s="35">
        <v>0.15</v>
      </c>
      <c r="E10" s="29"/>
      <c r="F10" s="32" t="s">
        <v>84</v>
      </c>
      <c r="G10" s="30" t="s">
        <v>56</v>
      </c>
      <c r="H10" s="55">
        <v>0.7</v>
      </c>
    </row>
    <row r="11" spans="1:8">
      <c r="A11" s="44"/>
      <c r="B11" s="32" t="s">
        <v>105</v>
      </c>
      <c r="C11" s="30" t="s">
        <v>56</v>
      </c>
      <c r="D11" s="55">
        <v>0.1</v>
      </c>
      <c r="E11" s="29"/>
      <c r="F11" s="32" t="s">
        <v>85</v>
      </c>
      <c r="G11" s="30" t="s">
        <v>88</v>
      </c>
      <c r="H11" s="54">
        <v>3</v>
      </c>
    </row>
    <row r="12" spans="1:8">
      <c r="A12" s="44"/>
      <c r="B12" s="32" t="s">
        <v>106</v>
      </c>
      <c r="C12" s="30" t="s">
        <v>56</v>
      </c>
      <c r="D12" s="35">
        <v>0.2</v>
      </c>
      <c r="E12" s="29"/>
      <c r="F12" s="32" t="s">
        <v>32</v>
      </c>
      <c r="G12" s="30" t="s">
        <v>66</v>
      </c>
      <c r="H12" s="56">
        <v>75</v>
      </c>
    </row>
    <row r="13" spans="1:8">
      <c r="A13" s="44"/>
      <c r="B13" s="136" t="s">
        <v>59</v>
      </c>
      <c r="C13" s="137"/>
      <c r="D13" s="137"/>
      <c r="E13" s="29"/>
      <c r="F13" s="32" t="s">
        <v>86</v>
      </c>
      <c r="G13" s="30" t="s">
        <v>87</v>
      </c>
      <c r="H13" s="55">
        <v>0.25</v>
      </c>
    </row>
    <row r="14" spans="1:8">
      <c r="A14" s="44"/>
      <c r="B14" s="32" t="s">
        <v>5</v>
      </c>
      <c r="C14" s="30" t="s">
        <v>67</v>
      </c>
      <c r="D14" s="31">
        <v>11.25</v>
      </c>
      <c r="E14" s="29"/>
      <c r="F14" s="32" t="s">
        <v>94</v>
      </c>
      <c r="G14" s="30" t="s">
        <v>77</v>
      </c>
      <c r="H14" s="58">
        <v>95000</v>
      </c>
    </row>
    <row r="15" spans="1:8">
      <c r="A15" s="44"/>
      <c r="B15" s="32" t="s">
        <v>57</v>
      </c>
      <c r="C15" s="30" t="s">
        <v>58</v>
      </c>
      <c r="D15" s="53">
        <v>70</v>
      </c>
      <c r="E15" s="29"/>
      <c r="F15" s="32" t="s">
        <v>95</v>
      </c>
      <c r="G15" s="30" t="s">
        <v>77</v>
      </c>
      <c r="H15" s="58">
        <v>12500</v>
      </c>
    </row>
    <row r="16" spans="1:8">
      <c r="A16" s="44"/>
      <c r="B16" s="32" t="s">
        <v>53</v>
      </c>
      <c r="C16" s="30" t="s">
        <v>56</v>
      </c>
      <c r="D16" s="35">
        <v>0.9</v>
      </c>
      <c r="E16" s="29"/>
      <c r="F16" s="33" t="s">
        <v>92</v>
      </c>
      <c r="G16" s="28" t="s">
        <v>93</v>
      </c>
      <c r="H16" s="57">
        <v>0.33</v>
      </c>
    </row>
    <row r="17" spans="1:8">
      <c r="A17" s="44"/>
      <c r="B17" s="32" t="s">
        <v>54</v>
      </c>
      <c r="C17" s="30" t="s">
        <v>56</v>
      </c>
      <c r="D17" s="35">
        <v>0.4</v>
      </c>
      <c r="E17" s="29"/>
      <c r="F17" s="143" t="s">
        <v>65</v>
      </c>
      <c r="G17" s="144"/>
      <c r="H17" s="145"/>
    </row>
    <row r="18" spans="1:8">
      <c r="A18" s="44"/>
      <c r="B18" s="32" t="s">
        <v>55</v>
      </c>
      <c r="C18" s="30" t="s">
        <v>56</v>
      </c>
      <c r="D18" s="35">
        <v>0.5</v>
      </c>
      <c r="E18" s="29"/>
      <c r="F18" s="32" t="s">
        <v>13</v>
      </c>
      <c r="G18" s="30" t="s">
        <v>66</v>
      </c>
      <c r="H18" s="45">
        <v>17.920000000000002</v>
      </c>
    </row>
    <row r="19" spans="1:8">
      <c r="A19" s="44"/>
      <c r="B19" s="32" t="s">
        <v>105</v>
      </c>
      <c r="C19" s="30" t="s">
        <v>56</v>
      </c>
      <c r="D19" s="55">
        <v>0.2</v>
      </c>
      <c r="E19" s="29"/>
      <c r="F19" s="32" t="s">
        <v>31</v>
      </c>
      <c r="G19" s="30" t="s">
        <v>75</v>
      </c>
      <c r="H19" s="48">
        <v>4</v>
      </c>
    </row>
    <row r="20" spans="1:8">
      <c r="A20" s="44"/>
      <c r="B20" s="32" t="s">
        <v>106</v>
      </c>
      <c r="C20" s="30" t="s">
        <v>56</v>
      </c>
      <c r="D20" s="35">
        <v>0.1</v>
      </c>
      <c r="E20" s="29"/>
      <c r="F20" s="32" t="s">
        <v>89</v>
      </c>
      <c r="G20" s="30" t="s">
        <v>90</v>
      </c>
      <c r="H20" s="47">
        <v>0.25</v>
      </c>
    </row>
    <row r="21" spans="1:8">
      <c r="A21" s="44"/>
      <c r="B21" s="136" t="s">
        <v>60</v>
      </c>
      <c r="C21" s="137"/>
      <c r="D21" s="137"/>
      <c r="E21" s="29"/>
      <c r="F21" s="32" t="s">
        <v>34</v>
      </c>
      <c r="G21" s="30" t="s">
        <v>76</v>
      </c>
      <c r="H21" s="45">
        <v>0.11</v>
      </c>
    </row>
    <row r="22" spans="1:8">
      <c r="A22" s="44"/>
      <c r="B22" s="32" t="s">
        <v>5</v>
      </c>
      <c r="C22" s="30" t="s">
        <v>67</v>
      </c>
      <c r="D22" s="31">
        <v>19.5</v>
      </c>
      <c r="E22" s="29"/>
      <c r="F22" s="32" t="s">
        <v>33</v>
      </c>
      <c r="G22" s="30" t="s">
        <v>17</v>
      </c>
      <c r="H22" s="48">
        <v>125</v>
      </c>
    </row>
    <row r="23" spans="1:8">
      <c r="A23" s="44"/>
      <c r="B23" s="32" t="s">
        <v>57</v>
      </c>
      <c r="C23" s="30" t="s">
        <v>58</v>
      </c>
      <c r="D23" s="53">
        <v>65</v>
      </c>
      <c r="E23" s="29"/>
      <c r="F23" s="32" t="s">
        <v>68</v>
      </c>
      <c r="G23" s="30" t="s">
        <v>77</v>
      </c>
      <c r="H23" s="45">
        <v>15000</v>
      </c>
    </row>
    <row r="24" spans="1:8">
      <c r="A24" s="44"/>
      <c r="B24" s="32" t="s">
        <v>53</v>
      </c>
      <c r="C24" s="30" t="s">
        <v>56</v>
      </c>
      <c r="D24" s="35">
        <v>0.8</v>
      </c>
      <c r="E24" s="29"/>
      <c r="F24" s="32" t="s">
        <v>35</v>
      </c>
      <c r="G24" s="30" t="s">
        <v>77</v>
      </c>
      <c r="H24" s="45">
        <v>5000</v>
      </c>
    </row>
    <row r="25" spans="1:8">
      <c r="A25" s="44"/>
      <c r="B25" s="32" t="s">
        <v>54</v>
      </c>
      <c r="C25" s="30" t="s">
        <v>56</v>
      </c>
      <c r="D25" s="35">
        <v>0.55000000000000004</v>
      </c>
      <c r="E25" s="29"/>
      <c r="F25" s="32" t="s">
        <v>46</v>
      </c>
      <c r="G25" s="30" t="s">
        <v>47</v>
      </c>
      <c r="H25" s="48">
        <v>25</v>
      </c>
    </row>
    <row r="26" spans="1:8">
      <c r="A26" s="44"/>
      <c r="B26" s="32" t="s">
        <v>55</v>
      </c>
      <c r="C26" s="30" t="s">
        <v>56</v>
      </c>
      <c r="D26" s="35">
        <v>0.25</v>
      </c>
      <c r="E26" s="29"/>
      <c r="F26" s="32" t="s">
        <v>69</v>
      </c>
      <c r="G26" s="30" t="s">
        <v>78</v>
      </c>
      <c r="H26" s="46">
        <v>0.05</v>
      </c>
    </row>
    <row r="27" spans="1:8">
      <c r="A27" s="44"/>
      <c r="B27" s="32" t="s">
        <v>105</v>
      </c>
      <c r="C27" s="30" t="s">
        <v>56</v>
      </c>
      <c r="D27" s="55">
        <v>0.15</v>
      </c>
      <c r="E27" s="65"/>
      <c r="F27" s="32" t="s">
        <v>98</v>
      </c>
      <c r="G27" s="30" t="s">
        <v>78</v>
      </c>
      <c r="H27" s="46">
        <v>0.2</v>
      </c>
    </row>
    <row r="28" spans="1:8">
      <c r="A28" s="52"/>
      <c r="B28" s="33" t="s">
        <v>106</v>
      </c>
      <c r="C28" s="28" t="s">
        <v>56</v>
      </c>
      <c r="D28" s="57">
        <v>0.4</v>
      </c>
      <c r="E28" s="66"/>
      <c r="F28" s="32" t="s">
        <v>45</v>
      </c>
      <c r="G28" t="s">
        <v>72</v>
      </c>
      <c r="H28" s="60">
        <v>7.0000000000000007E-2</v>
      </c>
    </row>
    <row r="29" spans="1:8">
      <c r="A29" s="99" t="s">
        <v>103</v>
      </c>
      <c r="B29" s="97" t="s">
        <v>19</v>
      </c>
      <c r="C29" s="98" t="s">
        <v>102</v>
      </c>
      <c r="D29" s="100">
        <v>0.1</v>
      </c>
      <c r="E29" s="101"/>
      <c r="F29" s="32" t="s">
        <v>70</v>
      </c>
      <c r="G29" t="s">
        <v>71</v>
      </c>
      <c r="H29" s="60">
        <v>0.5</v>
      </c>
    </row>
    <row r="30" spans="1:8" ht="15.75" thickBot="1">
      <c r="A30" s="63"/>
      <c r="B30" s="102"/>
      <c r="C30" s="103"/>
      <c r="D30" s="105"/>
      <c r="E30" s="104"/>
      <c r="F30" s="50" t="s">
        <v>73</v>
      </c>
      <c r="G30" s="49" t="s">
        <v>74</v>
      </c>
      <c r="H30" s="61">
        <v>40</v>
      </c>
    </row>
    <row r="31" spans="1:8"/>
    <row r="32" spans="1:8"/>
    <row r="33"/>
  </sheetData>
  <sheetProtection sheet="1" objects="1" scenarios="1"/>
  <protectedRanges>
    <protectedRange sqref="D6:D12 D14:D20 D22:D30 H6 H8:H16 H18:H30" name="Grey cells"/>
  </protectedRanges>
  <mergeCells count="8">
    <mergeCell ref="B21:D21"/>
    <mergeCell ref="A1:H1"/>
    <mergeCell ref="F5:H5"/>
    <mergeCell ref="F7:H7"/>
    <mergeCell ref="F17:H17"/>
    <mergeCell ref="A3:H3"/>
    <mergeCell ref="B5:D5"/>
    <mergeCell ref="B13:D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79F4C-C552-4475-ABD7-E1611482B5C9}">
  <dimension ref="A1:X27"/>
  <sheetViews>
    <sheetView showGridLines="0" workbookViewId="0">
      <selection activeCell="G23" sqref="G23"/>
    </sheetView>
  </sheetViews>
  <sheetFormatPr defaultColWidth="0" defaultRowHeight="14.25" zeroHeight="1"/>
  <cols>
    <col min="1" max="1" width="9.140625" style="1" customWidth="1"/>
    <col min="2" max="2" width="26.85546875" style="1" customWidth="1"/>
    <col min="3" max="3" width="13.42578125" style="1" customWidth="1"/>
    <col min="4" max="4" width="17.140625" style="1" bestFit="1" customWidth="1"/>
    <col min="5" max="5" width="22" style="1" customWidth="1"/>
    <col min="6" max="6" width="22.140625" style="1" customWidth="1"/>
    <col min="7" max="7" width="19.42578125" style="1" customWidth="1"/>
    <col min="8" max="8" width="17.140625" style="1" bestFit="1" customWidth="1"/>
    <col min="9" max="9" width="9.140625" style="1" customWidth="1"/>
    <col min="10" max="10" width="14.85546875" style="1" customWidth="1"/>
    <col min="11" max="11" width="16.140625" style="1" customWidth="1"/>
    <col min="12" max="12" width="14.85546875" style="1" bestFit="1" customWidth="1"/>
    <col min="13" max="13" width="11.85546875" style="1" customWidth="1"/>
    <col min="14" max="14" width="13.85546875" style="1" customWidth="1"/>
    <col min="15" max="15" width="15.28515625" style="1" customWidth="1"/>
    <col min="16" max="16" width="14.85546875" style="1" bestFit="1" customWidth="1"/>
    <col min="17" max="17" width="9.140625" style="1" customWidth="1"/>
    <col min="18" max="22" width="9.140625" style="1" hidden="1" customWidth="1"/>
    <col min="23" max="23" width="23" style="1" hidden="1" customWidth="1"/>
    <col min="24" max="24" width="11.140625" style="1" hidden="1" customWidth="1"/>
    <col min="25" max="16384" width="9.140625" style="1" hidden="1"/>
  </cols>
  <sheetData>
    <row r="1" spans="2:23" ht="15" customHeight="1">
      <c r="B1" s="164" t="s">
        <v>113</v>
      </c>
      <c r="C1" s="165"/>
      <c r="D1" s="165"/>
      <c r="E1" s="165"/>
      <c r="F1" s="165"/>
      <c r="G1" s="166"/>
      <c r="H1" s="74"/>
      <c r="I1" s="149" t="s">
        <v>0</v>
      </c>
      <c r="J1" s="150"/>
      <c r="K1" s="150"/>
      <c r="L1" s="150"/>
      <c r="M1" s="150"/>
      <c r="N1" s="150"/>
      <c r="O1" s="151"/>
    </row>
    <row r="2" spans="2:23">
      <c r="B2" s="160"/>
      <c r="C2" s="161"/>
      <c r="D2" s="122" t="s">
        <v>9</v>
      </c>
      <c r="E2" s="122" t="s">
        <v>114</v>
      </c>
      <c r="F2" s="122" t="s">
        <v>11</v>
      </c>
      <c r="G2" s="123" t="s">
        <v>12</v>
      </c>
      <c r="H2" s="75"/>
      <c r="I2" s="2"/>
      <c r="J2" s="3"/>
      <c r="K2" s="152" t="s">
        <v>3</v>
      </c>
      <c r="L2" s="153"/>
      <c r="M2" s="153"/>
      <c r="N2" s="153"/>
      <c r="O2" s="154"/>
    </row>
    <row r="3" spans="2:23" ht="15" thickBot="1">
      <c r="B3" s="162" t="s">
        <v>116</v>
      </c>
      <c r="C3" s="163"/>
      <c r="D3" s="19" t="s">
        <v>115</v>
      </c>
      <c r="E3" s="120">
        <f>M3</f>
        <v>49.725000000000001</v>
      </c>
      <c r="F3" s="76">
        <f>J6</f>
        <v>5.04</v>
      </c>
      <c r="G3" s="121">
        <f>E3*F3</f>
        <v>250.614</v>
      </c>
      <c r="H3" s="72"/>
      <c r="I3" s="2"/>
      <c r="J3" s="3"/>
      <c r="K3" s="5">
        <f>'Input assumptions'!D7*'Input assumptions'!D8*('Input assumptions'!D9+'Input assumptions'!D10)*0.7</f>
        <v>34.807499999999997</v>
      </c>
      <c r="L3" s="5">
        <f>'Input assumptions'!D7*'Input assumptions'!D8*('Input assumptions'!D9+'Input assumptions'!D10)*0.85</f>
        <v>42.266249999999999</v>
      </c>
      <c r="M3" s="5">
        <f>'Input assumptions'!D7*'Input assumptions'!D8*('Input assumptions'!D9+'Input assumptions'!D10)</f>
        <v>49.725000000000001</v>
      </c>
      <c r="N3" s="5">
        <f>'Input assumptions'!D7*'Input assumptions'!D8*('Input assumptions'!D9+'Input assumptions'!D10)*1.15</f>
        <v>57.183749999999996</v>
      </c>
      <c r="O3" s="6">
        <f>'Input assumptions'!D7*'Input assumptions'!D8*('Input assumptions'!D9+'Input assumptions'!D10)*1.3</f>
        <v>64.642499999999998</v>
      </c>
      <c r="V3" s="1" t="s">
        <v>104</v>
      </c>
      <c r="W3" s="69">
        <f>O8</f>
        <v>465.42599999999999</v>
      </c>
    </row>
    <row r="4" spans="2:23" ht="15" customHeight="1">
      <c r="B4" s="78"/>
      <c r="C4" s="25"/>
      <c r="D4" s="124"/>
      <c r="E4" s="13"/>
      <c r="F4" s="18"/>
      <c r="G4" s="77"/>
      <c r="H4" s="72"/>
      <c r="I4" s="155" t="s">
        <v>4</v>
      </c>
      <c r="J4" s="7">
        <f>J8*0.4</f>
        <v>2.8800000000000003</v>
      </c>
      <c r="K4" s="106">
        <f t="shared" ref="K4:O8" si="0">$J4*K$3</f>
        <v>100.24560000000001</v>
      </c>
      <c r="L4" s="106">
        <f t="shared" si="0"/>
        <v>121.72680000000001</v>
      </c>
      <c r="M4" s="106">
        <f t="shared" si="0"/>
        <v>143.20800000000003</v>
      </c>
      <c r="N4" s="106">
        <f t="shared" si="0"/>
        <v>164.6892</v>
      </c>
      <c r="O4" s="107">
        <f t="shared" si="0"/>
        <v>186.17040000000003</v>
      </c>
      <c r="V4" s="1" t="s">
        <v>109</v>
      </c>
      <c r="W4" s="69">
        <f>N7</f>
        <v>349.96454999999997</v>
      </c>
    </row>
    <row r="5" spans="2:23">
      <c r="B5" s="80"/>
      <c r="C5" s="119"/>
      <c r="D5" s="79"/>
      <c r="E5" s="18"/>
      <c r="G5" s="81"/>
      <c r="H5" s="72"/>
      <c r="I5" s="156"/>
      <c r="J5" s="7">
        <f>J8*0.55</f>
        <v>3.9600000000000004</v>
      </c>
      <c r="K5" s="106">
        <f t="shared" si="0"/>
        <v>137.83770000000001</v>
      </c>
      <c r="L5" s="106">
        <f t="shared" si="0"/>
        <v>167.37435000000002</v>
      </c>
      <c r="M5" s="106">
        <f t="shared" si="0"/>
        <v>196.91100000000003</v>
      </c>
      <c r="N5" s="106">
        <f t="shared" si="0"/>
        <v>226.44765000000001</v>
      </c>
      <c r="O5" s="107">
        <f t="shared" si="0"/>
        <v>255.98430000000002</v>
      </c>
      <c r="V5" s="1" t="s">
        <v>107</v>
      </c>
      <c r="W5" s="69">
        <f>M6</f>
        <v>250.614</v>
      </c>
    </row>
    <row r="6" spans="2:23">
      <c r="B6" s="169" t="s">
        <v>117</v>
      </c>
      <c r="C6" s="170"/>
      <c r="D6" s="171"/>
      <c r="E6" s="169" t="s">
        <v>118</v>
      </c>
      <c r="F6" s="170"/>
      <c r="G6" s="171"/>
      <c r="H6" s="72"/>
      <c r="I6" s="156"/>
      <c r="J6" s="7">
        <f>J8*0.7</f>
        <v>5.04</v>
      </c>
      <c r="K6" s="106">
        <f t="shared" si="0"/>
        <v>175.4298</v>
      </c>
      <c r="L6" s="106">
        <f t="shared" si="0"/>
        <v>213.02189999999999</v>
      </c>
      <c r="M6" s="108">
        <f t="shared" si="0"/>
        <v>250.614</v>
      </c>
      <c r="N6" s="106">
        <f t="shared" si="0"/>
        <v>288.20609999999999</v>
      </c>
      <c r="O6" s="107">
        <f t="shared" si="0"/>
        <v>325.79820000000001</v>
      </c>
      <c r="V6" s="1" t="s">
        <v>110</v>
      </c>
      <c r="W6" s="69">
        <f>L5</f>
        <v>167.37435000000002</v>
      </c>
    </row>
    <row r="7" spans="2:23">
      <c r="B7" s="158"/>
      <c r="C7" s="159"/>
      <c r="D7" s="64" t="s">
        <v>12</v>
      </c>
      <c r="E7" s="158"/>
      <c r="F7" s="159"/>
      <c r="G7" s="64" t="s">
        <v>12</v>
      </c>
      <c r="H7" s="72"/>
      <c r="I7" s="156"/>
      <c r="J7" s="7">
        <f>J8*0.85</f>
        <v>6.12</v>
      </c>
      <c r="K7" s="106">
        <f t="shared" si="0"/>
        <v>213.02189999999999</v>
      </c>
      <c r="L7" s="106">
        <f t="shared" si="0"/>
        <v>258.66944999999998</v>
      </c>
      <c r="M7" s="106">
        <f t="shared" si="0"/>
        <v>304.31700000000001</v>
      </c>
      <c r="N7" s="106">
        <f t="shared" si="0"/>
        <v>349.96454999999997</v>
      </c>
      <c r="O7" s="107">
        <f t="shared" si="0"/>
        <v>395.6121</v>
      </c>
      <c r="V7" s="1" t="s">
        <v>108</v>
      </c>
      <c r="W7" s="69">
        <f>K4</f>
        <v>100.24560000000001</v>
      </c>
    </row>
    <row r="8" spans="2:23" ht="15" thickBot="1">
      <c r="B8" s="167" t="s">
        <v>91</v>
      </c>
      <c r="C8" s="168"/>
      <c r="D8" s="68">
        <f>'Harvesting cost'!H4</f>
        <v>17.920000000000002</v>
      </c>
      <c r="E8" s="172" t="s">
        <v>91</v>
      </c>
      <c r="F8" s="173"/>
      <c r="G8" s="68">
        <f>'Harvesting cost'!P4</f>
        <v>17.920000000000002</v>
      </c>
      <c r="H8" s="72"/>
      <c r="I8" s="157"/>
      <c r="J8" s="8">
        <f>'Input assumptions'!D6*0.8</f>
        <v>7.2</v>
      </c>
      <c r="K8" s="109">
        <f t="shared" si="0"/>
        <v>250.61399999999998</v>
      </c>
      <c r="L8" s="109">
        <f t="shared" si="0"/>
        <v>304.31700000000001</v>
      </c>
      <c r="M8" s="109">
        <f t="shared" si="0"/>
        <v>358.02000000000004</v>
      </c>
      <c r="N8" s="109">
        <f t="shared" si="0"/>
        <v>411.72299999999996</v>
      </c>
      <c r="O8" s="110">
        <f t="shared" si="0"/>
        <v>465.42599999999999</v>
      </c>
      <c r="V8" s="70" t="s">
        <v>111</v>
      </c>
      <c r="W8" s="71" t="s">
        <v>112</v>
      </c>
    </row>
    <row r="9" spans="2:23">
      <c r="B9" s="167" t="s">
        <v>97</v>
      </c>
      <c r="C9" s="168"/>
      <c r="D9" s="68">
        <f>'Harvesting cost'!H5</f>
        <v>11.049107142857142</v>
      </c>
      <c r="E9" s="167" t="s">
        <v>97</v>
      </c>
      <c r="F9" s="168"/>
      <c r="G9" s="68">
        <f>'Harvesting cost'!P5</f>
        <v>35</v>
      </c>
      <c r="H9" s="73"/>
    </row>
    <row r="10" spans="2:23">
      <c r="B10" s="167" t="s">
        <v>16</v>
      </c>
      <c r="C10" s="168"/>
      <c r="D10" s="68">
        <f>'Harvesting cost'!H6</f>
        <v>13.75</v>
      </c>
      <c r="E10" s="167" t="s">
        <v>16</v>
      </c>
      <c r="F10" s="168"/>
      <c r="G10" s="68">
        <f>'Harvesting cost'!P6</f>
        <v>13.75</v>
      </c>
      <c r="H10" s="72"/>
    </row>
    <row r="11" spans="2:23">
      <c r="B11" s="167" t="s">
        <v>18</v>
      </c>
      <c r="C11" s="168"/>
      <c r="D11" s="68">
        <f>'Harvesting cost'!H7</f>
        <v>25</v>
      </c>
      <c r="E11" s="167" t="s">
        <v>18</v>
      </c>
      <c r="F11" s="168"/>
      <c r="G11" s="68">
        <f>'Harvesting cost'!P7</f>
        <v>25</v>
      </c>
      <c r="H11" s="72"/>
    </row>
    <row r="12" spans="2:23">
      <c r="B12" s="162" t="s">
        <v>20</v>
      </c>
      <c r="C12" s="163"/>
      <c r="D12" s="82">
        <f>'Harvesting cost'!H8</f>
        <v>2.3701687499999999</v>
      </c>
      <c r="E12" s="162" t="s">
        <v>20</v>
      </c>
      <c r="F12" s="163"/>
      <c r="G12" s="82">
        <f>'Harvesting cost'!P8</f>
        <v>3.2084500000000005</v>
      </c>
      <c r="H12" s="72"/>
    </row>
    <row r="13" spans="2:23">
      <c r="B13" s="180" t="s">
        <v>22</v>
      </c>
      <c r="C13" s="181"/>
      <c r="D13" s="82">
        <f>'Harvesting cost'!H9</f>
        <v>67.719107142857141</v>
      </c>
      <c r="E13" s="174" t="s">
        <v>22</v>
      </c>
      <c r="F13" s="175"/>
      <c r="G13" s="82">
        <f>'Harvesting cost'!P9</f>
        <v>94.878450000000001</v>
      </c>
      <c r="H13" s="72"/>
    </row>
    <row r="14" spans="2:23" ht="14.25" customHeight="1">
      <c r="B14" s="10"/>
      <c r="D14" s="79"/>
      <c r="E14" s="10"/>
      <c r="G14" s="79"/>
      <c r="H14" s="72"/>
    </row>
    <row r="15" spans="2:23">
      <c r="B15" s="176" t="s">
        <v>23</v>
      </c>
      <c r="C15" s="177"/>
      <c r="D15" s="79"/>
      <c r="E15" s="176" t="s">
        <v>23</v>
      </c>
      <c r="F15" s="177"/>
      <c r="G15" s="79"/>
      <c r="H15" s="73"/>
    </row>
    <row r="16" spans="2:23">
      <c r="B16" s="78" t="s">
        <v>24</v>
      </c>
      <c r="C16" s="25"/>
      <c r="D16" s="68">
        <f>'Harvesting cost'!H12</f>
        <v>30.0703125</v>
      </c>
      <c r="E16" s="78" t="s">
        <v>24</v>
      </c>
      <c r="F16" s="25"/>
      <c r="G16" s="68">
        <f>'Harvesting cost'!P12</f>
        <v>17.500000000000004</v>
      </c>
      <c r="H16" s="73"/>
    </row>
    <row r="17" spans="2:7">
      <c r="B17" s="167" t="s">
        <v>26</v>
      </c>
      <c r="C17" s="168"/>
      <c r="D17" s="68">
        <f>'Harvesting cost'!H13</f>
        <v>16</v>
      </c>
      <c r="E17" s="167" t="s">
        <v>26</v>
      </c>
      <c r="F17" s="168"/>
      <c r="G17" s="68">
        <f>'Harvesting cost'!P13</f>
        <v>16</v>
      </c>
    </row>
    <row r="18" spans="2:7">
      <c r="B18" s="162" t="s">
        <v>99</v>
      </c>
      <c r="C18" s="163"/>
      <c r="D18" s="82">
        <f>'Harvesting cost'!H14</f>
        <v>6.4280340608465609</v>
      </c>
      <c r="E18" s="162"/>
      <c r="F18" s="163"/>
      <c r="G18" s="82"/>
    </row>
    <row r="19" spans="2:7">
      <c r="B19" s="178" t="s">
        <v>27</v>
      </c>
      <c r="C19" s="179"/>
      <c r="D19" s="83">
        <f>'Harvesting cost'!H15</f>
        <v>46.0703125</v>
      </c>
      <c r="E19" s="178" t="s">
        <v>27</v>
      </c>
      <c r="F19" s="179"/>
      <c r="G19" s="83">
        <f>'Harvesting cost'!P14</f>
        <v>33.5</v>
      </c>
    </row>
    <row r="20" spans="2:7">
      <c r="B20" s="184" t="s">
        <v>28</v>
      </c>
      <c r="C20" s="185"/>
      <c r="D20" s="68">
        <f>'Harvesting cost'!H16</f>
        <v>113.78941964285714</v>
      </c>
      <c r="E20" s="184" t="s">
        <v>28</v>
      </c>
      <c r="F20" s="185"/>
      <c r="G20" s="68">
        <f>'Harvesting cost'!P15</f>
        <v>128.37844999999999</v>
      </c>
    </row>
    <row r="21" spans="2:7">
      <c r="B21" s="125" t="s">
        <v>119</v>
      </c>
      <c r="C21" s="126">
        <f>'Input assumptions'!D12</f>
        <v>0.2</v>
      </c>
      <c r="D21" s="68">
        <f>G3*C21</f>
        <v>50.122800000000005</v>
      </c>
      <c r="E21" s="125" t="s">
        <v>120</v>
      </c>
      <c r="F21" s="126">
        <f>'Input assumptions'!D11</f>
        <v>0.1</v>
      </c>
      <c r="G21" s="68">
        <f>G3*F21</f>
        <v>25.061400000000003</v>
      </c>
    </row>
    <row r="22" spans="2:7">
      <c r="B22" s="125" t="s">
        <v>139</v>
      </c>
      <c r="C22" s="126">
        <f>'Input assumptions'!D29</f>
        <v>0.1</v>
      </c>
      <c r="D22" s="68">
        <f>($G$3-D21)*C22</f>
        <v>20.049120000000002</v>
      </c>
      <c r="E22" s="125" t="s">
        <v>139</v>
      </c>
      <c r="F22" s="126">
        <f>'Input assumptions'!D29</f>
        <v>0.1</v>
      </c>
      <c r="G22" s="68">
        <f>(G3-G21)*F22</f>
        <v>22.555260000000004</v>
      </c>
    </row>
    <row r="23" spans="2:7" ht="15" thickBot="1">
      <c r="B23" s="182" t="s">
        <v>138</v>
      </c>
      <c r="C23" s="183"/>
      <c r="D23" s="84">
        <f>$G$3-D13-D19-D21-D22</f>
        <v>66.652660357142835</v>
      </c>
      <c r="E23" s="182" t="s">
        <v>138</v>
      </c>
      <c r="F23" s="183"/>
      <c r="G23" s="84">
        <f>$G$3-G13-G19-G21-G22</f>
        <v>74.618889999999979</v>
      </c>
    </row>
    <row r="24" spans="2:7">
      <c r="D24" s="67"/>
    </row>
    <row r="25" spans="2:7"/>
    <row r="26" spans="2:7"/>
    <row r="27" spans="2:7"/>
  </sheetData>
  <sheetProtection sheet="1" objects="1" scenarios="1"/>
  <mergeCells count="34">
    <mergeCell ref="E23:F23"/>
    <mergeCell ref="B23:C23"/>
    <mergeCell ref="E19:F19"/>
    <mergeCell ref="E20:F20"/>
    <mergeCell ref="B17:C17"/>
    <mergeCell ref="B18:C18"/>
    <mergeCell ref="E17:F17"/>
    <mergeCell ref="E18:F18"/>
    <mergeCell ref="B20:C20"/>
    <mergeCell ref="E11:F11"/>
    <mergeCell ref="E12:F12"/>
    <mergeCell ref="E13:F13"/>
    <mergeCell ref="E15:F15"/>
    <mergeCell ref="B19:C19"/>
    <mergeCell ref="B15:C15"/>
    <mergeCell ref="B11:C11"/>
    <mergeCell ref="B12:C12"/>
    <mergeCell ref="B13:C13"/>
    <mergeCell ref="B9:C9"/>
    <mergeCell ref="B10:C10"/>
    <mergeCell ref="E6:G6"/>
    <mergeCell ref="E7:F7"/>
    <mergeCell ref="E8:F8"/>
    <mergeCell ref="E9:F9"/>
    <mergeCell ref="E10:F10"/>
    <mergeCell ref="B6:D6"/>
    <mergeCell ref="I1:O1"/>
    <mergeCell ref="K2:O2"/>
    <mergeCell ref="I4:I8"/>
    <mergeCell ref="B7:C7"/>
    <mergeCell ref="B2:C2"/>
    <mergeCell ref="B3:C3"/>
    <mergeCell ref="B1:G1"/>
    <mergeCell ref="B8:C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04C0D-04CE-4C8F-A051-08777B3A1D56}">
  <dimension ref="A1:Q26"/>
  <sheetViews>
    <sheetView showGridLines="0" workbookViewId="0">
      <selection activeCell="G22" sqref="G22"/>
    </sheetView>
  </sheetViews>
  <sheetFormatPr defaultColWidth="0" defaultRowHeight="15" zeroHeight="1"/>
  <cols>
    <col min="1" max="1" width="9.140625" customWidth="1"/>
    <col min="2" max="2" width="30" customWidth="1"/>
    <col min="3" max="3" width="10.7109375" customWidth="1"/>
    <col min="4" max="4" width="17.140625" bestFit="1" customWidth="1"/>
    <col min="5" max="5" width="23" customWidth="1"/>
    <col min="6" max="6" width="29.85546875" customWidth="1"/>
    <col min="7" max="7" width="17.140625" bestFit="1" customWidth="1"/>
    <col min="8" max="8" width="9.140625" customWidth="1"/>
    <col min="9" max="9" width="27" customWidth="1"/>
    <col min="10" max="10" width="11.140625" bestFit="1" customWidth="1"/>
    <col min="11" max="15" width="14.85546875" bestFit="1" customWidth="1"/>
    <col min="16" max="16" width="9.140625" customWidth="1"/>
    <col min="17" max="17" width="0" hidden="1" customWidth="1"/>
    <col min="18" max="16384" width="9.140625" hidden="1"/>
  </cols>
  <sheetData>
    <row r="1" spans="2:15">
      <c r="B1" s="164" t="s">
        <v>121</v>
      </c>
      <c r="C1" s="165"/>
      <c r="D1" s="165"/>
      <c r="E1" s="165"/>
      <c r="F1" s="165"/>
      <c r="G1" s="166"/>
      <c r="I1" s="149" t="s">
        <v>1</v>
      </c>
      <c r="J1" s="150"/>
      <c r="K1" s="150"/>
      <c r="L1" s="150"/>
      <c r="M1" s="150"/>
      <c r="N1" s="150"/>
      <c r="O1" s="151"/>
    </row>
    <row r="2" spans="2:15">
      <c r="B2" s="160"/>
      <c r="C2" s="161"/>
      <c r="D2" s="122" t="s">
        <v>9</v>
      </c>
      <c r="E2" s="122" t="s">
        <v>114</v>
      </c>
      <c r="F2" s="122" t="s">
        <v>11</v>
      </c>
      <c r="G2" s="123" t="s">
        <v>12</v>
      </c>
      <c r="I2" s="2"/>
      <c r="J2" s="3"/>
      <c r="K2" s="152" t="s">
        <v>3</v>
      </c>
      <c r="L2" s="153"/>
      <c r="M2" s="153"/>
      <c r="N2" s="153"/>
      <c r="O2" s="154"/>
    </row>
    <row r="3" spans="2:15" ht="15.75" thickBot="1">
      <c r="B3" s="162" t="s">
        <v>116</v>
      </c>
      <c r="C3" s="163"/>
      <c r="D3" s="19" t="s">
        <v>115</v>
      </c>
      <c r="E3" s="120">
        <f>M3</f>
        <v>56.7</v>
      </c>
      <c r="F3" s="76">
        <f>J6</f>
        <v>6.3</v>
      </c>
      <c r="G3" s="121">
        <f>E3*F3</f>
        <v>357.21</v>
      </c>
      <c r="I3" s="2"/>
      <c r="J3" s="3"/>
      <c r="K3" s="116">
        <f>'Input assumptions'!D15*'Input assumptions'!D16*('Input assumptions'!D17+'Input assumptions'!D18)*0.7</f>
        <v>39.69</v>
      </c>
      <c r="L3" s="116">
        <f>'Input assumptions'!D15*'Input assumptions'!D16*('Input assumptions'!D17+'Input assumptions'!D18)*0.85</f>
        <v>48.195</v>
      </c>
      <c r="M3" s="116">
        <f>'Input assumptions'!D15*'Input assumptions'!D16*('Input assumptions'!D17+'Input assumptions'!D18)</f>
        <v>56.7</v>
      </c>
      <c r="N3" s="116">
        <f>'Input assumptions'!D15*'Input assumptions'!D16*('Input assumptions'!D17+'Input assumptions'!D18)*1.15</f>
        <v>65.204999999999998</v>
      </c>
      <c r="O3" s="117">
        <f>'Input assumptions'!D15*'Input assumptions'!D16*('Input assumptions'!D17+'Input assumptions'!D18)*1.3</f>
        <v>73.710000000000008</v>
      </c>
    </row>
    <row r="4" spans="2:15">
      <c r="B4" s="78"/>
      <c r="C4" s="25"/>
      <c r="D4" s="124"/>
      <c r="E4" s="13"/>
      <c r="F4" s="18"/>
      <c r="G4" s="77"/>
      <c r="I4" s="155" t="s">
        <v>4</v>
      </c>
      <c r="J4" s="7">
        <f>J8*0.4</f>
        <v>3.6</v>
      </c>
      <c r="K4" s="111">
        <f>$J4*K$3</f>
        <v>142.88399999999999</v>
      </c>
      <c r="L4" s="111">
        <f t="shared" ref="L4:O8" si="0">$J4*L$3</f>
        <v>173.50200000000001</v>
      </c>
      <c r="M4" s="111">
        <f t="shared" si="0"/>
        <v>204.12</v>
      </c>
      <c r="N4" s="111">
        <f t="shared" si="0"/>
        <v>234.738</v>
      </c>
      <c r="O4" s="112">
        <f t="shared" si="0"/>
        <v>265.35600000000005</v>
      </c>
    </row>
    <row r="5" spans="2:15">
      <c r="B5" s="80"/>
      <c r="C5" s="119"/>
      <c r="D5" s="79"/>
      <c r="E5" s="18"/>
      <c r="F5" s="1"/>
      <c r="G5" s="81"/>
      <c r="I5" s="156"/>
      <c r="J5" s="7">
        <f>J8*0.55</f>
        <v>4.95</v>
      </c>
      <c r="K5" s="111">
        <f t="shared" ref="K5:K8" si="1">$J5*K$3</f>
        <v>196.46549999999999</v>
      </c>
      <c r="L5" s="111">
        <f t="shared" si="0"/>
        <v>238.56525000000002</v>
      </c>
      <c r="M5" s="111">
        <f t="shared" si="0"/>
        <v>280.66500000000002</v>
      </c>
      <c r="N5" s="111">
        <f t="shared" si="0"/>
        <v>322.76474999999999</v>
      </c>
      <c r="O5" s="112">
        <f t="shared" si="0"/>
        <v>364.86450000000008</v>
      </c>
    </row>
    <row r="6" spans="2:15">
      <c r="B6" s="169" t="s">
        <v>117</v>
      </c>
      <c r="C6" s="170"/>
      <c r="D6" s="171"/>
      <c r="E6" s="169" t="s">
        <v>118</v>
      </c>
      <c r="F6" s="170"/>
      <c r="G6" s="171"/>
      <c r="I6" s="156"/>
      <c r="J6" s="7">
        <f>J8*0.7</f>
        <v>6.3</v>
      </c>
      <c r="K6" s="111">
        <f t="shared" si="1"/>
        <v>250.04699999999997</v>
      </c>
      <c r="L6" s="111">
        <f t="shared" si="0"/>
        <v>303.62849999999997</v>
      </c>
      <c r="M6" s="113">
        <f t="shared" si="0"/>
        <v>357.21</v>
      </c>
      <c r="N6" s="111">
        <f t="shared" si="0"/>
        <v>410.79149999999998</v>
      </c>
      <c r="O6" s="112">
        <f t="shared" si="0"/>
        <v>464.37300000000005</v>
      </c>
    </row>
    <row r="7" spans="2:15">
      <c r="B7" s="158"/>
      <c r="C7" s="159"/>
      <c r="D7" s="64" t="s">
        <v>12</v>
      </c>
      <c r="E7" s="158"/>
      <c r="F7" s="159"/>
      <c r="G7" s="64" t="s">
        <v>12</v>
      </c>
      <c r="I7" s="156"/>
      <c r="J7" s="7">
        <f>J8*0.85</f>
        <v>7.6499999999999995</v>
      </c>
      <c r="K7" s="111">
        <f t="shared" si="1"/>
        <v>303.62849999999997</v>
      </c>
      <c r="L7" s="111">
        <f t="shared" si="0"/>
        <v>368.69174999999996</v>
      </c>
      <c r="M7" s="111">
        <f t="shared" si="0"/>
        <v>433.755</v>
      </c>
      <c r="N7" s="111">
        <f t="shared" si="0"/>
        <v>498.81824999999998</v>
      </c>
      <c r="O7" s="112">
        <f t="shared" si="0"/>
        <v>563.88150000000007</v>
      </c>
    </row>
    <row r="8" spans="2:15" ht="15.75" thickBot="1">
      <c r="B8" s="167" t="s">
        <v>91</v>
      </c>
      <c r="C8" s="168"/>
      <c r="D8" s="68">
        <f>'Harvesting cost'!H4</f>
        <v>17.920000000000002</v>
      </c>
      <c r="E8" s="172" t="s">
        <v>91</v>
      </c>
      <c r="F8" s="173"/>
      <c r="G8" s="68">
        <f>'Harvesting cost'!P4</f>
        <v>17.920000000000002</v>
      </c>
      <c r="I8" s="157"/>
      <c r="J8" s="8">
        <f>'Input assumptions'!D14*0.8</f>
        <v>9</v>
      </c>
      <c r="K8" s="114">
        <f t="shared" si="1"/>
        <v>357.21</v>
      </c>
      <c r="L8" s="114">
        <f t="shared" si="0"/>
        <v>433.755</v>
      </c>
      <c r="M8" s="114">
        <f t="shared" si="0"/>
        <v>510.3</v>
      </c>
      <c r="N8" s="114">
        <f t="shared" si="0"/>
        <v>586.84500000000003</v>
      </c>
      <c r="O8" s="115">
        <f t="shared" si="0"/>
        <v>663.3900000000001</v>
      </c>
    </row>
    <row r="9" spans="2:15">
      <c r="B9" s="167" t="s">
        <v>97</v>
      </c>
      <c r="C9" s="168"/>
      <c r="D9" s="68">
        <f>'Harvesting cost'!H5</f>
        <v>11.049107142857142</v>
      </c>
      <c r="E9" s="167" t="s">
        <v>97</v>
      </c>
      <c r="F9" s="168"/>
      <c r="G9" s="68">
        <f>'Harvesting cost'!P5</f>
        <v>35</v>
      </c>
    </row>
    <row r="10" spans="2:15">
      <c r="B10" s="167" t="s">
        <v>16</v>
      </c>
      <c r="C10" s="168"/>
      <c r="D10" s="68">
        <f>'Harvesting cost'!H6</f>
        <v>13.75</v>
      </c>
      <c r="E10" s="167" t="s">
        <v>16</v>
      </c>
      <c r="F10" s="168"/>
      <c r="G10" s="68">
        <f>'Harvesting cost'!P6</f>
        <v>13.75</v>
      </c>
    </row>
    <row r="11" spans="2:15">
      <c r="B11" s="167" t="s">
        <v>18</v>
      </c>
      <c r="C11" s="168"/>
      <c r="D11" s="68">
        <f>'Harvesting cost'!H7</f>
        <v>25</v>
      </c>
      <c r="E11" s="167" t="s">
        <v>18</v>
      </c>
      <c r="F11" s="168"/>
      <c r="G11" s="68">
        <f>'Harvesting cost'!P7</f>
        <v>25</v>
      </c>
    </row>
    <row r="12" spans="2:15">
      <c r="B12" s="162" t="s">
        <v>20</v>
      </c>
      <c r="C12" s="163"/>
      <c r="D12" s="82">
        <f>'Harvesting cost'!H8</f>
        <v>2.3701687499999999</v>
      </c>
      <c r="E12" s="162" t="s">
        <v>20</v>
      </c>
      <c r="F12" s="163"/>
      <c r="G12" s="82">
        <f>'Harvesting cost'!P8</f>
        <v>3.2084500000000005</v>
      </c>
    </row>
    <row r="13" spans="2:15">
      <c r="B13" s="180" t="s">
        <v>22</v>
      </c>
      <c r="C13" s="181"/>
      <c r="D13" s="82">
        <f>'Harvesting cost'!H9</f>
        <v>67.719107142857141</v>
      </c>
      <c r="E13" s="174" t="s">
        <v>22</v>
      </c>
      <c r="F13" s="175"/>
      <c r="G13" s="82">
        <f>'Harvesting cost'!P9</f>
        <v>94.878450000000001</v>
      </c>
    </row>
    <row r="14" spans="2:15">
      <c r="B14" s="10"/>
      <c r="C14" s="1"/>
      <c r="D14" s="79"/>
      <c r="E14" s="10"/>
      <c r="F14" s="1"/>
      <c r="G14" s="79"/>
    </row>
    <row r="15" spans="2:15">
      <c r="B15" s="176" t="s">
        <v>23</v>
      </c>
      <c r="C15" s="177"/>
      <c r="D15" s="79"/>
      <c r="E15" s="176" t="s">
        <v>23</v>
      </c>
      <c r="F15" s="177"/>
      <c r="G15" s="79"/>
    </row>
    <row r="16" spans="2:15">
      <c r="B16" s="78" t="s">
        <v>24</v>
      </c>
      <c r="C16" s="25"/>
      <c r="D16" s="68">
        <f>'Harvesting cost'!H12</f>
        <v>30.0703125</v>
      </c>
      <c r="E16" s="78" t="s">
        <v>24</v>
      </c>
      <c r="F16" s="25"/>
      <c r="G16" s="68">
        <f>'Harvesting cost'!P12</f>
        <v>17.500000000000004</v>
      </c>
    </row>
    <row r="17" spans="2:7">
      <c r="B17" s="167" t="s">
        <v>26</v>
      </c>
      <c r="C17" s="168"/>
      <c r="D17" s="68">
        <f>'Harvesting cost'!H13</f>
        <v>16</v>
      </c>
      <c r="E17" s="167" t="s">
        <v>26</v>
      </c>
      <c r="F17" s="168"/>
      <c r="G17" s="68">
        <f>'Harvesting cost'!P13</f>
        <v>16</v>
      </c>
    </row>
    <row r="18" spans="2:7">
      <c r="B18" s="162" t="s">
        <v>99</v>
      </c>
      <c r="C18" s="163"/>
      <c r="D18" s="82">
        <f>'Harvesting cost'!H14</f>
        <v>6.4280340608465609</v>
      </c>
      <c r="E18" s="162"/>
      <c r="F18" s="163"/>
      <c r="G18" s="82"/>
    </row>
    <row r="19" spans="2:7">
      <c r="B19" s="178" t="s">
        <v>27</v>
      </c>
      <c r="C19" s="179"/>
      <c r="D19" s="83">
        <f>'Harvesting cost'!H15</f>
        <v>46.0703125</v>
      </c>
      <c r="E19" s="178" t="s">
        <v>27</v>
      </c>
      <c r="F19" s="179"/>
      <c r="G19" s="83">
        <f>'Harvesting cost'!P14</f>
        <v>33.5</v>
      </c>
    </row>
    <row r="20" spans="2:7">
      <c r="B20" s="184" t="s">
        <v>28</v>
      </c>
      <c r="C20" s="185"/>
      <c r="D20" s="68">
        <f>'Harvesting cost'!H16</f>
        <v>113.78941964285714</v>
      </c>
      <c r="E20" s="184" t="s">
        <v>28</v>
      </c>
      <c r="F20" s="185"/>
      <c r="G20" s="68">
        <f>'Harvesting cost'!P15</f>
        <v>128.37844999999999</v>
      </c>
    </row>
    <row r="21" spans="2:7">
      <c r="B21" s="125" t="s">
        <v>119</v>
      </c>
      <c r="C21" s="126">
        <f>'Input assumptions'!D20</f>
        <v>0.1</v>
      </c>
      <c r="D21" s="68">
        <f>G3*C21</f>
        <v>35.720999999999997</v>
      </c>
      <c r="E21" s="125" t="s">
        <v>120</v>
      </c>
      <c r="F21" s="126">
        <f>'Input assumptions'!D19</f>
        <v>0.2</v>
      </c>
      <c r="G21" s="68">
        <f>G3*F21</f>
        <v>71.441999999999993</v>
      </c>
    </row>
    <row r="22" spans="2:7">
      <c r="B22" s="125" t="s">
        <v>139</v>
      </c>
      <c r="C22" s="126">
        <f>'Input assumptions'!D29</f>
        <v>0.1</v>
      </c>
      <c r="D22" s="68">
        <f>($G$3-D21)*C22</f>
        <v>32.148899999999998</v>
      </c>
      <c r="E22" s="125" t="s">
        <v>139</v>
      </c>
      <c r="F22" s="126">
        <f>'Input assumptions'!D29</f>
        <v>0.1</v>
      </c>
      <c r="G22" s="68">
        <f>(G3-G21)*F22</f>
        <v>28.576799999999999</v>
      </c>
    </row>
    <row r="23" spans="2:7" ht="15.75" thickBot="1">
      <c r="B23" s="182" t="s">
        <v>138</v>
      </c>
      <c r="C23" s="183"/>
      <c r="D23" s="84">
        <f>$G$3-D13-D19-D21-D22</f>
        <v>175.55068035714285</v>
      </c>
      <c r="E23" s="182" t="s">
        <v>138</v>
      </c>
      <c r="F23" s="183"/>
      <c r="G23" s="84">
        <f>$G$3-G13-G19-G21-G22</f>
        <v>128.81274999999999</v>
      </c>
    </row>
    <row r="24" spans="2:7"/>
    <row r="25" spans="2:7"/>
    <row r="26" spans="2:7"/>
  </sheetData>
  <sheetProtection sheet="1" objects="1" scenarios="1"/>
  <mergeCells count="34">
    <mergeCell ref="B15:C15"/>
    <mergeCell ref="B17:C17"/>
    <mergeCell ref="E15:F15"/>
    <mergeCell ref="E17:F17"/>
    <mergeCell ref="B19:C19"/>
    <mergeCell ref="B12:C12"/>
    <mergeCell ref="B13:C13"/>
    <mergeCell ref="E11:F11"/>
    <mergeCell ref="E12:F12"/>
    <mergeCell ref="E13:F13"/>
    <mergeCell ref="B9:C9"/>
    <mergeCell ref="B10:C10"/>
    <mergeCell ref="E9:F9"/>
    <mergeCell ref="E10:F10"/>
    <mergeCell ref="B11:C11"/>
    <mergeCell ref="I1:O1"/>
    <mergeCell ref="K2:O2"/>
    <mergeCell ref="I4:I8"/>
    <mergeCell ref="B2:C2"/>
    <mergeCell ref="B3:C3"/>
    <mergeCell ref="B1:G1"/>
    <mergeCell ref="B6:D6"/>
    <mergeCell ref="E6:G6"/>
    <mergeCell ref="B7:C7"/>
    <mergeCell ref="E7:F7"/>
    <mergeCell ref="B8:C8"/>
    <mergeCell ref="E8:F8"/>
    <mergeCell ref="B18:C18"/>
    <mergeCell ref="E18:F18"/>
    <mergeCell ref="E19:F19"/>
    <mergeCell ref="E20:F20"/>
    <mergeCell ref="B23:C23"/>
    <mergeCell ref="E23:F23"/>
    <mergeCell ref="B20:C2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9D312-4A8A-49AE-A4D1-B6B97FBC684E}">
  <dimension ref="A1:Q26"/>
  <sheetViews>
    <sheetView showGridLines="0" workbookViewId="0">
      <selection activeCell="B1" sqref="B1:G1"/>
    </sheetView>
  </sheetViews>
  <sheetFormatPr defaultColWidth="0" defaultRowHeight="15" zeroHeight="1"/>
  <cols>
    <col min="1" max="1" width="9.140625" customWidth="1"/>
    <col min="2" max="2" width="26.85546875" customWidth="1"/>
    <col min="3" max="3" width="13.28515625" customWidth="1"/>
    <col min="4" max="4" width="17.140625" bestFit="1" customWidth="1"/>
    <col min="5" max="5" width="22.7109375" customWidth="1"/>
    <col min="6" max="6" width="21.5703125" customWidth="1"/>
    <col min="7" max="7" width="17.140625" bestFit="1" customWidth="1"/>
    <col min="8" max="9" width="9.140625" customWidth="1"/>
    <col min="10" max="15" width="11.140625" bestFit="1" customWidth="1"/>
    <col min="16" max="16" width="9.140625" customWidth="1"/>
    <col min="17" max="17" width="0" hidden="1" customWidth="1"/>
    <col min="18" max="16384" width="9.140625" hidden="1"/>
  </cols>
  <sheetData>
    <row r="1" spans="2:15">
      <c r="B1" s="164" t="s">
        <v>122</v>
      </c>
      <c r="C1" s="165"/>
      <c r="D1" s="165"/>
      <c r="E1" s="165"/>
      <c r="F1" s="165"/>
      <c r="G1" s="166"/>
      <c r="I1" s="149" t="s">
        <v>2</v>
      </c>
      <c r="J1" s="150"/>
      <c r="K1" s="150"/>
      <c r="L1" s="150"/>
      <c r="M1" s="150"/>
      <c r="N1" s="150"/>
      <c r="O1" s="151"/>
    </row>
    <row r="2" spans="2:15">
      <c r="B2" s="160"/>
      <c r="C2" s="161"/>
      <c r="D2" s="122" t="s">
        <v>9</v>
      </c>
      <c r="E2" s="122" t="s">
        <v>114</v>
      </c>
      <c r="F2" s="122" t="s">
        <v>11</v>
      </c>
      <c r="G2" s="123" t="s">
        <v>12</v>
      </c>
      <c r="I2" s="2"/>
      <c r="J2" s="3"/>
      <c r="K2" s="152" t="s">
        <v>3</v>
      </c>
      <c r="L2" s="153"/>
      <c r="M2" s="153"/>
      <c r="N2" s="153"/>
      <c r="O2" s="154"/>
    </row>
    <row r="3" spans="2:15" ht="15.75" thickBot="1">
      <c r="B3" s="162" t="s">
        <v>116</v>
      </c>
      <c r="C3" s="163"/>
      <c r="D3" s="19" t="s">
        <v>115</v>
      </c>
      <c r="E3" s="120">
        <f>M3</f>
        <v>41.6</v>
      </c>
      <c r="F3" s="76">
        <f>J6</f>
        <v>10.92</v>
      </c>
      <c r="G3" s="121">
        <f>E3*F3</f>
        <v>454.27199999999999</v>
      </c>
      <c r="I3" s="2"/>
      <c r="J3" s="3"/>
      <c r="K3" s="116">
        <f>M3*0.7</f>
        <v>29.119999999999997</v>
      </c>
      <c r="L3" s="116">
        <f>M3*0.85</f>
        <v>35.36</v>
      </c>
      <c r="M3" s="116">
        <f>'Input assumptions'!D23*'Input assumptions'!D24*('Input assumptions'!D25+'Input assumptions'!D26)</f>
        <v>41.6</v>
      </c>
      <c r="N3" s="116">
        <f>M3*1.15</f>
        <v>47.839999999999996</v>
      </c>
      <c r="O3" s="117">
        <f>M3*1.3</f>
        <v>54.080000000000005</v>
      </c>
    </row>
    <row r="4" spans="2:15">
      <c r="B4" s="78"/>
      <c r="C4" s="25"/>
      <c r="D4" s="124"/>
      <c r="E4" s="13"/>
      <c r="F4" s="18"/>
      <c r="G4" s="77"/>
      <c r="I4" s="155" t="s">
        <v>4</v>
      </c>
      <c r="J4" s="7">
        <f>J8*0.4</f>
        <v>6.2400000000000011</v>
      </c>
      <c r="K4" s="106">
        <f>$J4*K$3</f>
        <v>181.70880000000002</v>
      </c>
      <c r="L4" s="106">
        <f t="shared" ref="L4:O8" si="0">$J4*L$3</f>
        <v>220.64640000000003</v>
      </c>
      <c r="M4" s="106">
        <f t="shared" si="0"/>
        <v>259.58400000000006</v>
      </c>
      <c r="N4" s="106">
        <f t="shared" si="0"/>
        <v>298.52160000000003</v>
      </c>
      <c r="O4" s="107">
        <f t="shared" si="0"/>
        <v>337.45920000000007</v>
      </c>
    </row>
    <row r="5" spans="2:15">
      <c r="B5" s="80"/>
      <c r="C5" s="119"/>
      <c r="D5" s="79"/>
      <c r="E5" s="18"/>
      <c r="F5" s="1"/>
      <c r="G5" s="81"/>
      <c r="I5" s="156"/>
      <c r="J5" s="7">
        <f>J8*0.55</f>
        <v>8.5800000000000018</v>
      </c>
      <c r="K5" s="106">
        <f t="shared" ref="K5:K8" si="1">$J5*K$3</f>
        <v>249.84960000000004</v>
      </c>
      <c r="L5" s="106">
        <f t="shared" si="0"/>
        <v>303.38880000000006</v>
      </c>
      <c r="M5" s="106">
        <f t="shared" si="0"/>
        <v>356.92800000000011</v>
      </c>
      <c r="N5" s="106">
        <f t="shared" si="0"/>
        <v>410.46720000000005</v>
      </c>
      <c r="O5" s="107">
        <f t="shared" si="0"/>
        <v>464.00640000000016</v>
      </c>
    </row>
    <row r="6" spans="2:15">
      <c r="B6" s="169" t="s">
        <v>117</v>
      </c>
      <c r="C6" s="170"/>
      <c r="D6" s="171"/>
      <c r="E6" s="169" t="s">
        <v>118</v>
      </c>
      <c r="F6" s="170"/>
      <c r="G6" s="171"/>
      <c r="I6" s="156"/>
      <c r="J6" s="7">
        <f>J8*0.7</f>
        <v>10.92</v>
      </c>
      <c r="K6" s="106">
        <f t="shared" si="1"/>
        <v>317.99039999999997</v>
      </c>
      <c r="L6" s="106">
        <f t="shared" si="0"/>
        <v>386.13119999999998</v>
      </c>
      <c r="M6" s="118">
        <f t="shared" si="0"/>
        <v>454.27199999999999</v>
      </c>
      <c r="N6" s="106">
        <f t="shared" si="0"/>
        <v>522.41279999999995</v>
      </c>
      <c r="O6" s="107">
        <f t="shared" si="0"/>
        <v>590.55360000000007</v>
      </c>
    </row>
    <row r="7" spans="2:15">
      <c r="B7" s="158"/>
      <c r="C7" s="159"/>
      <c r="D7" s="64" t="s">
        <v>12</v>
      </c>
      <c r="E7" s="158"/>
      <c r="F7" s="159"/>
      <c r="G7" s="64" t="s">
        <v>12</v>
      </c>
      <c r="I7" s="156"/>
      <c r="J7" s="7">
        <f>J8*0.85</f>
        <v>13.260000000000002</v>
      </c>
      <c r="K7" s="106">
        <f t="shared" si="1"/>
        <v>386.13120000000004</v>
      </c>
      <c r="L7" s="106">
        <f t="shared" si="0"/>
        <v>468.87360000000007</v>
      </c>
      <c r="M7" s="106">
        <f t="shared" si="0"/>
        <v>551.6160000000001</v>
      </c>
      <c r="N7" s="106">
        <f t="shared" si="0"/>
        <v>634.35840000000007</v>
      </c>
      <c r="O7" s="107">
        <f t="shared" si="0"/>
        <v>717.10080000000016</v>
      </c>
    </row>
    <row r="8" spans="2:15" ht="15.75" thickBot="1">
      <c r="B8" s="167" t="s">
        <v>91</v>
      </c>
      <c r="C8" s="168"/>
      <c r="D8" s="68">
        <f>'Harvesting cost'!H4</f>
        <v>17.920000000000002</v>
      </c>
      <c r="E8" s="172" t="s">
        <v>91</v>
      </c>
      <c r="F8" s="173"/>
      <c r="G8" s="68">
        <f>'Harvesting cost'!P4</f>
        <v>17.920000000000002</v>
      </c>
      <c r="I8" s="157"/>
      <c r="J8" s="8">
        <f>'Input assumptions'!D22*0.8</f>
        <v>15.600000000000001</v>
      </c>
      <c r="K8" s="109">
        <f t="shared" si="1"/>
        <v>454.27199999999999</v>
      </c>
      <c r="L8" s="109">
        <f t="shared" si="0"/>
        <v>551.61599999999999</v>
      </c>
      <c r="M8" s="109">
        <f t="shared" si="0"/>
        <v>648.96</v>
      </c>
      <c r="N8" s="109">
        <f t="shared" si="0"/>
        <v>746.30399999999997</v>
      </c>
      <c r="O8" s="110">
        <f t="shared" si="0"/>
        <v>843.64800000000014</v>
      </c>
    </row>
    <row r="9" spans="2:15">
      <c r="B9" s="167" t="s">
        <v>97</v>
      </c>
      <c r="C9" s="168"/>
      <c r="D9" s="68">
        <f>'Harvesting cost'!H5</f>
        <v>11.049107142857142</v>
      </c>
      <c r="E9" s="167" t="s">
        <v>97</v>
      </c>
      <c r="F9" s="168"/>
      <c r="G9" s="68">
        <f>'Harvesting cost'!P5</f>
        <v>35</v>
      </c>
      <c r="I9" s="1"/>
      <c r="J9" s="9"/>
      <c r="M9" s="9"/>
      <c r="N9" s="1"/>
      <c r="O9" s="1"/>
    </row>
    <row r="10" spans="2:15">
      <c r="B10" s="167" t="s">
        <v>16</v>
      </c>
      <c r="C10" s="168"/>
      <c r="D10" s="68">
        <f>'Harvesting cost'!H6</f>
        <v>13.75</v>
      </c>
      <c r="E10" s="167" t="s">
        <v>16</v>
      </c>
      <c r="F10" s="168"/>
      <c r="G10" s="68">
        <f>'Harvesting cost'!P6</f>
        <v>13.75</v>
      </c>
      <c r="I10" s="1"/>
      <c r="J10" s="1"/>
      <c r="M10" s="1"/>
      <c r="N10" s="186"/>
      <c r="O10" s="1"/>
    </row>
    <row r="11" spans="2:15">
      <c r="B11" s="167" t="s">
        <v>18</v>
      </c>
      <c r="C11" s="168"/>
      <c r="D11" s="68">
        <f>'Harvesting cost'!H7</f>
        <v>25</v>
      </c>
      <c r="E11" s="167" t="s">
        <v>18</v>
      </c>
      <c r="F11" s="168"/>
      <c r="G11" s="68">
        <f>'Harvesting cost'!P7</f>
        <v>25</v>
      </c>
      <c r="I11" s="1"/>
      <c r="J11" s="1"/>
      <c r="M11" s="1"/>
      <c r="N11" s="186"/>
      <c r="O11" s="1"/>
    </row>
    <row r="12" spans="2:15">
      <c r="B12" s="162" t="s">
        <v>20</v>
      </c>
      <c r="C12" s="163"/>
      <c r="D12" s="82">
        <f>'Harvesting cost'!H8</f>
        <v>2.3701687499999999</v>
      </c>
      <c r="E12" s="162" t="s">
        <v>20</v>
      </c>
      <c r="F12" s="163"/>
      <c r="G12" s="82">
        <f>'Harvesting cost'!P8</f>
        <v>3.2084500000000005</v>
      </c>
      <c r="I12" s="1"/>
      <c r="J12" s="1"/>
      <c r="M12" s="1"/>
      <c r="N12" s="1"/>
      <c r="O12" s="1"/>
    </row>
    <row r="13" spans="2:15">
      <c r="B13" s="180" t="s">
        <v>22</v>
      </c>
      <c r="C13" s="181"/>
      <c r="D13" s="82">
        <f>'Harvesting cost'!H9</f>
        <v>67.719107142857141</v>
      </c>
      <c r="E13" s="174" t="s">
        <v>22</v>
      </c>
      <c r="F13" s="175"/>
      <c r="G13" s="82">
        <f>'Harvesting cost'!P9</f>
        <v>94.878450000000001</v>
      </c>
      <c r="I13" s="1"/>
      <c r="J13" s="1"/>
      <c r="M13" s="1"/>
      <c r="N13" s="1"/>
      <c r="O13" s="1"/>
    </row>
    <row r="14" spans="2:15">
      <c r="B14" s="10"/>
      <c r="C14" s="1"/>
      <c r="D14" s="79"/>
      <c r="E14" s="10"/>
      <c r="F14" s="1"/>
      <c r="G14" s="79"/>
      <c r="I14" s="1"/>
      <c r="J14" s="1"/>
      <c r="M14" s="1"/>
      <c r="N14" s="1"/>
      <c r="O14" s="1"/>
    </row>
    <row r="15" spans="2:15">
      <c r="B15" s="176" t="s">
        <v>23</v>
      </c>
      <c r="C15" s="177"/>
      <c r="D15" s="79"/>
      <c r="E15" s="176" t="s">
        <v>23</v>
      </c>
      <c r="F15" s="177"/>
      <c r="G15" s="79"/>
      <c r="I15" s="1"/>
      <c r="J15" s="1"/>
      <c r="M15" s="1"/>
      <c r="N15" s="1"/>
      <c r="O15" s="1"/>
    </row>
    <row r="16" spans="2:15">
      <c r="B16" s="78" t="s">
        <v>24</v>
      </c>
      <c r="C16" s="25"/>
      <c r="D16" s="68">
        <f>'Harvesting cost'!H12</f>
        <v>30.0703125</v>
      </c>
      <c r="E16" s="78" t="s">
        <v>24</v>
      </c>
      <c r="F16" s="25"/>
      <c r="G16" s="68">
        <f>'Harvesting cost'!P12</f>
        <v>17.500000000000004</v>
      </c>
    </row>
    <row r="17" spans="2:7">
      <c r="B17" s="167" t="s">
        <v>26</v>
      </c>
      <c r="C17" s="168"/>
      <c r="D17" s="68">
        <f>'Harvesting cost'!H13</f>
        <v>16</v>
      </c>
      <c r="E17" s="167" t="s">
        <v>26</v>
      </c>
      <c r="F17" s="168"/>
      <c r="G17" s="68">
        <f>'Harvesting cost'!P13</f>
        <v>16</v>
      </c>
    </row>
    <row r="18" spans="2:7">
      <c r="B18" s="162" t="s">
        <v>99</v>
      </c>
      <c r="C18" s="163"/>
      <c r="D18" s="82">
        <f>'Harvesting cost'!H14</f>
        <v>6.4280340608465609</v>
      </c>
      <c r="E18" s="162"/>
      <c r="F18" s="163"/>
      <c r="G18" s="82"/>
    </row>
    <row r="19" spans="2:7">
      <c r="B19" s="178" t="s">
        <v>27</v>
      </c>
      <c r="C19" s="179"/>
      <c r="D19" s="83">
        <f>'Harvesting cost'!H15</f>
        <v>46.0703125</v>
      </c>
      <c r="E19" s="178" t="s">
        <v>27</v>
      </c>
      <c r="F19" s="179"/>
      <c r="G19" s="83">
        <f>'Harvesting cost'!P14</f>
        <v>33.5</v>
      </c>
    </row>
    <row r="20" spans="2:7">
      <c r="B20" s="184" t="s">
        <v>28</v>
      </c>
      <c r="C20" s="185"/>
      <c r="D20" s="68">
        <f>'Harvesting cost'!H16</f>
        <v>113.78941964285714</v>
      </c>
      <c r="E20" s="184" t="s">
        <v>28</v>
      </c>
      <c r="F20" s="185"/>
      <c r="G20" s="68">
        <f>'Harvesting cost'!P15</f>
        <v>128.37844999999999</v>
      </c>
    </row>
    <row r="21" spans="2:7">
      <c r="B21" s="125" t="s">
        <v>119</v>
      </c>
      <c r="C21" s="126">
        <f>'Input assumptions'!D28</f>
        <v>0.4</v>
      </c>
      <c r="D21" s="68">
        <f>G3*C21</f>
        <v>181.7088</v>
      </c>
      <c r="E21" s="125" t="s">
        <v>120</v>
      </c>
      <c r="F21" s="126">
        <f>'Input assumptions'!D27</f>
        <v>0.15</v>
      </c>
      <c r="G21" s="68">
        <f>G3*F21</f>
        <v>68.140799999999999</v>
      </c>
    </row>
    <row r="22" spans="2:7">
      <c r="B22" s="125" t="s">
        <v>139</v>
      </c>
      <c r="C22" s="126">
        <f>'Input assumptions'!D29</f>
        <v>0.1</v>
      </c>
      <c r="D22" s="68">
        <f>($G$3-D21)*C22</f>
        <v>27.256320000000002</v>
      </c>
      <c r="E22" s="125" t="s">
        <v>139</v>
      </c>
      <c r="F22" s="126">
        <f>'Input assumptions'!D29</f>
        <v>0.1</v>
      </c>
      <c r="G22" s="68">
        <f>(G3-G21)*F22</f>
        <v>38.613120000000002</v>
      </c>
    </row>
    <row r="23" spans="2:7" ht="15.75" thickBot="1">
      <c r="B23" s="182" t="s">
        <v>138</v>
      </c>
      <c r="C23" s="183"/>
      <c r="D23" s="84">
        <f>$G$3-D13-D19-D21-D22</f>
        <v>131.51746035714285</v>
      </c>
      <c r="E23" s="182" t="s">
        <v>138</v>
      </c>
      <c r="F23" s="183"/>
      <c r="G23" s="84">
        <f>$G$3-G13-G19-G21-G22</f>
        <v>219.13962999999998</v>
      </c>
    </row>
    <row r="24" spans="2:7"/>
    <row r="25" spans="2:7"/>
    <row r="26" spans="2:7"/>
  </sheetData>
  <sheetProtection sheet="1" objects="1" scenarios="1"/>
  <mergeCells count="35">
    <mergeCell ref="I1:O1"/>
    <mergeCell ref="K2:O2"/>
    <mergeCell ref="I4:I8"/>
    <mergeCell ref="N10:N11"/>
    <mergeCell ref="B2:C2"/>
    <mergeCell ref="B3:C3"/>
    <mergeCell ref="B9:C9"/>
    <mergeCell ref="B10:C10"/>
    <mergeCell ref="E12:F12"/>
    <mergeCell ref="E13:F13"/>
    <mergeCell ref="B19:C19"/>
    <mergeCell ref="B20:C20"/>
    <mergeCell ref="B15:C15"/>
    <mergeCell ref="B17:C17"/>
    <mergeCell ref="E15:F15"/>
    <mergeCell ref="E17:F17"/>
    <mergeCell ref="B12:C12"/>
    <mergeCell ref="B13:C13"/>
    <mergeCell ref="B8:C8"/>
    <mergeCell ref="E8:F8"/>
    <mergeCell ref="E9:F9"/>
    <mergeCell ref="E10:F10"/>
    <mergeCell ref="E11:F11"/>
    <mergeCell ref="B11:C11"/>
    <mergeCell ref="B1:G1"/>
    <mergeCell ref="B6:D6"/>
    <mergeCell ref="E6:G6"/>
    <mergeCell ref="B7:C7"/>
    <mergeCell ref="E7:F7"/>
    <mergeCell ref="B18:C18"/>
    <mergeCell ref="E18:F18"/>
    <mergeCell ref="E19:F19"/>
    <mergeCell ref="E20:F20"/>
    <mergeCell ref="B23:C23"/>
    <mergeCell ref="E23:F2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F49AD-31CA-47F0-8008-3E471ABEBC6A}">
  <dimension ref="A1:Q42"/>
  <sheetViews>
    <sheetView showGridLines="0" workbookViewId="0">
      <selection activeCell="A18" sqref="A18:XFD1048576"/>
    </sheetView>
  </sheetViews>
  <sheetFormatPr defaultColWidth="0" defaultRowHeight="15" zeroHeight="1"/>
  <cols>
    <col min="1" max="1" width="9.140625" customWidth="1"/>
    <col min="2" max="2" width="23.42578125" customWidth="1"/>
    <col min="3" max="3" width="9.140625" customWidth="1"/>
    <col min="4" max="4" width="13.42578125" customWidth="1"/>
    <col min="5" max="5" width="15.85546875" customWidth="1"/>
    <col min="6" max="6" width="13" customWidth="1"/>
    <col min="7" max="7" width="9.140625" customWidth="1"/>
    <col min="8" max="8" width="17.140625" bestFit="1" customWidth="1"/>
    <col min="9" max="9" width="9.140625" customWidth="1"/>
    <col min="10" max="10" width="22.85546875" customWidth="1"/>
    <col min="11" max="11" width="9.140625" customWidth="1"/>
    <col min="12" max="12" width="13.140625" customWidth="1"/>
    <col min="13" max="13" width="19.7109375" customWidth="1"/>
    <col min="14" max="14" width="12.7109375" customWidth="1"/>
    <col min="15" max="15" width="9.140625" customWidth="1"/>
    <col min="16" max="16" width="17.140625" bestFit="1" customWidth="1"/>
    <col min="17" max="17" width="9.140625" customWidth="1"/>
    <col min="18" max="16384" width="9.140625" hidden="1"/>
  </cols>
  <sheetData>
    <row r="1" spans="2:16"/>
    <row r="2" spans="2:16">
      <c r="B2" s="187" t="s">
        <v>6</v>
      </c>
      <c r="C2" s="188"/>
      <c r="D2" s="188"/>
      <c r="E2" s="188"/>
      <c r="F2" s="188"/>
      <c r="G2" s="188"/>
      <c r="H2" s="189"/>
      <c r="I2" s="1"/>
      <c r="J2" s="187" t="s">
        <v>7</v>
      </c>
      <c r="K2" s="188"/>
      <c r="L2" s="188"/>
      <c r="M2" s="188"/>
      <c r="N2" s="188"/>
      <c r="O2" s="188"/>
      <c r="P2" s="189"/>
    </row>
    <row r="3" spans="2:16">
      <c r="B3" s="190" t="s">
        <v>8</v>
      </c>
      <c r="C3" s="159"/>
      <c r="D3" s="4" t="s">
        <v>9</v>
      </c>
      <c r="E3" s="4" t="s">
        <v>10</v>
      </c>
      <c r="F3" s="4" t="s">
        <v>11</v>
      </c>
      <c r="G3" s="11"/>
      <c r="H3" s="12" t="s">
        <v>12</v>
      </c>
      <c r="I3" s="1"/>
      <c r="J3" s="190" t="s">
        <v>8</v>
      </c>
      <c r="K3" s="159"/>
      <c r="L3" s="4" t="s">
        <v>9</v>
      </c>
      <c r="M3" s="4" t="s">
        <v>10</v>
      </c>
      <c r="N3" s="4" t="s">
        <v>11</v>
      </c>
      <c r="O3" s="11"/>
      <c r="P3" s="12" t="s">
        <v>12</v>
      </c>
    </row>
    <row r="4" spans="2:16">
      <c r="B4" s="191" t="s">
        <v>91</v>
      </c>
      <c r="C4" s="168"/>
      <c r="D4" s="1" t="s">
        <v>14</v>
      </c>
      <c r="E4" s="13">
        <f>'Input assumptions'!H19*'Input assumptions'!H20</f>
        <v>1</v>
      </c>
      <c r="F4" s="1">
        <f>'Input assumptions'!H18</f>
        <v>17.920000000000002</v>
      </c>
      <c r="G4" s="1"/>
      <c r="H4" s="14">
        <f>E4*F4</f>
        <v>17.920000000000002</v>
      </c>
      <c r="I4" s="1"/>
      <c r="J4" s="191" t="s">
        <v>91</v>
      </c>
      <c r="K4" s="168"/>
      <c r="L4" s="1" t="s">
        <v>14</v>
      </c>
      <c r="M4" s="13">
        <f>'Input assumptions'!H19*'Input assumptions'!H20</f>
        <v>1</v>
      </c>
      <c r="N4" s="1">
        <f>'Input assumptions'!H18</f>
        <v>17.920000000000002</v>
      </c>
      <c r="O4" s="1"/>
      <c r="P4" s="14">
        <f>M4*N4</f>
        <v>17.920000000000002</v>
      </c>
    </row>
    <row r="5" spans="2:16">
      <c r="B5" s="191" t="s">
        <v>97</v>
      </c>
      <c r="C5" s="168"/>
      <c r="D5" s="1"/>
      <c r="E5" s="1"/>
      <c r="F5" s="1"/>
      <c r="G5" s="1"/>
      <c r="H5" s="14">
        <f>'Input assumptions'!H12/('Input assumptions'!H8*'Input assumptions'!H9*5280/43560*'Input assumptions'!H10)*(1-'Input assumptions'!H13)</f>
        <v>11.049107142857142</v>
      </c>
      <c r="I5" s="1"/>
      <c r="J5" s="191" t="s">
        <v>15</v>
      </c>
      <c r="K5" s="168"/>
      <c r="L5" s="1"/>
      <c r="M5" s="1"/>
      <c r="N5" s="1"/>
      <c r="O5" s="1"/>
      <c r="P5" s="14">
        <f>'Input assumptions'!H6</f>
        <v>35</v>
      </c>
    </row>
    <row r="6" spans="2:16">
      <c r="B6" s="191" t="s">
        <v>16</v>
      </c>
      <c r="C6" s="168"/>
      <c r="D6" s="1" t="s">
        <v>17</v>
      </c>
      <c r="E6" s="1">
        <f>'Input assumptions'!H22</f>
        <v>125</v>
      </c>
      <c r="F6" s="1">
        <f>'Input assumptions'!H21</f>
        <v>0.11</v>
      </c>
      <c r="G6" s="1"/>
      <c r="H6" s="14">
        <f>F6*E6</f>
        <v>13.75</v>
      </c>
      <c r="I6" s="1"/>
      <c r="J6" s="191" t="s">
        <v>16</v>
      </c>
      <c r="K6" s="168"/>
      <c r="L6" s="1" t="s">
        <v>17</v>
      </c>
      <c r="M6" s="1">
        <f>'Input assumptions'!H22</f>
        <v>125</v>
      </c>
      <c r="N6" s="1">
        <f>'Input assumptions'!H21</f>
        <v>0.11</v>
      </c>
      <c r="O6" s="1"/>
      <c r="P6" s="14">
        <f>N6*M6</f>
        <v>13.75</v>
      </c>
    </row>
    <row r="7" spans="2:16">
      <c r="B7" s="191" t="s">
        <v>18</v>
      </c>
      <c r="C7" s="168"/>
      <c r="D7" s="1" t="s">
        <v>36</v>
      </c>
      <c r="E7" s="15">
        <f>'Input assumptions'!H26</f>
        <v>0.05</v>
      </c>
      <c r="F7" s="16">
        <f>('Input assumptions'!H23+'Input assumptions'!H24)/'Input assumptions'!H30</f>
        <v>500</v>
      </c>
      <c r="G7" s="1"/>
      <c r="H7" s="14">
        <f>E7*F7</f>
        <v>25</v>
      </c>
      <c r="I7" s="1"/>
      <c r="J7" s="191" t="s">
        <v>18</v>
      </c>
      <c r="K7" s="168"/>
      <c r="L7" s="1" t="s">
        <v>36</v>
      </c>
      <c r="M7" s="15">
        <f>'Input assumptions'!H26</f>
        <v>0.05</v>
      </c>
      <c r="N7" s="16">
        <f>('Input assumptions'!H23+'Input assumptions'!H24)/'Input assumptions'!H30</f>
        <v>500</v>
      </c>
      <c r="O7" s="1"/>
      <c r="P7" s="14">
        <f>M7*N7</f>
        <v>25</v>
      </c>
    </row>
    <row r="8" spans="2:16">
      <c r="B8" s="191" t="s">
        <v>20</v>
      </c>
      <c r="C8" s="168"/>
      <c r="D8" s="1" t="s">
        <v>21</v>
      </c>
      <c r="E8" s="17">
        <f>'Input assumptions'!H28</f>
        <v>7.0000000000000007E-2</v>
      </c>
      <c r="F8" s="18">
        <f>SUM(H4:H7)*0.5</f>
        <v>33.85955357142857</v>
      </c>
      <c r="G8" s="1"/>
      <c r="H8" s="14">
        <f>F8*E8</f>
        <v>2.3701687499999999</v>
      </c>
      <c r="I8" s="1"/>
      <c r="J8" s="191" t="s">
        <v>20</v>
      </c>
      <c r="K8" s="168"/>
      <c r="L8" s="1" t="s">
        <v>21</v>
      </c>
      <c r="M8" s="17">
        <f>'Input assumptions'!H28</f>
        <v>7.0000000000000007E-2</v>
      </c>
      <c r="N8" s="18">
        <f>SUM(P4:P7)*0.5</f>
        <v>45.835000000000001</v>
      </c>
      <c r="O8" s="1"/>
      <c r="P8" s="14">
        <f>N8*M8</f>
        <v>3.2084500000000005</v>
      </c>
    </row>
    <row r="9" spans="2:16">
      <c r="B9" s="192" t="s">
        <v>22</v>
      </c>
      <c r="C9" s="181"/>
      <c r="D9" s="19"/>
      <c r="E9" s="19"/>
      <c r="F9" s="19"/>
      <c r="G9" s="19"/>
      <c r="H9" s="20">
        <f>SUM(H4:H7)</f>
        <v>67.719107142857141</v>
      </c>
      <c r="I9" s="1"/>
      <c r="J9" s="192" t="s">
        <v>22</v>
      </c>
      <c r="K9" s="181"/>
      <c r="L9" s="19"/>
      <c r="M9" s="19"/>
      <c r="N9" s="19"/>
      <c r="O9" s="19"/>
      <c r="P9" s="20">
        <f>SUM(P4:P8)</f>
        <v>94.878450000000001</v>
      </c>
    </row>
    <row r="10" spans="2:16">
      <c r="B10" s="21"/>
      <c r="C10" s="1"/>
      <c r="D10" s="1"/>
      <c r="E10" s="1"/>
      <c r="F10" s="1"/>
      <c r="G10" s="1"/>
      <c r="H10" s="14"/>
      <c r="I10" s="1"/>
      <c r="J10" s="21"/>
      <c r="K10" s="1"/>
      <c r="L10" s="1"/>
      <c r="M10" s="1"/>
      <c r="N10" s="1"/>
      <c r="O10" s="1"/>
      <c r="P10" s="14"/>
    </row>
    <row r="11" spans="2:16">
      <c r="B11" s="194" t="s">
        <v>23</v>
      </c>
      <c r="C11" s="177"/>
      <c r="D11" s="1"/>
      <c r="E11" s="1"/>
      <c r="F11" s="1"/>
      <c r="G11" s="1"/>
      <c r="H11" s="14"/>
      <c r="I11" s="1"/>
      <c r="J11" s="194" t="s">
        <v>23</v>
      </c>
      <c r="K11" s="177"/>
      <c r="L11" s="1"/>
      <c r="M11" s="1"/>
      <c r="N11" s="1"/>
      <c r="O11" s="1"/>
      <c r="P11" s="14"/>
    </row>
    <row r="12" spans="2:16">
      <c r="B12" s="191" t="s">
        <v>24</v>
      </c>
      <c r="C12" s="168"/>
      <c r="D12" s="168"/>
      <c r="E12" s="1"/>
      <c r="F12" s="1"/>
      <c r="G12" s="1"/>
      <c r="H12" s="14">
        <f>SUM('Input assumptions'!H14*D19,'Input assumptions'!H15,'Input assumptions'!H23,'Input assumptions'!H24)*'Input assumptions'!H29*'Input assumptions'!H28/'Input assumptions'!H30</f>
        <v>30.0703125</v>
      </c>
      <c r="I12" s="1"/>
      <c r="J12" s="191" t="s">
        <v>25</v>
      </c>
      <c r="K12" s="168"/>
      <c r="L12" s="168"/>
      <c r="M12" s="1"/>
      <c r="N12" s="1"/>
      <c r="O12" s="1"/>
      <c r="P12" s="14">
        <f>('Input assumptions'!H23+'Input assumptions'!H24)*'Input assumptions'!H29*'Input assumptions'!H28/'Input assumptions'!H30</f>
        <v>17.500000000000004</v>
      </c>
    </row>
    <row r="13" spans="2:16">
      <c r="B13" s="191" t="s">
        <v>26</v>
      </c>
      <c r="C13" s="168"/>
      <c r="D13" s="168"/>
      <c r="E13" s="1"/>
      <c r="F13" s="1"/>
      <c r="G13" s="1"/>
      <c r="H13" s="14">
        <f>(('Input assumptions'!H23+'Input assumptions'!H24)-(('Input assumptions'!H23+'Input assumptions'!H24)*'Input assumptions'!H27))/'Input assumptions'!H25/'Input assumptions'!H30</f>
        <v>16</v>
      </c>
      <c r="I13" s="1"/>
      <c r="J13" s="191" t="s">
        <v>26</v>
      </c>
      <c r="K13" s="168"/>
      <c r="L13" s="168"/>
      <c r="M13" s="1"/>
      <c r="N13" s="1"/>
      <c r="O13" s="1"/>
      <c r="P13" s="14">
        <f>(('Input assumptions'!H23+'Input assumptions'!H24)-(('Input assumptions'!H23+'Input assumptions'!H24)*'Input assumptions'!H27))/'Input assumptions'!H25/'Input assumptions'!H30</f>
        <v>16</v>
      </c>
    </row>
    <row r="14" spans="2:16">
      <c r="B14" s="24" t="s">
        <v>99</v>
      </c>
      <c r="C14" s="25"/>
      <c r="D14" s="25"/>
      <c r="E14" s="1"/>
      <c r="F14" s="1"/>
      <c r="G14" s="1"/>
      <c r="H14" s="14">
        <f>D25+D26</f>
        <v>6.4280340608465609</v>
      </c>
      <c r="I14" s="1"/>
      <c r="J14" s="195" t="s">
        <v>27</v>
      </c>
      <c r="K14" s="196"/>
      <c r="L14" s="1"/>
      <c r="M14" s="1"/>
      <c r="N14" s="1"/>
      <c r="O14" s="1"/>
      <c r="P14" s="20">
        <f>SUM(P12:P13)</f>
        <v>33.5</v>
      </c>
    </row>
    <row r="15" spans="2:16">
      <c r="B15" s="197" t="s">
        <v>27</v>
      </c>
      <c r="C15" s="185"/>
      <c r="D15" s="1"/>
      <c r="E15" s="1"/>
      <c r="F15" s="1"/>
      <c r="G15" s="1"/>
      <c r="H15" s="20">
        <f>SUM(H12:H13)</f>
        <v>46.0703125</v>
      </c>
      <c r="I15" s="1"/>
      <c r="J15" s="198" t="s">
        <v>28</v>
      </c>
      <c r="K15" s="199"/>
      <c r="L15" s="85"/>
      <c r="M15" s="85"/>
      <c r="N15" s="85"/>
      <c r="O15" s="85"/>
      <c r="P15" s="86">
        <f>SUM(P14+P9)</f>
        <v>128.37844999999999</v>
      </c>
    </row>
    <row r="16" spans="2:16">
      <c r="B16" s="198" t="s">
        <v>28</v>
      </c>
      <c r="C16" s="199"/>
      <c r="D16" s="85"/>
      <c r="E16" s="85"/>
      <c r="F16" s="85"/>
      <c r="G16" s="85"/>
      <c r="H16" s="86">
        <f>SUM(H15+H9)</f>
        <v>113.78941964285714</v>
      </c>
      <c r="I16" s="1"/>
      <c r="J16" s="1"/>
      <c r="K16" s="1"/>
      <c r="L16" s="1"/>
      <c r="M16" s="1"/>
      <c r="N16" s="1"/>
      <c r="O16" s="1"/>
      <c r="P16" s="1"/>
    </row>
    <row r="17" spans="2:16">
      <c r="B17" s="1"/>
      <c r="C17" s="1"/>
      <c r="D17" s="1"/>
      <c r="E17" s="1"/>
      <c r="F17" s="1"/>
      <c r="G17" s="1"/>
      <c r="H17" s="1"/>
      <c r="I17" s="1"/>
      <c r="J17" s="1"/>
      <c r="K17" s="1"/>
      <c r="L17" s="1"/>
      <c r="M17" s="1"/>
      <c r="N17" s="1"/>
      <c r="O17" s="1"/>
      <c r="P17" s="1"/>
    </row>
    <row r="18" spans="2:16" hidden="1">
      <c r="B18" s="1" t="s">
        <v>96</v>
      </c>
      <c r="C18" s="1"/>
      <c r="D18" s="1"/>
      <c r="E18" s="1"/>
      <c r="F18" s="1"/>
      <c r="G18" s="1"/>
      <c r="H18" s="1"/>
      <c r="I18" s="1"/>
      <c r="J18" s="1"/>
      <c r="K18" s="1"/>
      <c r="L18" s="1"/>
      <c r="M18" s="1"/>
      <c r="N18" s="1"/>
      <c r="O18" s="1"/>
      <c r="P18" s="1"/>
    </row>
    <row r="19" spans="2:16" hidden="1">
      <c r="B19" s="1" t="s">
        <v>37</v>
      </c>
      <c r="C19" s="1"/>
      <c r="D19" s="23">
        <f>D23/D20</f>
        <v>1.9642857142857142E-2</v>
      </c>
      <c r="E19" s="1" t="s">
        <v>38</v>
      </c>
      <c r="F19" s="1"/>
      <c r="G19" s="1"/>
      <c r="H19" s="1"/>
      <c r="I19" s="1"/>
      <c r="J19" s="1"/>
      <c r="K19" s="1"/>
      <c r="L19" s="1"/>
      <c r="M19" s="1"/>
      <c r="N19" s="1"/>
      <c r="O19" s="1"/>
      <c r="P19" s="1"/>
    </row>
    <row r="20" spans="2:16" hidden="1">
      <c r="B20" s="1" t="s">
        <v>39</v>
      </c>
      <c r="C20" s="1"/>
      <c r="D20" s="22">
        <v>400</v>
      </c>
      <c r="E20" s="1"/>
      <c r="F20" s="1"/>
      <c r="G20" s="1"/>
      <c r="H20" s="1"/>
      <c r="I20" s="1"/>
      <c r="N20" s="1"/>
      <c r="O20" s="1"/>
      <c r="P20" s="1"/>
    </row>
    <row r="21" spans="2:16" hidden="1">
      <c r="B21" s="1" t="s">
        <v>40</v>
      </c>
      <c r="C21" s="1"/>
      <c r="D21" s="16">
        <v>5400</v>
      </c>
      <c r="E21" s="1" t="s">
        <v>41</v>
      </c>
      <c r="F21" s="193" t="s">
        <v>42</v>
      </c>
      <c r="G21" s="193"/>
      <c r="H21" s="193"/>
      <c r="I21" s="1"/>
      <c r="N21" s="1"/>
      <c r="O21" s="1"/>
      <c r="P21" s="1"/>
    </row>
    <row r="22" spans="2:16" hidden="1">
      <c r="B22" s="1" t="s">
        <v>43</v>
      </c>
      <c r="C22" s="1"/>
      <c r="D22" s="16">
        <v>400</v>
      </c>
      <c r="E22" s="1" t="s">
        <v>41</v>
      </c>
      <c r="F22" s="193"/>
      <c r="G22" s="193"/>
      <c r="H22" s="193"/>
      <c r="I22" s="1"/>
      <c r="N22" s="1"/>
      <c r="O22" s="1"/>
      <c r="P22" s="1"/>
    </row>
    <row r="23" spans="2:16" hidden="1">
      <c r="B23" s="1" t="s">
        <v>44</v>
      </c>
      <c r="C23" s="1"/>
      <c r="D23" s="59">
        <f>'Input assumptions'!H30/('Input assumptions'!H8*'Input assumptions'!H9*5280/43560*'Input assumptions'!H10)</f>
        <v>7.8571428571428577</v>
      </c>
      <c r="E23" s="1"/>
      <c r="F23" s="1"/>
      <c r="G23" s="1"/>
      <c r="H23" s="1"/>
      <c r="I23" s="1"/>
      <c r="N23" s="1"/>
      <c r="O23" s="1"/>
      <c r="P23" s="1"/>
    </row>
    <row r="24" spans="2:16" hidden="1">
      <c r="I24" s="1"/>
      <c r="N24" s="1"/>
      <c r="O24" s="1"/>
      <c r="P24" s="1"/>
    </row>
    <row r="25" spans="2:16" hidden="1">
      <c r="B25" s="1" t="s">
        <v>100</v>
      </c>
      <c r="D25" s="62">
        <f>('Input assumptions'!H14-('Input assumptions'!H14*'Input assumptions'!H16))/(D21/D20)*D19/'Input assumptions'!H30</f>
        <v>2.3153108465608465</v>
      </c>
      <c r="I25" s="1"/>
      <c r="N25" s="1"/>
      <c r="O25" s="1"/>
      <c r="P25" s="1"/>
    </row>
    <row r="26" spans="2:16" hidden="1">
      <c r="B26" s="1" t="s">
        <v>101</v>
      </c>
      <c r="D26" s="62">
        <f>('Input assumptions'!H15-'Input assumptions'!H15*'Input assumptions'!H16)/(D22/D23)/'Input assumptions'!H30</f>
        <v>4.1127232142857144</v>
      </c>
      <c r="I26" s="1"/>
      <c r="N26" s="1"/>
      <c r="O26" s="1"/>
      <c r="P26" s="1"/>
    </row>
    <row r="27" spans="2:16" hidden="1">
      <c r="I27" s="1"/>
      <c r="P27" s="1"/>
    </row>
    <row r="28" spans="2:16" hidden="1">
      <c r="I28" s="1"/>
      <c r="P28" s="1"/>
    </row>
    <row r="29" spans="2:16" hidden="1">
      <c r="I29" s="1"/>
      <c r="P29" s="1"/>
    </row>
    <row r="30" spans="2:16" hidden="1">
      <c r="I30" s="1"/>
      <c r="P30" s="1"/>
    </row>
    <row r="31" spans="2:16" hidden="1">
      <c r="I31" s="1"/>
      <c r="P31" s="1"/>
    </row>
    <row r="32" spans="2:16" hidden="1">
      <c r="I32" s="1"/>
      <c r="P32" s="1"/>
    </row>
    <row r="33" spans="9:9" hidden="1">
      <c r="I33" s="1"/>
    </row>
    <row r="34" spans="9:9" hidden="1">
      <c r="I34" s="1"/>
    </row>
    <row r="35" spans="9:9" hidden="1">
      <c r="I35" s="1"/>
    </row>
    <row r="36" spans="9:9" hidden="1">
      <c r="I36" s="1"/>
    </row>
    <row r="37" spans="9:9" hidden="1">
      <c r="I37" s="1"/>
    </row>
    <row r="38" spans="9:9" hidden="1">
      <c r="I38" s="1"/>
    </row>
    <row r="39" spans="9:9" hidden="1">
      <c r="I39" s="1"/>
    </row>
    <row r="40" spans="9:9" hidden="1">
      <c r="I40" s="1"/>
    </row>
    <row r="41" spans="9:9" hidden="1">
      <c r="I41" s="1"/>
    </row>
    <row r="42" spans="9:9" hidden="1">
      <c r="I42" s="1"/>
    </row>
  </sheetData>
  <sheetProtection sheet="1" objects="1" scenarios="1"/>
  <mergeCells count="27">
    <mergeCell ref="F21:H22"/>
    <mergeCell ref="B11:C11"/>
    <mergeCell ref="J11:K11"/>
    <mergeCell ref="B12:D12"/>
    <mergeCell ref="J12:L12"/>
    <mergeCell ref="J13:L13"/>
    <mergeCell ref="B13:D13"/>
    <mergeCell ref="J14:K14"/>
    <mergeCell ref="B15:C15"/>
    <mergeCell ref="J15:K15"/>
    <mergeCell ref="B16:C16"/>
    <mergeCell ref="B8:C8"/>
    <mergeCell ref="J8:K8"/>
    <mergeCell ref="B9:C9"/>
    <mergeCell ref="J9:K9"/>
    <mergeCell ref="B5:C5"/>
    <mergeCell ref="J5:K5"/>
    <mergeCell ref="B6:C6"/>
    <mergeCell ref="J6:K6"/>
    <mergeCell ref="B7:C7"/>
    <mergeCell ref="J7:K7"/>
    <mergeCell ref="B2:H2"/>
    <mergeCell ref="J2:P2"/>
    <mergeCell ref="B3:C3"/>
    <mergeCell ref="J3:K3"/>
    <mergeCell ref="B4:C4"/>
    <mergeCell ref="J4:K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Input assumptions</vt:lpstr>
      <vt:lpstr>Big Bluestem</vt:lpstr>
      <vt:lpstr>Indiangrass</vt:lpstr>
      <vt:lpstr>Eastern Gamagrass</vt:lpstr>
      <vt:lpstr>Harvesting cost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Kientzy, Andrew</dc:creator>
  <cp:lastModifiedBy>Kientzy, Andrew</cp:lastModifiedBy>
  <dcterms:created xsi:type="dcterms:W3CDTF">2023-12-07T22:14:27Z</dcterms:created>
  <dcterms:modified xsi:type="dcterms:W3CDTF">2024-02-27T15:58:24Z</dcterms:modified>
</cp:coreProperties>
</file>