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ailmissouri-my.sharepoint.com/personal/knappv_umsystem_edu/Documents/Documents/ABP pubs/z-done/g704_revised_092026/"/>
    </mc:Choice>
  </mc:AlternateContent>
  <xr:revisionPtr revIDLastSave="27" documentId="8_{B2B40D28-FB71-48C0-BF0A-87CC805DF7A1}" xr6:coauthVersionLast="47" xr6:coauthVersionMax="47" xr10:uidLastSave="{C3C6E8A3-0549-4105-A059-314834A1DA19}"/>
  <bookViews>
    <workbookView xWindow="1980" yWindow="450" windowWidth="23910" windowHeight="14760" xr2:uid="{499E854A-2607-4032-B5F1-95B2C888EC61}"/>
  </bookViews>
  <sheets>
    <sheet name="Introduction" sheetId="15" r:id="rId1"/>
    <sheet name="Investment" sheetId="4" r:id="rId2"/>
    <sheet name="Bell pepper" sheetId="12" state="hidden" r:id="rId3"/>
    <sheet name="Cucumber" sheetId="6" state="hidden" r:id="rId4"/>
    <sheet name="Head lettuce" sheetId="7" state="hidden" r:id="rId5"/>
    <sheet name="Leafy greens" sheetId="8" state="hidden" r:id="rId6"/>
    <sheet name="Potato" sheetId="14" state="hidden" r:id="rId7"/>
    <sheet name="Root crops" sheetId="9" state="hidden" r:id="rId8"/>
    <sheet name="Strawberry" sheetId="17" state="hidden" r:id="rId9"/>
    <sheet name="Tomato" sheetId="5" r:id="rId10"/>
    <sheet name="Summary" sheetId="13" state="hidden" r:id="rId1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cres">#REF!</definedName>
    <definedName name="Boom_Sprayer">#REF!</definedName>
    <definedName name="Boom_Sprayer_SP">#REF!</definedName>
    <definedName name="BudgetActivities">#REF!</definedName>
    <definedName name="byyield">#REF!</definedName>
    <definedName name="Chisel_Plow">#REF!</definedName>
    <definedName name="Chisel_Plow_FD">#REF!</definedName>
    <definedName name="Comb_Disk_VRipper">#REF!</definedName>
    <definedName name="Comb_Fld_Cult_Incorp">#REF!</definedName>
    <definedName name="Combine_Size">#REF!</definedName>
    <definedName name="Cornhead_Size">#REF!</definedName>
    <definedName name="crop">#REF!</definedName>
    <definedName name="cropnum">#REF!</definedName>
    <definedName name="Crops">#REF!</definedName>
    <definedName name="Cultivator">#REF!</definedName>
    <definedName name="Cultivator_HR">#REF!</definedName>
    <definedName name="CustomActivities">#REF!</definedName>
    <definedName name="customhire2">#REF!,#REF!</definedName>
    <definedName name="CustomImps">#REF!</definedName>
    <definedName name="Disc_Mower">#REF!</definedName>
    <definedName name="Disk">#REF!</definedName>
    <definedName name="Disk_Mower">#REF!</definedName>
    <definedName name="drying">#REF!,#REF!</definedName>
    <definedName name="Field_Cultivator">#REF!</definedName>
    <definedName name="Grain_Auger">#REF!</definedName>
    <definedName name="Graincart">#REF!</definedName>
    <definedName name="Grainhead_Size">#REF!</definedName>
    <definedName name="Harrow">#REF!</definedName>
    <definedName name="hauling">#REF!,#REF!</definedName>
    <definedName name="herbicide2">#REF!,#REF!</definedName>
    <definedName name="Implementlist">#REF!</definedName>
    <definedName name="Implements">#REF!</definedName>
    <definedName name="Implements7">#REF!</definedName>
    <definedName name="ImplSel">#REF!</definedName>
    <definedName name="import">#REF!</definedName>
    <definedName name="income">#REF!</definedName>
    <definedName name="insecticide2">#REF!,#REF!</definedName>
    <definedName name="Irrigation">#REF!</definedName>
    <definedName name="irrigation2">#REF!</definedName>
    <definedName name="lease_arrangement">#REF!</definedName>
    <definedName name="leasenum">#REF!</definedName>
    <definedName name="mdbvalues">#REF!,#REF!,#REF!,#REF!</definedName>
    <definedName name="Moldboard_Plow">#REF!</definedName>
    <definedName name="NoTill_Drill">#REF!</definedName>
    <definedName name="NoTill_Planter">#REF!</definedName>
    <definedName name="Passes">#REF!,#REF!,#REF!,#REF!</definedName>
    <definedName name="Planter">#REF!</definedName>
    <definedName name="postharvest">#REF!,#REF!,#REF!</definedName>
    <definedName name="Power">#REF!</definedName>
    <definedName name="Power_Size">#REF!</definedName>
    <definedName name="Powerlist">#REF!</definedName>
    <definedName name="PowerSel">#REF!</definedName>
    <definedName name="Presswheel_Drill">#REF!</definedName>
    <definedName name="Primary_Units">#REF!</definedName>
    <definedName name="primyield">#REF!</definedName>
    <definedName name="_xlnm.Print_Area" localSheetId="2">'Bell pepper'!$B$2:$G$58,'Bell pepper'!$J$12:$S$35</definedName>
    <definedName name="PUAlloc">#REF!</definedName>
    <definedName name="PUMiles">#REF!</definedName>
    <definedName name="rental">#REF!,#REF!,#REF!,#REF!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ller_Bar_Rake">#REF!</definedName>
    <definedName name="Round_Baler_Tie">#REF!</definedName>
    <definedName name="seed2">#REF!,#REF!,#REF!</definedName>
    <definedName name="SemiAlloc">#REF!</definedName>
    <definedName name="SemiMiles">#REF!</definedName>
    <definedName name="Silage_Wrapper">#REF!</definedName>
    <definedName name="Soybeanhead_Size">#REF!</definedName>
    <definedName name="SplitRow_Planter">#REF!</definedName>
    <definedName name="ss">#REF!</definedName>
    <definedName name="storage">#REF!,#REF!</definedName>
    <definedName name="Swather_Mower_Conditioner">#REF!</definedName>
    <definedName name="Tandem_Disk">#REF!</definedName>
    <definedName name="TenWheelAlloc">#REF!</definedName>
    <definedName name="TenWheelMiles">#REF!</definedName>
    <definedName name="VRipper">#REF!</definedName>
    <definedName name="Wheel_Rake">#REF!</definedName>
    <definedName name="wrn.all." hidden="1">{"detail",#N/A,FALSE,"Trac_Table";"tractable",#N/A,FALSE,"Trac_Table";"sensitivity",#N/A,FALSE,"Trac_Table"}</definedName>
    <definedName name="ww">#REF!</definedName>
    <definedName name="yiel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5" l="1"/>
  <c r="G49" i="5" s="1"/>
  <c r="H13" i="4"/>
  <c r="G52" i="5"/>
  <c r="G44" i="12"/>
  <c r="G43" i="6"/>
  <c r="G46" i="7"/>
  <c r="G48" i="8"/>
  <c r="G43" i="14"/>
  <c r="G46" i="9"/>
  <c r="G45" i="17"/>
  <c r="G33" i="12"/>
  <c r="E33" i="12"/>
  <c r="G32" i="6"/>
  <c r="E32" i="6"/>
  <c r="G35" i="7"/>
  <c r="E35" i="7"/>
  <c r="G37" i="8"/>
  <c r="E37" i="8"/>
  <c r="G31" i="14"/>
  <c r="E31" i="14"/>
  <c r="G35" i="9"/>
  <c r="E35" i="9"/>
  <c r="G33" i="17"/>
  <c r="E33" i="17"/>
  <c r="G22" i="12"/>
  <c r="G18" i="12"/>
  <c r="G14" i="12"/>
  <c r="G22" i="6"/>
  <c r="G18" i="6"/>
  <c r="G14" i="6"/>
  <c r="G24" i="7"/>
  <c r="G20" i="7"/>
  <c r="G16" i="7"/>
  <c r="G26" i="8"/>
  <c r="G22" i="8"/>
  <c r="G18" i="8"/>
  <c r="G22" i="14"/>
  <c r="G18" i="14"/>
  <c r="G14" i="14"/>
  <c r="G24" i="9"/>
  <c r="G20" i="9"/>
  <c r="G16" i="9"/>
  <c r="G22" i="17"/>
  <c r="G18" i="17"/>
  <c r="G14" i="17"/>
  <c r="E33" i="5"/>
  <c r="G39" i="5"/>
  <c r="G33" i="5"/>
  <c r="G22" i="5"/>
  <c r="G18" i="5"/>
  <c r="G14" i="5"/>
  <c r="H16" i="4"/>
  <c r="G16" i="4"/>
  <c r="H28" i="4"/>
  <c r="H29" i="4"/>
  <c r="H30" i="4"/>
  <c r="H31" i="4"/>
  <c r="G28" i="4"/>
  <c r="G29" i="4"/>
  <c r="G30" i="4"/>
  <c r="G31" i="4"/>
  <c r="E6" i="14"/>
  <c r="E5" i="14"/>
  <c r="E8" i="8"/>
  <c r="E7" i="8"/>
  <c r="G15" i="8"/>
  <c r="G14" i="8"/>
  <c r="G13" i="8"/>
  <c r="G42" i="7"/>
  <c r="G11" i="7"/>
  <c r="G12" i="7"/>
  <c r="E5" i="7" l="1"/>
  <c r="E6" i="7"/>
  <c r="E6" i="6" l="1"/>
  <c r="E5" i="6"/>
  <c r="E11" i="6"/>
  <c r="G32" i="12"/>
  <c r="E6" i="12" l="1"/>
  <c r="E5" i="12"/>
  <c r="E11" i="12"/>
  <c r="E8" i="9" l="1"/>
  <c r="E7" i="9"/>
  <c r="G52" i="17" l="1"/>
  <c r="G53" i="9"/>
  <c r="G50" i="14"/>
  <c r="G55" i="8"/>
  <c r="G53" i="7"/>
  <c r="G50" i="6"/>
  <c r="G51" i="12"/>
  <c r="E6" i="17" l="1"/>
  <c r="E5" i="17"/>
  <c r="E11" i="17"/>
  <c r="H25" i="4" l="1"/>
  <c r="H26" i="4"/>
  <c r="H27" i="4"/>
  <c r="G25" i="4"/>
  <c r="G26" i="4"/>
  <c r="G27" i="4"/>
  <c r="E11" i="5"/>
  <c r="E6" i="5"/>
  <c r="E5" i="5"/>
  <c r="G30" i="14" l="1"/>
  <c r="G30" i="17"/>
  <c r="P16" i="5" l="1"/>
  <c r="L20" i="5"/>
  <c r="G6" i="5"/>
  <c r="P16" i="17"/>
  <c r="L20" i="17"/>
  <c r="G6" i="17"/>
  <c r="P18" i="9"/>
  <c r="L22" i="9"/>
  <c r="G8" i="9"/>
  <c r="P16" i="14"/>
  <c r="L20" i="14"/>
  <c r="G6" i="14"/>
  <c r="P19" i="8"/>
  <c r="L23" i="8"/>
  <c r="G8" i="8"/>
  <c r="P16" i="7"/>
  <c r="L20" i="7"/>
  <c r="G6" i="7"/>
  <c r="P16" i="6"/>
  <c r="L20" i="6"/>
  <c r="G6" i="6"/>
  <c r="G6" i="12"/>
  <c r="L20" i="12"/>
  <c r="P16" i="12"/>
  <c r="H20" i="4"/>
  <c r="G20" i="4"/>
  <c r="H22" i="4"/>
  <c r="G22" i="4"/>
  <c r="J13" i="13"/>
  <c r="I13" i="13"/>
  <c r="H13" i="13"/>
  <c r="G13" i="13"/>
  <c r="F13" i="13"/>
  <c r="E13" i="13"/>
  <c r="D13" i="13"/>
  <c r="C13" i="13"/>
  <c r="G48" i="17" l="1"/>
  <c r="G42" i="17"/>
  <c r="G41" i="17"/>
  <c r="G40" i="17"/>
  <c r="G32" i="17"/>
  <c r="G31" i="17"/>
  <c r="G29" i="17"/>
  <c r="G13" i="17"/>
  <c r="L23" i="17"/>
  <c r="G12" i="17"/>
  <c r="G11" i="17"/>
  <c r="G10" i="17"/>
  <c r="S16" i="17"/>
  <c r="O16" i="17"/>
  <c r="G5" i="17"/>
  <c r="L17" i="17" l="1"/>
  <c r="L19" i="17"/>
  <c r="G8" i="17"/>
  <c r="L21" i="17"/>
  <c r="L22" i="17"/>
  <c r="M16" i="17"/>
  <c r="N16" i="17"/>
  <c r="Q16" i="17"/>
  <c r="R16" i="17"/>
  <c r="L18" i="17"/>
  <c r="G43" i="17" l="1"/>
  <c r="I5" i="13"/>
  <c r="G46" i="17" l="1"/>
  <c r="E58" i="17" l="1"/>
  <c r="I6" i="13"/>
  <c r="I10" i="13" s="1"/>
  <c r="G58" i="17"/>
  <c r="F58" i="17" s="1"/>
  <c r="H23" i="4" l="1"/>
  <c r="H14" i="4"/>
  <c r="H15" i="4"/>
  <c r="H19" i="4"/>
  <c r="H17" i="4"/>
  <c r="H18" i="4"/>
  <c r="H21" i="4"/>
  <c r="H24" i="4"/>
  <c r="D32" i="4" l="1"/>
  <c r="G24" i="4"/>
  <c r="G21" i="4"/>
  <c r="G18" i="4"/>
  <c r="G17" i="4"/>
  <c r="G19" i="4"/>
  <c r="G15" i="4"/>
  <c r="G14" i="4"/>
  <c r="G23" i="4"/>
  <c r="G13" i="4"/>
  <c r="G51" i="17" l="1"/>
  <c r="G51" i="5"/>
  <c r="D33" i="4"/>
  <c r="G52" i="7"/>
  <c r="G49" i="14"/>
  <c r="G54" i="8"/>
  <c r="G49" i="6"/>
  <c r="G52" i="9"/>
  <c r="G50" i="12"/>
  <c r="H32" i="4"/>
  <c r="G50" i="17" s="1"/>
  <c r="G32" i="4"/>
  <c r="F49" i="17" s="1"/>
  <c r="G49" i="17" s="1"/>
  <c r="G31" i="5"/>
  <c r="G32" i="5"/>
  <c r="G54" i="17" l="1"/>
  <c r="E57" i="17" s="1"/>
  <c r="G49" i="12"/>
  <c r="G51" i="7"/>
  <c r="G48" i="6"/>
  <c r="G48" i="14"/>
  <c r="G50" i="5"/>
  <c r="G53" i="8"/>
  <c r="G51" i="9"/>
  <c r="F48" i="12"/>
  <c r="F50" i="9"/>
  <c r="G50" i="9" s="1"/>
  <c r="F50" i="7"/>
  <c r="G50" i="7" s="1"/>
  <c r="F47" i="6"/>
  <c r="G47" i="6" s="1"/>
  <c r="F47" i="14"/>
  <c r="G47" i="14" s="1"/>
  <c r="F52" i="8"/>
  <c r="G52" i="8" s="1"/>
  <c r="I7" i="13" l="1"/>
  <c r="I8" i="13" s="1"/>
  <c r="I11" i="13" s="1"/>
  <c r="G57" i="17"/>
  <c r="N34" i="17"/>
  <c r="R29" i="17"/>
  <c r="N31" i="17"/>
  <c r="Q30" i="17"/>
  <c r="S34" i="17"/>
  <c r="O32" i="17"/>
  <c r="Q31" i="17"/>
  <c r="Q33" i="17"/>
  <c r="M33" i="17"/>
  <c r="O29" i="17"/>
  <c r="M32" i="17"/>
  <c r="P33" i="17"/>
  <c r="R32" i="17"/>
  <c r="O30" i="17"/>
  <c r="M34" i="17"/>
  <c r="M31" i="17"/>
  <c r="R30" i="17"/>
  <c r="Q35" i="17"/>
  <c r="M30" i="17"/>
  <c r="Q29" i="17"/>
  <c r="P30" i="17"/>
  <c r="S32" i="17"/>
  <c r="N29" i="17"/>
  <c r="O35" i="17"/>
  <c r="O34" i="17"/>
  <c r="S33" i="17"/>
  <c r="N33" i="17"/>
  <c r="O33" i="17"/>
  <c r="N30" i="17"/>
  <c r="P31" i="17"/>
  <c r="R33" i="17"/>
  <c r="S31" i="17"/>
  <c r="O31" i="17"/>
  <c r="R35" i="17"/>
  <c r="R31" i="17"/>
  <c r="M35" i="17"/>
  <c r="Q32" i="17"/>
  <c r="Q34" i="17"/>
  <c r="S29" i="17"/>
  <c r="P34" i="17"/>
  <c r="P35" i="17"/>
  <c r="N32" i="17"/>
  <c r="M29" i="17"/>
  <c r="P29" i="17"/>
  <c r="N35" i="17"/>
  <c r="S30" i="17"/>
  <c r="P32" i="17"/>
  <c r="S35" i="17"/>
  <c r="R34" i="17"/>
  <c r="G52" i="14"/>
  <c r="G55" i="7"/>
  <c r="G57" i="8"/>
  <c r="G52" i="6"/>
  <c r="G54" i="5"/>
  <c r="G55" i="9"/>
  <c r="G43" i="9"/>
  <c r="G42" i="9"/>
  <c r="G39" i="14"/>
  <c r="G40" i="14"/>
  <c r="G38" i="14"/>
  <c r="G45" i="8"/>
  <c r="G44" i="8"/>
  <c r="F57" i="17" l="1"/>
  <c r="E59" i="17"/>
  <c r="R21" i="17"/>
  <c r="P18" i="17"/>
  <c r="O19" i="17"/>
  <c r="R19" i="17"/>
  <c r="S18" i="17"/>
  <c r="P19" i="17"/>
  <c r="R23" i="17"/>
  <c r="S19" i="17"/>
  <c r="R17" i="17"/>
  <c r="Q18" i="17"/>
  <c r="Q19" i="17"/>
  <c r="Q20" i="17"/>
  <c r="M23" i="17"/>
  <c r="N22" i="17"/>
  <c r="P17" i="17"/>
  <c r="Q17" i="17"/>
  <c r="O22" i="17"/>
  <c r="M19" i="17"/>
  <c r="O20" i="17"/>
  <c r="R20" i="17"/>
  <c r="M20" i="17"/>
  <c r="O21" i="17"/>
  <c r="O17" i="17"/>
  <c r="N18" i="17"/>
  <c r="P21" i="17"/>
  <c r="N20" i="17"/>
  <c r="S22" i="17"/>
  <c r="Q22" i="17"/>
  <c r="Q23" i="17"/>
  <c r="O18" i="17"/>
  <c r="R22" i="17"/>
  <c r="M21" i="17"/>
  <c r="N19" i="17"/>
  <c r="S21" i="17"/>
  <c r="N21" i="17"/>
  <c r="P23" i="17"/>
  <c r="M17" i="17"/>
  <c r="S23" i="17"/>
  <c r="N17" i="17"/>
  <c r="R18" i="17"/>
  <c r="O23" i="17"/>
  <c r="G59" i="17"/>
  <c r="F59" i="17" s="1"/>
  <c r="P20" i="17"/>
  <c r="S20" i="17"/>
  <c r="M22" i="17"/>
  <c r="P22" i="17"/>
  <c r="Q21" i="17"/>
  <c r="N23" i="17"/>
  <c r="S17" i="17"/>
  <c r="M18" i="17"/>
  <c r="G43" i="7"/>
  <c r="G40" i="6" l="1"/>
  <c r="G39" i="6"/>
  <c r="G40" i="12" l="1"/>
  <c r="G34" i="9" l="1"/>
  <c r="G33" i="8"/>
  <c r="G34" i="7"/>
  <c r="G33" i="7"/>
  <c r="G5" i="6" l="1"/>
  <c r="G8" i="6" l="1"/>
  <c r="G13" i="14" l="1"/>
  <c r="G15" i="9"/>
  <c r="G7" i="8"/>
  <c r="G17" i="8"/>
  <c r="G16" i="8"/>
  <c r="G5" i="7"/>
  <c r="G15" i="7"/>
  <c r="G14" i="7"/>
  <c r="G13" i="6"/>
  <c r="G12" i="6"/>
  <c r="G13" i="5"/>
  <c r="G7" i="9"/>
  <c r="G13" i="9"/>
  <c r="G11" i="14"/>
  <c r="G10" i="9" l="1"/>
  <c r="G8" i="7"/>
  <c r="G10" i="8"/>
  <c r="G13" i="12"/>
  <c r="G5" i="14" l="1"/>
  <c r="G5" i="12"/>
  <c r="G12" i="12"/>
  <c r="G8" i="14" l="1"/>
  <c r="G8" i="12"/>
  <c r="G11" i="5"/>
  <c r="G13" i="7" l="1"/>
  <c r="G42" i="12"/>
  <c r="G31" i="12"/>
  <c r="G11" i="12" l="1"/>
  <c r="G31" i="6" l="1"/>
  <c r="G35" i="8"/>
  <c r="G36" i="8"/>
  <c r="G34" i="8"/>
  <c r="G33" i="9"/>
  <c r="L21" i="6" l="1"/>
  <c r="N16" i="6"/>
  <c r="O16" i="6" l="1"/>
  <c r="L17" i="6"/>
  <c r="L18" i="6"/>
  <c r="Q16" i="6"/>
  <c r="R16" i="6"/>
  <c r="S16" i="6"/>
  <c r="L23" i="6"/>
  <c r="L19" i="6"/>
  <c r="L22" i="6"/>
  <c r="M16" i="6"/>
  <c r="L21" i="7" l="1"/>
  <c r="O16" i="7"/>
  <c r="L24" i="8"/>
  <c r="M19" i="8"/>
  <c r="L23" i="9"/>
  <c r="N18" i="9"/>
  <c r="L21" i="14"/>
  <c r="Q16" i="14"/>
  <c r="O16" i="14" l="1"/>
  <c r="N19" i="8"/>
  <c r="O19" i="8"/>
  <c r="M16" i="14"/>
  <c r="N16" i="14"/>
  <c r="L17" i="14"/>
  <c r="R16" i="14"/>
  <c r="S16" i="14"/>
  <c r="L19" i="9"/>
  <c r="L20" i="8"/>
  <c r="S18" i="9"/>
  <c r="O18" i="9"/>
  <c r="Q18" i="9"/>
  <c r="R18" i="9"/>
  <c r="R19" i="8"/>
  <c r="S19" i="8"/>
  <c r="Q19" i="8"/>
  <c r="L18" i="7"/>
  <c r="L17" i="7"/>
  <c r="Q16" i="7"/>
  <c r="R16" i="7"/>
  <c r="S16" i="7"/>
  <c r="L19" i="7"/>
  <c r="L22" i="7"/>
  <c r="L23" i="7"/>
  <c r="M16" i="7"/>
  <c r="N16" i="7"/>
  <c r="L26" i="8"/>
  <c r="L22" i="8"/>
  <c r="L25" i="8"/>
  <c r="L21" i="8"/>
  <c r="L21" i="9"/>
  <c r="L24" i="9"/>
  <c r="M18" i="9"/>
  <c r="L25" i="9"/>
  <c r="L20" i="9"/>
  <c r="L23" i="14"/>
  <c r="L19" i="14"/>
  <c r="L22" i="14"/>
  <c r="L18" i="14"/>
  <c r="L23" i="5"/>
  <c r="L22" i="5" l="1"/>
  <c r="L19" i="5"/>
  <c r="S16" i="5"/>
  <c r="R16" i="5"/>
  <c r="Q16" i="5"/>
  <c r="O16" i="5"/>
  <c r="N16" i="5"/>
  <c r="M16" i="5"/>
  <c r="L21" i="5"/>
  <c r="L17" i="5"/>
  <c r="L18" i="5"/>
  <c r="G41" i="14" l="1"/>
  <c r="L21" i="12"/>
  <c r="G5" i="13" l="1"/>
  <c r="G12" i="14"/>
  <c r="O16" i="12"/>
  <c r="N16" i="12"/>
  <c r="L17" i="12"/>
  <c r="L18" i="12"/>
  <c r="Q16" i="12"/>
  <c r="R16" i="12"/>
  <c r="S16" i="12"/>
  <c r="L23" i="12"/>
  <c r="L19" i="12"/>
  <c r="L22" i="12"/>
  <c r="M16" i="12"/>
  <c r="G44" i="14" l="1"/>
  <c r="E55" i="14" l="1"/>
  <c r="E56" i="14"/>
  <c r="P31" i="14"/>
  <c r="O34" i="14"/>
  <c r="N33" i="14"/>
  <c r="M29" i="14"/>
  <c r="P35" i="14"/>
  <c r="M33" i="14"/>
  <c r="M35" i="14"/>
  <c r="R31" i="14"/>
  <c r="R34" i="14"/>
  <c r="P33" i="14"/>
  <c r="Q34" i="14"/>
  <c r="M31" i="14"/>
  <c r="M34" i="14"/>
  <c r="Q35" i="14"/>
  <c r="R29" i="14"/>
  <c r="S35" i="14"/>
  <c r="O29" i="14"/>
  <c r="O31" i="14"/>
  <c r="R35" i="14"/>
  <c r="P30" i="14"/>
  <c r="Q33" i="14"/>
  <c r="Q30" i="14"/>
  <c r="N30" i="14"/>
  <c r="O35" i="14"/>
  <c r="N31" i="14"/>
  <c r="N35" i="14"/>
  <c r="R33" i="14"/>
  <c r="O30" i="14"/>
  <c r="O33" i="14"/>
  <c r="R30" i="14"/>
  <c r="P29" i="14"/>
  <c r="S29" i="14"/>
  <c r="S30" i="14"/>
  <c r="N34" i="14"/>
  <c r="M30" i="14"/>
  <c r="G55" i="14"/>
  <c r="E57" i="14" s="1"/>
  <c r="G56" i="14"/>
  <c r="F56" i="14" s="1"/>
  <c r="S31" i="14"/>
  <c r="S33" i="14"/>
  <c r="P34" i="14"/>
  <c r="Q29" i="14"/>
  <c r="Q31" i="14"/>
  <c r="G6" i="13"/>
  <c r="G10" i="13" s="1"/>
  <c r="N29" i="14"/>
  <c r="S34" i="14"/>
  <c r="F55" i="14" l="1"/>
  <c r="M20" i="14"/>
  <c r="P20" i="14"/>
  <c r="S20" i="14"/>
  <c r="O20" i="14"/>
  <c r="R20" i="14"/>
  <c r="N20" i="14"/>
  <c r="Q20" i="14"/>
  <c r="G57" i="14"/>
  <c r="F57" i="14" s="1"/>
  <c r="M21" i="14"/>
  <c r="P21" i="14"/>
  <c r="O21" i="14"/>
  <c r="R21" i="14"/>
  <c r="N21" i="14"/>
  <c r="Q21" i="14"/>
  <c r="S21" i="14"/>
  <c r="S23" i="14"/>
  <c r="S22" i="14"/>
  <c r="O22" i="14"/>
  <c r="N22" i="14"/>
  <c r="P23" i="14"/>
  <c r="Q23" i="14"/>
  <c r="P19" i="14"/>
  <c r="S17" i="14"/>
  <c r="Q17" i="14"/>
  <c r="M18" i="14"/>
  <c r="R18" i="14"/>
  <c r="O23" i="14"/>
  <c r="M22" i="14"/>
  <c r="S19" i="14"/>
  <c r="O17" i="14"/>
  <c r="N19" i="14"/>
  <c r="Q19" i="14"/>
  <c r="P18" i="14"/>
  <c r="N18" i="14"/>
  <c r="R23" i="14"/>
  <c r="R22" i="14"/>
  <c r="N23" i="14"/>
  <c r="Q22" i="14"/>
  <c r="M19" i="14"/>
  <c r="M17" i="14"/>
  <c r="O19" i="14"/>
  <c r="R19" i="14"/>
  <c r="R17" i="14"/>
  <c r="N17" i="14"/>
  <c r="S18" i="14"/>
  <c r="P22" i="14"/>
  <c r="Q18" i="14"/>
  <c r="M23" i="14"/>
  <c r="P17" i="14"/>
  <c r="O18" i="14"/>
  <c r="G41" i="12"/>
  <c r="C5" i="13" l="1"/>
  <c r="G45" i="12" l="1"/>
  <c r="E57" i="12" l="1"/>
  <c r="C6" i="13"/>
  <c r="G57" i="12"/>
  <c r="F57" i="12" s="1"/>
  <c r="G11" i="6"/>
  <c r="D5" i="13" l="1"/>
  <c r="G41" i="6"/>
  <c r="G44" i="6" l="1"/>
  <c r="E55" i="6" l="1"/>
  <c r="E56" i="6"/>
  <c r="G55" i="6"/>
  <c r="E57" i="6" s="1"/>
  <c r="N34" i="6"/>
  <c r="R31" i="6"/>
  <c r="N21" i="6"/>
  <c r="M34" i="6"/>
  <c r="S34" i="6"/>
  <c r="R29" i="6"/>
  <c r="N33" i="6"/>
  <c r="R30" i="6"/>
  <c r="R35" i="6"/>
  <c r="P29" i="6"/>
  <c r="S33" i="6"/>
  <c r="O35" i="6"/>
  <c r="Q31" i="6"/>
  <c r="Q33" i="6"/>
  <c r="M29" i="6"/>
  <c r="M30" i="6"/>
  <c r="M31" i="6"/>
  <c r="Q29" i="6"/>
  <c r="D6" i="13"/>
  <c r="O34" i="6"/>
  <c r="N29" i="6"/>
  <c r="S31" i="6"/>
  <c r="M35" i="6"/>
  <c r="P30" i="6"/>
  <c r="Q34" i="6"/>
  <c r="P33" i="6"/>
  <c r="N30" i="6"/>
  <c r="Q35" i="6"/>
  <c r="N31" i="6"/>
  <c r="N35" i="6"/>
  <c r="P31" i="6"/>
  <c r="R34" i="6"/>
  <c r="Q30" i="6"/>
  <c r="S35" i="6"/>
  <c r="R33" i="6"/>
  <c r="O29" i="6"/>
  <c r="P34" i="6"/>
  <c r="O30" i="6"/>
  <c r="P35" i="6"/>
  <c r="M33" i="6"/>
  <c r="O31" i="6"/>
  <c r="S29" i="6"/>
  <c r="O33" i="6"/>
  <c r="S30" i="6"/>
  <c r="G56" i="6"/>
  <c r="F56" i="6" s="1"/>
  <c r="F5" i="13"/>
  <c r="G46" i="8"/>
  <c r="Q17" i="6" l="1"/>
  <c r="P17" i="6"/>
  <c r="Q22" i="6"/>
  <c r="M21" i="6"/>
  <c r="Q21" i="6"/>
  <c r="S21" i="6"/>
  <c r="O21" i="6"/>
  <c r="P21" i="6"/>
  <c r="G57" i="6"/>
  <c r="F57" i="6" s="1"/>
  <c r="P20" i="6"/>
  <c r="O20" i="6"/>
  <c r="R20" i="6"/>
  <c r="S20" i="6"/>
  <c r="R21" i="6"/>
  <c r="N20" i="6"/>
  <c r="M20" i="6"/>
  <c r="Q20" i="6"/>
  <c r="N18" i="6"/>
  <c r="P18" i="6"/>
  <c r="M23" i="6"/>
  <c r="Q23" i="6"/>
  <c r="S18" i="6"/>
  <c r="N23" i="6"/>
  <c r="N19" i="6"/>
  <c r="R23" i="6"/>
  <c r="S23" i="6"/>
  <c r="N22" i="6"/>
  <c r="M17" i="6"/>
  <c r="S17" i="6"/>
  <c r="O17" i="6"/>
  <c r="O22" i="6"/>
  <c r="P22" i="6"/>
  <c r="R18" i="6"/>
  <c r="O19" i="6"/>
  <c r="O18" i="6"/>
  <c r="Q18" i="6"/>
  <c r="F55" i="6"/>
  <c r="M19" i="6"/>
  <c r="M18" i="6"/>
  <c r="O23" i="6"/>
  <c r="S19" i="6"/>
  <c r="P19" i="6"/>
  <c r="M22" i="6"/>
  <c r="R19" i="6"/>
  <c r="Q19" i="6"/>
  <c r="P23" i="6"/>
  <c r="S22" i="6"/>
  <c r="R22" i="6"/>
  <c r="N17" i="6"/>
  <c r="R17" i="6"/>
  <c r="G49" i="8"/>
  <c r="Q32" i="8" l="1"/>
  <c r="E60" i="8"/>
  <c r="E61" i="8"/>
  <c r="S37" i="8"/>
  <c r="M38" i="8"/>
  <c r="N32" i="8"/>
  <c r="R32" i="8"/>
  <c r="S32" i="8"/>
  <c r="Q37" i="8"/>
  <c r="P38" i="8"/>
  <c r="O36" i="8"/>
  <c r="S36" i="8"/>
  <c r="M33" i="8"/>
  <c r="P34" i="8"/>
  <c r="O33" i="8"/>
  <c r="S33" i="8"/>
  <c r="F6" i="13"/>
  <c r="G60" i="8"/>
  <c r="E62" i="8" s="1"/>
  <c r="G61" i="8"/>
  <c r="F61" i="8" s="1"/>
  <c r="M36" i="8"/>
  <c r="Q34" i="8"/>
  <c r="R34" i="8"/>
  <c r="R37" i="8"/>
  <c r="S34" i="8"/>
  <c r="O34" i="8"/>
  <c r="Q38" i="8"/>
  <c r="S38" i="8"/>
  <c r="P36" i="8"/>
  <c r="N33" i="8"/>
  <c r="R38" i="8"/>
  <c r="Q33" i="8"/>
  <c r="P33" i="8"/>
  <c r="P32" i="8"/>
  <c r="N34" i="8"/>
  <c r="O38" i="8"/>
  <c r="P37" i="8"/>
  <c r="N36" i="8"/>
  <c r="M37" i="8"/>
  <c r="O32" i="8"/>
  <c r="M32" i="8"/>
  <c r="M34" i="8"/>
  <c r="N37" i="8"/>
  <c r="N38" i="8"/>
  <c r="R36" i="8"/>
  <c r="R33" i="8"/>
  <c r="O37" i="8"/>
  <c r="Q36" i="8"/>
  <c r="S23" i="8" l="1"/>
  <c r="P23" i="8"/>
  <c r="O23" i="8"/>
  <c r="R23" i="8"/>
  <c r="N23" i="8"/>
  <c r="Q23" i="8"/>
  <c r="M23" i="8"/>
  <c r="F60" i="8"/>
  <c r="G62" i="8"/>
  <c r="F62" i="8" s="1"/>
  <c r="O24" i="8"/>
  <c r="N24" i="8"/>
  <c r="Q24" i="8"/>
  <c r="M24" i="8"/>
  <c r="P24" i="8"/>
  <c r="R24" i="8"/>
  <c r="S24" i="8"/>
  <c r="M20" i="8"/>
  <c r="R25" i="8"/>
  <c r="P20" i="8"/>
  <c r="S20" i="8"/>
  <c r="Q25" i="8"/>
  <c r="O20" i="8"/>
  <c r="M25" i="8"/>
  <c r="P25" i="8"/>
  <c r="N20" i="8"/>
  <c r="Q20" i="8"/>
  <c r="S22" i="8"/>
  <c r="O22" i="8"/>
  <c r="S21" i="8"/>
  <c r="O21" i="8"/>
  <c r="R21" i="8"/>
  <c r="M22" i="8"/>
  <c r="P22" i="8"/>
  <c r="O26" i="8"/>
  <c r="N26" i="8"/>
  <c r="M26" i="8"/>
  <c r="S26" i="8"/>
  <c r="N25" i="8"/>
  <c r="R20" i="8"/>
  <c r="S25" i="8"/>
  <c r="P21" i="8"/>
  <c r="R22" i="8"/>
  <c r="N22" i="8"/>
  <c r="Q22" i="8"/>
  <c r="N21" i="8"/>
  <c r="Q21" i="8"/>
  <c r="M21" i="8"/>
  <c r="R26" i="8"/>
  <c r="Q26" i="8"/>
  <c r="P26" i="8"/>
  <c r="O25" i="8"/>
  <c r="E5" i="13"/>
  <c r="G44" i="7"/>
  <c r="G47" i="7" l="1"/>
  <c r="E58" i="7" l="1"/>
  <c r="E59" i="7"/>
  <c r="E6" i="13"/>
  <c r="G58" i="7"/>
  <c r="E60" i="7" s="1"/>
  <c r="G59" i="7"/>
  <c r="F59" i="7" s="1"/>
  <c r="O34" i="7"/>
  <c r="S33" i="7"/>
  <c r="M33" i="7"/>
  <c r="P34" i="7"/>
  <c r="N30" i="7"/>
  <c r="S35" i="7"/>
  <c r="N33" i="7"/>
  <c r="R30" i="7"/>
  <c r="R29" i="7"/>
  <c r="P33" i="7"/>
  <c r="R33" i="7"/>
  <c r="Q29" i="7"/>
  <c r="O30" i="7"/>
  <c r="Q30" i="7"/>
  <c r="R35" i="7"/>
  <c r="O31" i="7"/>
  <c r="Q31" i="7"/>
  <c r="S31" i="7"/>
  <c r="P30" i="7"/>
  <c r="P31" i="7"/>
  <c r="R31" i="7"/>
  <c r="Q34" i="7"/>
  <c r="N29" i="7"/>
  <c r="P29" i="7"/>
  <c r="M31" i="7"/>
  <c r="R34" i="7"/>
  <c r="N31" i="7"/>
  <c r="O35" i="7"/>
  <c r="Q35" i="7"/>
  <c r="N34" i="7"/>
  <c r="N35" i="7"/>
  <c r="O29" i="7"/>
  <c r="M34" i="7"/>
  <c r="S29" i="7"/>
  <c r="O33" i="7"/>
  <c r="S30" i="7"/>
  <c r="S34" i="7"/>
  <c r="M29" i="7"/>
  <c r="M30" i="7"/>
  <c r="P35" i="7"/>
  <c r="M35" i="7"/>
  <c r="Q33" i="7"/>
  <c r="G14" i="9"/>
  <c r="O20" i="7" l="1"/>
  <c r="R20" i="7"/>
  <c r="N20" i="7"/>
  <c r="Q20" i="7"/>
  <c r="M20" i="7"/>
  <c r="S20" i="7"/>
  <c r="P20" i="7"/>
  <c r="F58" i="7"/>
  <c r="G60" i="7"/>
  <c r="F60" i="7" s="1"/>
  <c r="M21" i="7"/>
  <c r="P21" i="7"/>
  <c r="S21" i="7"/>
  <c r="O21" i="7"/>
  <c r="R21" i="7"/>
  <c r="N21" i="7"/>
  <c r="Q21" i="7"/>
  <c r="P23" i="7"/>
  <c r="M17" i="7"/>
  <c r="S23" i="7"/>
  <c r="P17" i="7"/>
  <c r="O23" i="7"/>
  <c r="S17" i="7"/>
  <c r="R23" i="7"/>
  <c r="O17" i="7"/>
  <c r="N23" i="7"/>
  <c r="R17" i="7"/>
  <c r="Q23" i="7"/>
  <c r="N17" i="7"/>
  <c r="M23" i="7"/>
  <c r="M18" i="7"/>
  <c r="M22" i="7"/>
  <c r="P18" i="7"/>
  <c r="P22" i="7"/>
  <c r="S18" i="7"/>
  <c r="S22" i="7"/>
  <c r="O18" i="7"/>
  <c r="O22" i="7"/>
  <c r="R18" i="7"/>
  <c r="R22" i="7"/>
  <c r="N18" i="7"/>
  <c r="N22" i="7"/>
  <c r="Q18" i="7"/>
  <c r="Q22" i="7"/>
  <c r="M19" i="7"/>
  <c r="P19" i="7"/>
  <c r="S19" i="7"/>
  <c r="R19" i="7"/>
  <c r="N19" i="7"/>
  <c r="Q19" i="7"/>
  <c r="Q17" i="7"/>
  <c r="O19" i="7"/>
  <c r="H5" i="13"/>
  <c r="G44" i="9"/>
  <c r="G47" i="9" l="1"/>
  <c r="S36" i="9"/>
  <c r="S35" i="9"/>
  <c r="R36" i="9"/>
  <c r="O31" i="9"/>
  <c r="N36" i="9"/>
  <c r="N32" i="9"/>
  <c r="N31" i="9"/>
  <c r="M37" i="9"/>
  <c r="S33" i="9"/>
  <c r="O36" i="9"/>
  <c r="S32" i="9"/>
  <c r="O35" i="9"/>
  <c r="S31" i="9"/>
  <c r="O33" i="9"/>
  <c r="R37" i="9"/>
  <c r="O32" i="9"/>
  <c r="N37" i="9"/>
  <c r="R31" i="9"/>
  <c r="Q33" i="9"/>
  <c r="M36" i="9"/>
  <c r="Q32" i="9"/>
  <c r="M35" i="9"/>
  <c r="Q31" i="9"/>
  <c r="M33" i="9"/>
  <c r="P37" i="9"/>
  <c r="M32" i="9"/>
  <c r="P36" i="9"/>
  <c r="M31" i="9"/>
  <c r="P35" i="9"/>
  <c r="O37" i="9"/>
  <c r="R35" i="9"/>
  <c r="R33" i="9"/>
  <c r="R32" i="9"/>
  <c r="N35" i="9"/>
  <c r="N33" i="9"/>
  <c r="Q37" i="9"/>
  <c r="Q35" i="9"/>
  <c r="G59" i="9"/>
  <c r="F59" i="9" s="1"/>
  <c r="H6" i="13"/>
  <c r="S37" i="9" l="1"/>
  <c r="E58" i="9"/>
  <c r="E59" i="9"/>
  <c r="P32" i="9"/>
  <c r="P33" i="9"/>
  <c r="Q36" i="9"/>
  <c r="P31" i="9"/>
  <c r="G5" i="5"/>
  <c r="G12" i="5"/>
  <c r="G10" i="5"/>
  <c r="G8" i="5" l="1"/>
  <c r="G48" i="5"/>
  <c r="E10" i="13"/>
  <c r="C10" i="13"/>
  <c r="F10" i="13"/>
  <c r="H10" i="13"/>
  <c r="D10" i="13"/>
  <c r="G43" i="5" l="1"/>
  <c r="G45" i="5" s="1"/>
  <c r="G48" i="12"/>
  <c r="J5" i="13"/>
  <c r="G53" i="12" l="1"/>
  <c r="E56" i="12" s="1"/>
  <c r="Q31" i="12" l="1"/>
  <c r="M29" i="12"/>
  <c r="P30" i="12"/>
  <c r="S34" i="12"/>
  <c r="N35" i="12"/>
  <c r="R31" i="12"/>
  <c r="N34" i="12"/>
  <c r="S29" i="12"/>
  <c r="O31" i="12"/>
  <c r="P34" i="12"/>
  <c r="N32" i="12"/>
  <c r="Q35" i="12"/>
  <c r="P31" i="12"/>
  <c r="Q34" i="12"/>
  <c r="M33" i="12"/>
  <c r="S31" i="12"/>
  <c r="N29" i="12"/>
  <c r="M34" i="12"/>
  <c r="O33" i="12"/>
  <c r="P35" i="12"/>
  <c r="Q30" i="12"/>
  <c r="M31" i="12"/>
  <c r="R35" i="12"/>
  <c r="O30" i="12"/>
  <c r="S35" i="12"/>
  <c r="R34" i="12"/>
  <c r="O29" i="12"/>
  <c r="R33" i="12"/>
  <c r="P29" i="12"/>
  <c r="S33" i="12"/>
  <c r="O35" i="12"/>
  <c r="R30" i="12"/>
  <c r="N33" i="12"/>
  <c r="M30" i="12"/>
  <c r="P33" i="12"/>
  <c r="N31" i="12"/>
  <c r="M35" i="12"/>
  <c r="N30" i="12"/>
  <c r="Q33" i="12"/>
  <c r="S30" i="12"/>
  <c r="Q29" i="12"/>
  <c r="R29" i="12"/>
  <c r="O34" i="12"/>
  <c r="H7" i="13"/>
  <c r="H8" i="13" s="1"/>
  <c r="H11" i="13" s="1"/>
  <c r="M34" i="9"/>
  <c r="R34" i="9"/>
  <c r="Q34" i="9"/>
  <c r="G58" i="9"/>
  <c r="P34" i="9"/>
  <c r="N34" i="9"/>
  <c r="O34" i="9"/>
  <c r="S34" i="9"/>
  <c r="E7" i="13"/>
  <c r="E8" i="13" s="1"/>
  <c r="E11" i="13" s="1"/>
  <c r="Q32" i="7"/>
  <c r="M32" i="7"/>
  <c r="R32" i="7"/>
  <c r="S32" i="7"/>
  <c r="P32" i="7"/>
  <c r="N32" i="7"/>
  <c r="O32" i="7"/>
  <c r="C7" i="13"/>
  <c r="C8" i="13" s="1"/>
  <c r="C11" i="13" s="1"/>
  <c r="G56" i="12"/>
  <c r="S32" i="12"/>
  <c r="M32" i="12"/>
  <c r="R32" i="12"/>
  <c r="Q32" i="12"/>
  <c r="P32" i="12"/>
  <c r="O32" i="12"/>
  <c r="D7" i="13"/>
  <c r="D8" i="13" s="1"/>
  <c r="D11" i="13" s="1"/>
  <c r="Q32" i="6"/>
  <c r="R32" i="6"/>
  <c r="S32" i="6"/>
  <c r="P32" i="6"/>
  <c r="N32" i="6"/>
  <c r="M32" i="6"/>
  <c r="O32" i="6"/>
  <c r="G7" i="13"/>
  <c r="G8" i="13" s="1"/>
  <c r="G11" i="13" s="1"/>
  <c r="S32" i="14"/>
  <c r="R32" i="14"/>
  <c r="Q32" i="14"/>
  <c r="O32" i="14"/>
  <c r="N32" i="14"/>
  <c r="M32" i="14"/>
  <c r="P32" i="14"/>
  <c r="F7" i="13"/>
  <c r="F8" i="13" s="1"/>
  <c r="F11" i="13" s="1"/>
  <c r="P35" i="8"/>
  <c r="O35" i="8"/>
  <c r="R35" i="8"/>
  <c r="Q35" i="8"/>
  <c r="N35" i="8"/>
  <c r="S35" i="8"/>
  <c r="M35" i="8"/>
  <c r="G46" i="5"/>
  <c r="J7" i="13"/>
  <c r="E57" i="5" l="1"/>
  <c r="E58" i="5"/>
  <c r="F58" i="9"/>
  <c r="E60" i="9"/>
  <c r="F56" i="12"/>
  <c r="E58" i="12"/>
  <c r="R19" i="12"/>
  <c r="O20" i="12"/>
  <c r="R20" i="12"/>
  <c r="O21" i="12"/>
  <c r="R21" i="12"/>
  <c r="O22" i="12"/>
  <c r="O17" i="12"/>
  <c r="R17" i="12"/>
  <c r="Q18" i="12"/>
  <c r="Q19" i="12"/>
  <c r="Q20" i="12"/>
  <c r="N21" i="12"/>
  <c r="Q21" i="12"/>
  <c r="Q22" i="12"/>
  <c r="R22" i="12"/>
  <c r="O23" i="12"/>
  <c r="R23" i="12"/>
  <c r="N18" i="12"/>
  <c r="N19" i="12"/>
  <c r="N20" i="12"/>
  <c r="N22" i="12"/>
  <c r="N23" i="12"/>
  <c r="S19" i="12"/>
  <c r="M21" i="12"/>
  <c r="M17" i="12"/>
  <c r="S23" i="12"/>
  <c r="M20" i="12"/>
  <c r="S20" i="12"/>
  <c r="M22" i="12"/>
  <c r="S21" i="12"/>
  <c r="M23" i="12"/>
  <c r="S22" i="12"/>
  <c r="S17" i="12"/>
  <c r="P21" i="12"/>
  <c r="M19" i="12"/>
  <c r="R18" i="12"/>
  <c r="Q17" i="12"/>
  <c r="P18" i="12"/>
  <c r="P19" i="12"/>
  <c r="P20" i="12"/>
  <c r="N17" i="12"/>
  <c r="M18" i="12"/>
  <c r="S18" i="12"/>
  <c r="Q23" i="12"/>
  <c r="P22" i="12"/>
  <c r="P23" i="12"/>
  <c r="O19" i="12"/>
  <c r="P17" i="12"/>
  <c r="O18" i="12"/>
  <c r="Q20" i="9"/>
  <c r="N21" i="9"/>
  <c r="Q22" i="9"/>
  <c r="N19" i="9"/>
  <c r="S21" i="9"/>
  <c r="S22" i="9"/>
  <c r="M24" i="9"/>
  <c r="S23" i="9"/>
  <c r="M25" i="9"/>
  <c r="S24" i="9"/>
  <c r="S25" i="9"/>
  <c r="P19" i="9"/>
  <c r="S19" i="9"/>
  <c r="R20" i="9"/>
  <c r="R21" i="9"/>
  <c r="O22" i="9"/>
  <c r="R22" i="9"/>
  <c r="O23" i="9"/>
  <c r="R23" i="9"/>
  <c r="R25" i="9"/>
  <c r="O19" i="9"/>
  <c r="R19" i="9"/>
  <c r="Q21" i="9"/>
  <c r="N22" i="9"/>
  <c r="N23" i="9"/>
  <c r="Q25" i="9"/>
  <c r="M20" i="9"/>
  <c r="S20" i="9"/>
  <c r="P22" i="9"/>
  <c r="P24" i="9"/>
  <c r="M19" i="9"/>
  <c r="O20" i="9"/>
  <c r="O24" i="9"/>
  <c r="O25" i="9"/>
  <c r="Q23" i="9"/>
  <c r="N24" i="9"/>
  <c r="Q24" i="9"/>
  <c r="N25" i="9"/>
  <c r="Q19" i="9"/>
  <c r="P20" i="9"/>
  <c r="M21" i="9"/>
  <c r="P21" i="9"/>
  <c r="M22" i="9"/>
  <c r="M23" i="9"/>
  <c r="P23" i="9"/>
  <c r="P25" i="9"/>
  <c r="O21" i="9"/>
  <c r="N20" i="9"/>
  <c r="R24" i="9"/>
  <c r="J6" i="13"/>
  <c r="J10" i="13" s="1"/>
  <c r="P34" i="5"/>
  <c r="M29" i="5"/>
  <c r="P33" i="5"/>
  <c r="P29" i="5"/>
  <c r="S35" i="5"/>
  <c r="S29" i="5"/>
  <c r="R35" i="5"/>
  <c r="R34" i="5"/>
  <c r="N35" i="5"/>
  <c r="R31" i="5"/>
  <c r="R29" i="5"/>
  <c r="S34" i="5"/>
  <c r="P30" i="5"/>
  <c r="S33" i="5"/>
  <c r="O35" i="5"/>
  <c r="S31" i="5"/>
  <c r="O34" i="5"/>
  <c r="S30" i="5"/>
  <c r="O33" i="5"/>
  <c r="R33" i="5"/>
  <c r="R30" i="5"/>
  <c r="Q34" i="5"/>
  <c r="N29" i="5"/>
  <c r="Q33" i="5"/>
  <c r="M35" i="5"/>
  <c r="Q31" i="5"/>
  <c r="M34" i="5"/>
  <c r="Q30" i="5"/>
  <c r="M33" i="5"/>
  <c r="Q29" i="5"/>
  <c r="M31" i="5"/>
  <c r="P35" i="5"/>
  <c r="M30" i="5"/>
  <c r="P31" i="5"/>
  <c r="O31" i="5"/>
  <c r="O30" i="5"/>
  <c r="O29" i="5"/>
  <c r="N34" i="5"/>
  <c r="N33" i="5"/>
  <c r="N31" i="5"/>
  <c r="Q35" i="5"/>
  <c r="N30" i="5"/>
  <c r="P32" i="5"/>
  <c r="G60" i="9"/>
  <c r="F60" i="9" s="1"/>
  <c r="G58" i="12"/>
  <c r="F58" i="12" s="1"/>
  <c r="N32" i="5"/>
  <c r="R32" i="5"/>
  <c r="O32" i="5"/>
  <c r="S32" i="5"/>
  <c r="Q32" i="5"/>
  <c r="M32" i="5"/>
  <c r="G58" i="5"/>
  <c r="F58" i="5" s="1"/>
  <c r="G57" i="5"/>
  <c r="F57" i="5" l="1"/>
  <c r="E59" i="5"/>
  <c r="R19" i="5"/>
  <c r="O20" i="5"/>
  <c r="R20" i="5"/>
  <c r="O21" i="5"/>
  <c r="R21" i="5"/>
  <c r="O22" i="5"/>
  <c r="R23" i="5"/>
  <c r="O17" i="5"/>
  <c r="R17" i="5"/>
  <c r="Q18" i="5"/>
  <c r="Q19" i="5"/>
  <c r="Q20" i="5"/>
  <c r="Q21" i="5"/>
  <c r="N22" i="5"/>
  <c r="Q22" i="5"/>
  <c r="R22" i="5"/>
  <c r="O23" i="5"/>
  <c r="N18" i="5"/>
  <c r="N19" i="5"/>
  <c r="N20" i="5"/>
  <c r="N21" i="5"/>
  <c r="S17" i="5"/>
  <c r="Q23" i="5"/>
  <c r="Q17" i="5"/>
  <c r="P18" i="5"/>
  <c r="P19" i="5"/>
  <c r="S19" i="5"/>
  <c r="R18" i="5"/>
  <c r="S23" i="5"/>
  <c r="P20" i="5"/>
  <c r="P21" i="5"/>
  <c r="P22" i="5"/>
  <c r="P23" i="5"/>
  <c r="P17" i="5"/>
  <c r="O18" i="5"/>
  <c r="O19" i="5"/>
  <c r="N23" i="5"/>
  <c r="M20" i="5"/>
  <c r="M22" i="5"/>
  <c r="M23" i="5"/>
  <c r="S22" i="5"/>
  <c r="M18" i="5"/>
  <c r="M21" i="5"/>
  <c r="M17" i="5"/>
  <c r="N17" i="5"/>
  <c r="M19" i="5"/>
  <c r="S20" i="5"/>
  <c r="S18" i="5"/>
  <c r="S21" i="5"/>
  <c r="J8" i="13"/>
  <c r="J11" i="13" s="1"/>
  <c r="G59" i="5"/>
  <c r="F59" i="5" s="1"/>
</calcChain>
</file>

<file path=xl/sharedStrings.xml><?xml version="1.0" encoding="utf-8"?>
<sst xmlns="http://schemas.openxmlformats.org/spreadsheetml/2006/main" count="1550" uniqueCount="318">
  <si>
    <t>High Tunnel Crop Budgets</t>
  </si>
  <si>
    <t>Developed by:</t>
  </si>
  <si>
    <t>Capital Investments</t>
  </si>
  <si>
    <t>Value</t>
  </si>
  <si>
    <t>Unit</t>
  </si>
  <si>
    <t>High tunnel size (length x width)</t>
  </si>
  <si>
    <t>square feet</t>
  </si>
  <si>
    <t>percent</t>
  </si>
  <si>
    <t>$ per year</t>
  </si>
  <si>
    <t>Category</t>
  </si>
  <si>
    <t>Description</t>
  </si>
  <si>
    <t>Total</t>
  </si>
  <si>
    <t>Salvage value</t>
  </si>
  <si>
    <t>Dollars</t>
  </si>
  <si>
    <t>Years</t>
  </si>
  <si>
    <t>Percent</t>
  </si>
  <si>
    <t>Main structure</t>
  </si>
  <si>
    <t>hoops, purlins, baseboards, bracing</t>
  </si>
  <si>
    <t>framing, sheeting, doors</t>
  </si>
  <si>
    <t xml:space="preserve">Site preparation </t>
  </si>
  <si>
    <t>Electrical</t>
  </si>
  <si>
    <t>wiring, conduit, breakers, disconnects</t>
  </si>
  <si>
    <t>Installation labor</t>
  </si>
  <si>
    <t xml:space="preserve">Irrigation </t>
  </si>
  <si>
    <t>drip tape (600 foot) and connections</t>
  </si>
  <si>
    <t>roll-up side hardware, exhaust fans, timer</t>
  </si>
  <si>
    <t>Fixtures</t>
  </si>
  <si>
    <t>benches, tables, tool storage, racks</t>
  </si>
  <si>
    <t>Equipment and tools</t>
  </si>
  <si>
    <t>garden tiller (25% cost allocated to this tunnel)</t>
  </si>
  <si>
    <t>Covering</t>
  </si>
  <si>
    <t>greenhouse poly film, spring lock, etc.</t>
  </si>
  <si>
    <t xml:space="preserve">shade cloth </t>
  </si>
  <si>
    <t>Weed barrier</t>
  </si>
  <si>
    <t>landscape fabric (3 feet wide, 500 linear foot)</t>
  </si>
  <si>
    <t>Harvest</t>
  </si>
  <si>
    <t>Total costs</t>
  </si>
  <si>
    <t>Cost per sq. ft.</t>
  </si>
  <si>
    <t>Bell Pepper (High Tunnel) Enterprise Budget</t>
  </si>
  <si>
    <t>Notes for future updates</t>
  </si>
  <si>
    <t>Income</t>
  </si>
  <si>
    <t xml:space="preserve"> Quantity</t>
  </si>
  <si>
    <t>Price per unit</t>
  </si>
  <si>
    <t>Total dollars</t>
  </si>
  <si>
    <t>Table 1. Production and sales assumptions</t>
  </si>
  <si>
    <t>Bell peppers (retail)</t>
  </si>
  <si>
    <t>pound</t>
  </si>
  <si>
    <t>Assumption</t>
  </si>
  <si>
    <t>Quantity</t>
  </si>
  <si>
    <t>Missouri Farmers Market, green bell pepper, 2025 state average at 0.93 each, 5 ounce per pepper.</t>
  </si>
  <si>
    <t>Bell peppers (wholesale)</t>
  </si>
  <si>
    <t>Area used in production</t>
  </si>
  <si>
    <t>square foot</t>
  </si>
  <si>
    <t>Central Missouri produce auction, $14.74 in 1/2 bushel box, 2025 &amp; 2024 average, 27.5 lb in bushel.</t>
  </si>
  <si>
    <t>Other income</t>
  </si>
  <si>
    <t>total</t>
  </si>
  <si>
    <t>Plants in production</t>
  </si>
  <si>
    <t>plants in production</t>
  </si>
  <si>
    <t>6 beds, 2 rows per bed, 12 rows, 18 inch spacing, 70 feet rows. 552 plants</t>
  </si>
  <si>
    <t>Total income</t>
  </si>
  <si>
    <t xml:space="preserve">Marketable production </t>
  </si>
  <si>
    <t>pounds per plant</t>
  </si>
  <si>
    <t>Sales - retail marketing</t>
  </si>
  <si>
    <t>percent of production</t>
  </si>
  <si>
    <t>Operating costs</t>
  </si>
  <si>
    <t>Sales - wholesale marketing</t>
  </si>
  <si>
    <t>Plants</t>
  </si>
  <si>
    <t>each</t>
  </si>
  <si>
    <t>Stillwater Greenhouse, Orchard, Iowa 2026 commercial grower vegetable transplant list. Average of three varieties, rounded up to account for shipping.</t>
  </si>
  <si>
    <t>Soil test</t>
  </si>
  <si>
    <t>Table 2. Income over total costs sensitivity analysis</t>
  </si>
  <si>
    <t>MU soil test $15 per sample, plus $10 for shipping</t>
  </si>
  <si>
    <t>Plant tissue test</t>
  </si>
  <si>
    <t xml:space="preserve">Explore profitability expectations under varying yield and price scenarios while holding costs constant. </t>
  </si>
  <si>
    <t>MU plant tissue testing $25 per sample, plus $15 for shipping</t>
  </si>
  <si>
    <t>Fertilizer (broadcast)</t>
  </si>
  <si>
    <t>Pounds</t>
  </si>
  <si>
    <t>Nitrogen</t>
  </si>
  <si>
    <t>30% less</t>
  </si>
  <si>
    <t>20% less</t>
  </si>
  <si>
    <t>10% less</t>
  </si>
  <si>
    <t>Base</t>
  </si>
  <si>
    <t>10% more</t>
  </si>
  <si>
    <t>20% more</t>
  </si>
  <si>
    <t>30% more</t>
  </si>
  <si>
    <t>Phosphorus</t>
  </si>
  <si>
    <t>Potassium</t>
  </si>
  <si>
    <t>Price per pound</t>
  </si>
  <si>
    <t>15% less</t>
  </si>
  <si>
    <t>Fertilizer (injected)</t>
  </si>
  <si>
    <t>5% less</t>
  </si>
  <si>
    <t>20-20-20</t>
  </si>
  <si>
    <t>9-15-30</t>
  </si>
  <si>
    <t>5% more</t>
  </si>
  <si>
    <t xml:space="preserve">Soil amendment </t>
  </si>
  <si>
    <t>Lime</t>
  </si>
  <si>
    <t>15% more</t>
  </si>
  <si>
    <t>Sulphur</t>
  </si>
  <si>
    <t>Compost</t>
  </si>
  <si>
    <t>cubic yard</t>
  </si>
  <si>
    <t>Table 3. Operating costs and revenue sensitivity analysis</t>
  </si>
  <si>
    <t>Pest management*</t>
  </si>
  <si>
    <t xml:space="preserve">Explore profitability expectations under varying revenue and operating cost scenarios. </t>
  </si>
  <si>
    <t xml:space="preserve">   </t>
  </si>
  <si>
    <t>Fungicide</t>
  </si>
  <si>
    <t>Revenue</t>
  </si>
  <si>
    <t>Insecticide</t>
  </si>
  <si>
    <t>See "Chemicals" for rates and prices in the High Tunnel Budgets Assumptions worksheet</t>
  </si>
  <si>
    <t>Herbicide</t>
  </si>
  <si>
    <t>Beneficial insects</t>
  </si>
  <si>
    <t>Stakes**</t>
  </si>
  <si>
    <t>Assumes stakes have a 5-year lifespan and only 1/5 in the annual budget.</t>
  </si>
  <si>
    <t>Twine</t>
  </si>
  <si>
    <t>100 foot</t>
  </si>
  <si>
    <t>9,200 feet of twine, with 140 feet per row and 12 rows and 10% for excess needs. Average price from AI of 5 different suppliers.</t>
  </si>
  <si>
    <t>Labor</t>
  </si>
  <si>
    <t>Field and bed preparation</t>
  </si>
  <si>
    <t>hour</t>
  </si>
  <si>
    <t>Farmworkers, crop, nursery, and greenhouse (SOC 45-2092) for Missouri. May 2025 and index up for May 2026 (rounded from 18.57 to $18.60)</t>
  </si>
  <si>
    <t>Planting and establishment</t>
  </si>
  <si>
    <t>Crop maintenance</t>
  </si>
  <si>
    <t>Harvest and handling</t>
  </si>
  <si>
    <t xml:space="preserve">Cleanup and seasonal tasks </t>
  </si>
  <si>
    <t>Packaging</t>
  </si>
  <si>
    <t>Produce box</t>
  </si>
  <si>
    <t>Packaging cost from Glacier Valley Enterprises LLC, 1/2 bushel box, 13.5 pounds per box</t>
  </si>
  <si>
    <t>Glacier Valley, vented clear polyethylene bag, page 24, 3 lb, 6 inch x 3.5 inch x 15 inch. $0.03. 3 pounds per bag</t>
  </si>
  <si>
    <t xml:space="preserve">Marketing </t>
  </si>
  <si>
    <t>% of sales</t>
  </si>
  <si>
    <t>Other expense</t>
  </si>
  <si>
    <t>Operating interest</t>
  </si>
  <si>
    <t>Total operating costs</t>
  </si>
  <si>
    <t>Ownership costs</t>
  </si>
  <si>
    <t>Depreciation on investment</t>
  </si>
  <si>
    <t>month</t>
  </si>
  <si>
    <t>Interest on investment</t>
  </si>
  <si>
    <t>crop</t>
  </si>
  <si>
    <t>Repairs and maintenance</t>
  </si>
  <si>
    <t>% of investment/crop</t>
  </si>
  <si>
    <t>Additional overhead</t>
  </si>
  <si>
    <t>Total ownership costs</t>
  </si>
  <si>
    <t>$ per  sq. ft.</t>
  </si>
  <si>
    <t>$ per pound</t>
  </si>
  <si>
    <t>Income over operating costs</t>
  </si>
  <si>
    <t>Income over total costs</t>
  </si>
  <si>
    <t xml:space="preserve">*Growers should note that many factors affect the cost of pest management in high tunnel vegetable crops. Cultivar choice, </t>
  </si>
  <si>
    <t xml:space="preserve">environmental conditions, and management practices all influence pest pressure. These budget estimates assume typical Missouri </t>
  </si>
  <si>
    <t>high tunnel conditions, use of resistant cultivars, and recommended IPM practices. Actual costs will vary by year and production cycle.</t>
  </si>
  <si>
    <t>Cucumber (High Tunnel) Enterprise Budget</t>
  </si>
  <si>
    <t>Cucumbers (retail)</t>
  </si>
  <si>
    <t>Missouri Farmers Market, cucumber, 2025 state average at 3.07/pound.</t>
  </si>
  <si>
    <t>Cucumbers (wholesale)</t>
  </si>
  <si>
    <t>Central Missouri produce auction, $17.09 in 1/2 bushel box, 2025 &amp; 2024 average, 24 pounds in half bushel</t>
  </si>
  <si>
    <t>Rows spaced 4-6’  apart and plants 12” apart in single line or 24” apart in double staggered rows (still 1 plant per foot of bed). At 4’ in between rows there will be 7 rows in a 30’ wide tunnel for a total of 504 plants.</t>
  </si>
  <si>
    <t xml:space="preserve">Each fruit has an average weight of 0.42 pounds (according to Cornell variety trial). Yields in a 2,000 sq ft tunnel 6,350-8,044 pounds (assuming 30-38 fruits per plant, although a conservative number will be between 25-30). Assuming 60% of them are number 1 and 30% number 2 (70% total marketable yield): 4,445-5,631 pounds. </t>
  </si>
  <si>
    <t>Stillwater Greenhouse, Orchard, Iowa 2026 commercial grower vegetable transplant list. Average of two varieties, rounded up to account for shipping.</t>
  </si>
  <si>
    <t>Average rice per pound</t>
  </si>
  <si>
    <t>Trellis netting and support</t>
  </si>
  <si>
    <t>foot</t>
  </si>
  <si>
    <t>504 plants × 1 ft/plant = 504 linear feet of planted row. 10% additional for waste/wrapping/tension.</t>
  </si>
  <si>
    <t>Packaging cost from Glacier Valley Enterprises LLC, 1/2 bushel box, 24 pounds per box</t>
  </si>
  <si>
    <t>**Assumes total cost of netting and support in initial year. Amortizing cost or using owned netting/support will reduce this variable cost.</t>
  </si>
  <si>
    <t>Head Lettuce (High Tunnel) Enterprise Budget</t>
  </si>
  <si>
    <t>Lettuce (retail)</t>
  </si>
  <si>
    <t>head</t>
  </si>
  <si>
    <t>Missouri Farmers Market, lettuce, 2025 state average at 4.24/pound.</t>
  </si>
  <si>
    <t>Lettuce (wholesale)</t>
  </si>
  <si>
    <t>Central Missouri produce auction, $10.81 per flat, 2025 &amp; 2024 average, 20 pounds per flat</t>
  </si>
  <si>
    <t>12 inch in-row spacing, 4 rows/bed, 5 beds, 70 foot long beds</t>
  </si>
  <si>
    <t>Marketable yield</t>
  </si>
  <si>
    <t>percent of total production</t>
  </si>
  <si>
    <t>A 95% marketability assumption is reasonable for a well-managed high tunnel because protected culture generally reduces weather-related losses compared with field production while still accounting for occasional disease, insect damage, or undersized heads</t>
  </si>
  <si>
    <t xml:space="preserve">Seed </t>
  </si>
  <si>
    <t>1,000 seed</t>
  </si>
  <si>
    <t>1400 target plants, 90% germination, 1500 seeds needed. Pelleted seed. Average price from Ruup 2026, 7.25/1,000 seeds.</t>
  </si>
  <si>
    <t xml:space="preserve">Growing media </t>
  </si>
  <si>
    <t>cubic foot</t>
  </si>
  <si>
    <t>Pro-Mix BX 3.8-ft³ compressed bale, average price across 5 different suppliers. Approximately 40% needed for 13 plug trays</t>
  </si>
  <si>
    <t>Propagation trays*</t>
  </si>
  <si>
    <t>13 128-cell plug trays, average price across 5 different suppliers</t>
  </si>
  <si>
    <t>Heads</t>
  </si>
  <si>
    <t>Average rice per head</t>
  </si>
  <si>
    <t>Pest management**</t>
  </si>
  <si>
    <t>Row cover*</t>
  </si>
  <si>
    <t>linear foot</t>
  </si>
  <si>
    <t>5 beds, each 70 foot long, add 5 feet at each end. 400 linear feet. Morgan county seed $137.10 for 500 foot roll.</t>
  </si>
  <si>
    <t>Hoops*</t>
  </si>
  <si>
    <t>16 hoops per bed, 5 beds, 70 foot bed. Morgan County Seed estimate of 0.95, rounded up.</t>
  </si>
  <si>
    <t>Glacier Valley, packaging cost 24-head lettuce carton. Assume a 11 x 17 inch, 0.55 mil bag. Page 25</t>
  </si>
  <si>
    <t>Glacier Valley, packaging cost 24-head lettuce carton. Assume a 1 1/9 bushel box.</t>
  </si>
  <si>
    <t>$ per head</t>
  </si>
  <si>
    <t>*Assumes total cost in initial year. Amortizing cost over multiple years, or using owned supplies, will reduce this variable cost.</t>
  </si>
  <si>
    <t xml:space="preserve">**Growers should note that many factors affect the cost of pest management in high tunnel vegetable crops. Cultivar choice, </t>
  </si>
  <si>
    <t>Leafy Greens (High Tunnel) Enterprise Budget</t>
  </si>
  <si>
    <t>Note: budget can be modified to specific leafy green crops (e.g., spinach, kale, lettuce, mustard greens, etc.)</t>
  </si>
  <si>
    <t>Leafy greens (retail)</t>
  </si>
  <si>
    <t>Kentucky Farmers Market, lettuce, 2025 &amp; 2024 average at 5.24/pound.</t>
  </si>
  <si>
    <t>Leafy greens (wholesale)</t>
  </si>
  <si>
    <t>32% of retail price was used, based on what was used in head lettuce</t>
  </si>
  <si>
    <t>12 inch in-row spacing, 3 rows/bed, 5 beds, 70 foot long beds</t>
  </si>
  <si>
    <t>Production yield</t>
  </si>
  <si>
    <t>Assumes an average between leaf lettuce, spinach, kale, swiss chard and bok choy</t>
  </si>
  <si>
    <t>1050 target plants, 90% germination, 1200 seeds needed. Pelleted seed. Average price from 5 different suppliers for leaf lettuce, spinach, kale, swiss chard and bok choy</t>
  </si>
  <si>
    <t>Pro-Mix BX 3.8-ft³ compressed bale, average price across 5 different suppliers. Approximately 30% needed for 9 trays</t>
  </si>
  <si>
    <t>9 128-cell plug trays, average price across 5 different suppliers</t>
  </si>
  <si>
    <t xml:space="preserve">Pounds </t>
  </si>
  <si>
    <t>Average price per pound</t>
  </si>
  <si>
    <t xml:space="preserve"> </t>
  </si>
  <si>
    <t>Glacier Valley, packaging cost 24-head lettuce carton. Assume a 1 1/9 bushel box and 20 pounds per box. Page 32</t>
  </si>
  <si>
    <t>Fingerling Potato (High Tunnel) Enterprise Budget</t>
  </si>
  <si>
    <t>Fingerling potatoes (retail)</t>
  </si>
  <si>
    <t>Missouri Farmers Market, potato, 2025 state average at 4.36/quart, added 35% premium, 1 quart = 1.75 pounds</t>
  </si>
  <si>
    <t>Fingerling potatoes (wholesale)</t>
  </si>
  <si>
    <t>60% of retail estimate</t>
  </si>
  <si>
    <t>8 inch in-row spacing, 2 rows/bed, 5 beds, 70 foot long beds</t>
  </si>
  <si>
    <t>Table 1. Income over total costs sensitivity analysis</t>
  </si>
  <si>
    <t>ounce</t>
  </si>
  <si>
    <t>Table 2. Operating costs and revenue sensitivity analysis</t>
  </si>
  <si>
    <t>Packaging cost from Glacier Valley Enterprises LLC, 1/2 bushel box, 25 pounds per box</t>
  </si>
  <si>
    <t>Quart container</t>
  </si>
  <si>
    <t>Glacier Valley, Assume a 11 x 17 inch, 0.55 mil bag. Page 25</t>
  </si>
  <si>
    <t>Root Crops (High Tunnel) Enterprise Budget</t>
  </si>
  <si>
    <t>Note: budget can be modified for other root crops such as radishes, beets or carrots</t>
  </si>
  <si>
    <t>Beets (retail)</t>
  </si>
  <si>
    <t>Missouri Farmers Market, beet, 2025 state average at 3.61/bunch, 1.25 lb per bunch</t>
  </si>
  <si>
    <t>Beets (wholesale)</t>
  </si>
  <si>
    <t>Central Missouri produce auction, $16.57 for 1/2 bushel, 2025 &amp; 2024 average, 50 pounds = bushel</t>
  </si>
  <si>
    <t>Marketable plants in production</t>
  </si>
  <si>
    <t xml:space="preserve">25 rows (5 rows x 5 beds). Each row 72 feet., 3 inch in-row spacing, 7,500 to 8,000 plants in ground. </t>
  </si>
  <si>
    <t xml:space="preserve">Production </t>
  </si>
  <si>
    <t>0.50 pound for approximately 12,000 seedballs. Final stand being 7,200 of marketable beets. Beet prices averaged from Morgan County Seed and Ruup 2026 catalog for 6 types of conventional seed.</t>
  </si>
  <si>
    <t>Row cover</t>
  </si>
  <si>
    <t>Hoops</t>
  </si>
  <si>
    <t>Packaging cost from Glacier Valley Enterprises LLC, 1/2 bushel box, 25 pounds of beets per box</t>
  </si>
  <si>
    <t>Glacier Valley, vented clear polyethylene bag, page 24, 3 lb, 6 inch x 3.5 inch x 15 inch. $0.03</t>
  </si>
  <si>
    <t>Strawberry (High Tunnel) Enterprise Budget</t>
  </si>
  <si>
    <t xml:space="preserve">Strawberries (retail) </t>
  </si>
  <si>
    <t xml:space="preserve">Kentucky Farmers Market, 2025 &amp; 2024 average at 7.11/quart. </t>
  </si>
  <si>
    <t>Strawberries (wholesale)</t>
  </si>
  <si>
    <t>Central Missouri produce auction, 12 pint at $39.61, 2025 &amp; 2024 average, 0.75 pounds = 1 pint</t>
  </si>
  <si>
    <t>5 raised beds, 3 rows per bed, 12-inch row spacing, 12-inch in-spacing, 70 ft bed length</t>
  </si>
  <si>
    <t>Average of suppliers for ChatGPT. Nourse Farms (Massachusetts), Indiana Berry &amp; Plant Company, Lassen Canyon Nursery (California), Crown Nursery (North Carolina), Kraege Berry Farms (Wisconsin), Nova Fruit (Nova Scotia), Burchell Nursery (California)</t>
  </si>
  <si>
    <t>Packaging cost from Glacier Valley Enterprises LLC. Page 13, Quart pulp  green compostable</t>
  </si>
  <si>
    <t>Berry tray</t>
  </si>
  <si>
    <t>Packaging cost from Glacier Valley Enterprises LLC. 6 quart capacity</t>
  </si>
  <si>
    <t>Tomato (High Tunnel) Enterprise Budget</t>
  </si>
  <si>
    <t>Tomatoes (retail)</t>
  </si>
  <si>
    <t>Missouri Farmers Market, red slicing tomato, 2025 state average</t>
  </si>
  <si>
    <t>Tomatoes (wholesale)</t>
  </si>
  <si>
    <t>Central Missouri produce auction, M/L/XL, 26.31 per 15 lb. box, 2025 &amp; 2024 average</t>
  </si>
  <si>
    <t>Central Missouri Produce Auction, $14.39 per 32-count flat, spring 2026 pricing</t>
  </si>
  <si>
    <t>Calcium nitrate</t>
  </si>
  <si>
    <t>Quart containers</t>
  </si>
  <si>
    <t>Summary of High Tunnel Costs and Returns</t>
  </si>
  <si>
    <t>Bell pepper</t>
  </si>
  <si>
    <t>Cucumber</t>
  </si>
  <si>
    <t>Head lettuce</t>
  </si>
  <si>
    <t>Leafy greens</t>
  </si>
  <si>
    <t>Fingerling potato</t>
  </si>
  <si>
    <t>Root crops</t>
  </si>
  <si>
    <t>Strawberry</t>
  </si>
  <si>
    <t>Tomato</t>
  </si>
  <si>
    <t>Fixed costs</t>
  </si>
  <si>
    <t>Labor hours</t>
  </si>
  <si>
    <t>Updated: 8/2026</t>
  </si>
  <si>
    <t>grading, leveling, anchors, drainage</t>
  </si>
  <si>
    <t>broadfork, hand rake, shovel, hoe, pruner, push seeder</t>
  </si>
  <si>
    <t>rigid plastic totes with folding cover (15 quantity)</t>
  </si>
  <si>
    <t>*Note -Initial number here is based off of a 30 x 72" HT, If this number is adjusted then the investment costs</t>
  </si>
  <si>
    <t>Tim Reinbott received a quote for $8,000 for installation of two 28' x 52' HT's at Jefferson Farm (Fall 2024') estimates</t>
  </si>
  <si>
    <t>Based off of estimate Tim received, this would be $2.75 per square foot or $5,934 to install a 30'x72' HT</t>
  </si>
  <si>
    <t>This worksheet estimates some of the ownership costs for building and equipping a high tunnel system. Adjust these calculations as needed.</t>
  </si>
  <si>
    <t>Recommendations come from MU Soil Testing Manual and rates were split</t>
  </si>
  <si>
    <t>25% of N, 100% P, 50% K applied at pre-plant, rest applied as fertigation</t>
  </si>
  <si>
    <t>Urea - $40 per 50 lb bag</t>
  </si>
  <si>
    <t>Superphosphate $40 per 50 lb bag</t>
  </si>
  <si>
    <t>Potassium Sulfate $45 per  50 lb bag</t>
  </si>
  <si>
    <t>Magnesium Sulfate $30 per 50 lb bag</t>
  </si>
  <si>
    <t>Calcium Nitrate $35 per 50 lb bag</t>
  </si>
  <si>
    <t>9-15-30 $45 per 25 lb bag</t>
  </si>
  <si>
    <t>Bagged pelletized lime: $0.17/lb (equivalent to about $6.80 per 40-lb bag). Per ChatGPT</t>
  </si>
  <si>
    <t>Elemental sulfur (granular): $0.75/lb. Per ChatGPT</t>
  </si>
  <si>
    <t xml:space="preserve">Urea </t>
  </si>
  <si>
    <t xml:space="preserve">Superphosphate </t>
  </si>
  <si>
    <t>Potash (potassium sulfate)</t>
  </si>
  <si>
    <t>Epsom salts (magnesium sulfate)</t>
  </si>
  <si>
    <t xml:space="preserve">9-15-30 </t>
  </si>
  <si>
    <t>Ryan Milhollin, Juan Cabrera-Garcia, Justin Keay, Mallory Rahe</t>
  </si>
  <si>
    <t>1. Save a copy of the workbook using a new file name before making changes.</t>
  </si>
  <si>
    <t>4. Edit only the gray cells. White cells contain labels or formulas that calculate results automatically.</t>
  </si>
  <si>
    <t xml:space="preserve">5. Review the sensitivity analysis to evaluate how changes in yields, prices, costs or income affect profitability. </t>
  </si>
  <si>
    <r>
      <rPr>
        <b/>
        <sz val="12"/>
        <color theme="1"/>
        <rFont val="Aptos"/>
        <family val="2"/>
        <scheme val="minor"/>
      </rPr>
      <t>How to Use This Workbook</t>
    </r>
    <r>
      <rPr>
        <sz val="12"/>
        <color theme="1"/>
        <rFont val="Aptos"/>
        <family val="2"/>
        <scheme val="minor"/>
      </rPr>
      <t xml:space="preserve">
3.	
6.	</t>
    </r>
  </si>
  <si>
    <r>
      <rPr>
        <b/>
        <sz val="12"/>
        <color theme="1"/>
        <rFont val="Aptos"/>
        <family val="2"/>
        <scheme val="minor"/>
      </rPr>
      <t>Purpose</t>
    </r>
    <r>
      <rPr>
        <sz val="12"/>
        <color theme="1"/>
        <rFont val="Aptos"/>
        <family val="2"/>
        <scheme val="minor"/>
      </rPr>
      <t xml:space="preserve">
Use this workbook to develop customized enterprise budgets for high tunnel crops. An enterprise budget estimates the expected costs and returns for producing a single agricultural enterprise. It helps farmers evaluate profitability, compare production alternatives, estimate cash needs, and support management decisions.</t>
    </r>
  </si>
  <si>
    <r>
      <t xml:space="preserve">2. Begin with the </t>
    </r>
    <r>
      <rPr>
        <b/>
        <sz val="12"/>
        <color theme="1"/>
        <rFont val="Aptos"/>
        <family val="2"/>
        <scheme val="minor"/>
      </rPr>
      <t>Investment worksheet</t>
    </r>
    <r>
      <rPr>
        <sz val="12"/>
        <color theme="1"/>
        <rFont val="Aptos"/>
        <family val="2"/>
        <scheme val="minor"/>
      </rPr>
      <t xml:space="preserve">. Review and update assumptions concerning selected ownership costs. Ownership costs are incurred when assets are owned, regardless of how much crop is produced.  </t>
    </r>
  </si>
  <si>
    <r>
      <t xml:space="preserve">3. Complete only the </t>
    </r>
    <r>
      <rPr>
        <b/>
        <sz val="12"/>
        <color theme="1"/>
        <rFont val="Aptos"/>
        <family val="2"/>
        <scheme val="minor"/>
      </rPr>
      <t>individual crop worksheets</t>
    </r>
    <r>
      <rPr>
        <sz val="12"/>
        <color theme="1"/>
        <rFont val="Aptos"/>
        <family val="2"/>
        <scheme val="minor"/>
      </rPr>
      <t xml:space="preserve"> you are interested in. Default assumptions for income, operating costs (change with level of production) and ownership costs are based on Missouri conditions. Replace assumptions with values that reflect your farm.</t>
    </r>
  </si>
  <si>
    <t>This workbook is provided for educational purposes only. Results are estimates based on the assumptions and information entered by the user and should not be used as the sole basis for financial or management decisions.</t>
  </si>
  <si>
    <t>Other</t>
  </si>
  <si>
    <t>Enter</t>
  </si>
  <si>
    <t>Capital investments used across all budgets.</t>
  </si>
  <si>
    <t>Interest rate for capital investment</t>
  </si>
  <si>
    <t>One 6,000 foot of UV stabilized twine recommended. Morgan County Seed price estimate</t>
  </si>
  <si>
    <t>**Assumes total cost of stakes in initial year. Amortizing cost of stakes, or using owned stakes, will reduce this operating cost.</t>
  </si>
  <si>
    <t>Produce bag</t>
  </si>
  <si>
    <t>Packaging cost from Glacier Valley Enterprises LLC, 1/2 bushel box = 15 pound capacity.</t>
  </si>
  <si>
    <t>Packaging cost from Glacier Valley Enterprises LLC. 3 pounds per bag.</t>
  </si>
  <si>
    <t>Annual depreciation</t>
  </si>
  <si>
    <t>Annual interest</t>
  </si>
  <si>
    <t>Useful
 life</t>
  </si>
  <si>
    <t>frame erection, electrical</t>
  </si>
  <si>
    <t xml:space="preserve">7-inch stackable produce bins (15 quantity) </t>
  </si>
  <si>
    <t>water connection, filters, regulators, headers, injector</t>
  </si>
  <si>
    <t xml:space="preserve">Ventilation </t>
  </si>
  <si>
    <t xml:space="preserve">End walls </t>
  </si>
  <si>
    <r>
      <t>Land charge</t>
    </r>
    <r>
      <rPr>
        <i/>
        <sz val="12"/>
        <color theme="1"/>
        <rFont val="Aptos"/>
        <family val="2"/>
        <scheme val="minor"/>
      </rPr>
      <t xml:space="preserve"> (land and necessary improvements)</t>
    </r>
  </si>
  <si>
    <t>Land charge</t>
  </si>
  <si>
    <r>
      <t xml:space="preserve">6. Use the </t>
    </r>
    <r>
      <rPr>
        <b/>
        <sz val="12"/>
        <color theme="0"/>
        <rFont val="Aptos"/>
        <family val="2"/>
        <scheme val="minor"/>
      </rPr>
      <t>Summary worksheet</t>
    </r>
    <r>
      <rPr>
        <sz val="12"/>
        <color theme="0"/>
        <rFont val="Aptos"/>
        <family val="2"/>
        <scheme val="minor"/>
      </rPr>
      <t xml:space="preserve"> to compare crop enterprises and review projected income, expenses, labor requirements, and returns.</t>
    </r>
  </si>
  <si>
    <t>MU Extension publication G704, Tomato (High Tunnel) Planning Budget (extension.missouri.edu/publications/g704)</t>
  </si>
  <si>
    <t>For more information on high tunnel crop budgeting: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</si>
</sst>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7" formatCode="&quot;$&quot;#,##0.00_);\(&quot;$&quot;#,##0.00\)"/>
    <numFmt numFmtId="8" formatCode="&quot;$&quot;#,##0.00_);[Red]\(&quot;$&quot;#,##0.00\)"/>
    <numFmt numFmtId="44" formatCode="_(&quot;$&quot;* #,##0.00_);_(&quot;$&quot;* \(#,##0.00\);_(&quot;$&quot;* &quot;-&quot;??_);_(@_)"/>
    <numFmt numFmtId="164" formatCode="#,##0.0"/>
    <numFmt numFmtId="165" formatCode="&quot;$&quot;#,##0.00"/>
    <numFmt numFmtId="166" formatCode="&quot;$&quot;#,##0"/>
    <numFmt numFmtId="167" formatCode="0.0"/>
    <numFmt numFmtId="168" formatCode="0.0%"/>
  </numFmts>
  <fonts count="38">
    <font>
      <sz val="11"/>
      <color theme="1"/>
      <name val="Aptos"/>
      <family val="2"/>
      <scheme val="minor"/>
    </font>
    <font>
      <sz val="11"/>
      <color theme="1"/>
      <name val="Aptos"/>
      <family val="2"/>
      <scheme val="minor"/>
    </font>
    <font>
      <b/>
      <sz val="11"/>
      <color rgb="FF3F3F3F"/>
      <name val="Aptos"/>
      <family val="2"/>
      <scheme val="minor"/>
    </font>
    <font>
      <sz val="10"/>
      <color theme="1"/>
      <name val="Segoe UI"/>
      <family val="2"/>
    </font>
    <font>
      <sz val="12"/>
      <color theme="1"/>
      <name val="Aptos"/>
      <family val="2"/>
      <scheme val="minor"/>
    </font>
    <font>
      <sz val="12"/>
      <name val="Aptos"/>
      <family val="2"/>
      <scheme val="minor"/>
    </font>
    <font>
      <b/>
      <sz val="12"/>
      <color rgb="FF3F3F3F"/>
      <name val="Aptos"/>
      <family val="2"/>
      <scheme val="minor"/>
    </font>
    <font>
      <b/>
      <sz val="12"/>
      <color theme="1"/>
      <name val="Aptos"/>
      <family val="2"/>
      <scheme val="minor"/>
    </font>
    <font>
      <sz val="10"/>
      <name val="TimesNewRomanPS"/>
    </font>
    <font>
      <b/>
      <sz val="12"/>
      <name val="Aptos"/>
      <family val="2"/>
      <scheme val="minor"/>
    </font>
    <font>
      <sz val="10"/>
      <color theme="1"/>
      <name val="Aptos"/>
      <family val="2"/>
      <scheme val="minor"/>
    </font>
    <font>
      <sz val="11"/>
      <color theme="1"/>
      <name val="Palatino Linotype"/>
      <family val="1"/>
    </font>
    <font>
      <b/>
      <sz val="12"/>
      <color rgb="FFFDB719"/>
      <name val="Aptos Black"/>
      <family val="2"/>
      <scheme val="major"/>
    </font>
    <font>
      <sz val="12"/>
      <color theme="1"/>
      <name val="Palatino Linotype"/>
      <family val="1"/>
    </font>
    <font>
      <b/>
      <sz val="11"/>
      <name val="Aptos"/>
      <family val="2"/>
      <scheme val="minor"/>
    </font>
    <font>
      <sz val="16"/>
      <color rgb="FFFDB719"/>
      <name val="Aptos Black"/>
      <family val="2"/>
    </font>
    <font>
      <sz val="14"/>
      <color rgb="FFF1B82D"/>
      <name val="Aptos Black"/>
      <family val="2"/>
    </font>
    <font>
      <b/>
      <sz val="12"/>
      <color rgb="FFF1B82D"/>
      <name val="Aptos Black"/>
      <family val="2"/>
      <scheme val="major"/>
    </font>
    <font>
      <b/>
      <sz val="12"/>
      <color rgb="FFF1B82D"/>
      <name val="Aptos"/>
      <family val="2"/>
      <scheme val="minor"/>
    </font>
    <font>
      <i/>
      <sz val="12"/>
      <color theme="1"/>
      <name val="Aptos"/>
      <family val="2"/>
      <scheme val="minor"/>
    </font>
    <font>
      <u/>
      <sz val="12"/>
      <color theme="1"/>
      <name val="Aptos"/>
      <family val="2"/>
      <scheme val="minor"/>
    </font>
    <font>
      <sz val="11"/>
      <color theme="1"/>
      <name val="Segoe UI"/>
      <family val="2"/>
    </font>
    <font>
      <b/>
      <sz val="16"/>
      <color rgb="FFF1B82D"/>
      <name val="Aptos Black"/>
      <family val="2"/>
      <scheme val="major"/>
    </font>
    <font>
      <b/>
      <sz val="14"/>
      <color rgb="FFF1B82D"/>
      <name val="Segoe UI"/>
      <family val="2"/>
    </font>
    <font>
      <b/>
      <sz val="16"/>
      <color rgb="FFF1B82D"/>
      <name val="Aptos Black"/>
      <family val="2"/>
    </font>
    <font>
      <sz val="12"/>
      <color theme="1"/>
      <name val="Aptos"/>
      <family val="2"/>
    </font>
    <font>
      <b/>
      <sz val="12"/>
      <name val="Aptos"/>
      <family val="2"/>
    </font>
    <font>
      <b/>
      <u/>
      <sz val="12"/>
      <name val="Aptos"/>
      <family val="2"/>
    </font>
    <font>
      <sz val="11"/>
      <name val="Aptos"/>
      <family val="2"/>
    </font>
    <font>
      <sz val="12"/>
      <name val="Aptos"/>
      <family val="2"/>
    </font>
    <font>
      <sz val="8"/>
      <name val="Aptos"/>
      <family val="2"/>
      <scheme val="minor"/>
    </font>
    <font>
      <b/>
      <sz val="11"/>
      <color theme="1"/>
      <name val="Segoe UI"/>
      <family val="2"/>
    </font>
    <font>
      <u/>
      <sz val="11"/>
      <color theme="1"/>
      <name val="Aptos"/>
      <family val="2"/>
      <scheme val="minor"/>
    </font>
    <font>
      <sz val="9"/>
      <color theme="1"/>
      <name val="Aptos"/>
      <family val="2"/>
      <scheme val="minor"/>
    </font>
    <font>
      <sz val="10"/>
      <name val="Aptos"/>
      <family val="2"/>
      <scheme val="minor"/>
    </font>
    <font>
      <sz val="12"/>
      <color theme="0"/>
      <name val="Aptos"/>
      <family val="2"/>
      <scheme val="minor"/>
    </font>
    <font>
      <b/>
      <sz val="12"/>
      <color theme="0"/>
      <name val="Aptos"/>
      <family val="2"/>
      <scheme val="minor"/>
    </font>
    <font>
      <u/>
      <sz val="11"/>
      <color theme="10"/>
      <name val="Aptos"/>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1" fillId="0" borderId="0"/>
    <xf numFmtId="0" fontId="8" fillId="0" borderId="0"/>
    <xf numFmtId="0" fontId="37" fillId="0" borderId="0" applyNumberFormat="0" applyFill="0" applyBorder="0" applyAlignment="0" applyProtection="0"/>
  </cellStyleXfs>
  <cellXfs count="234">
    <xf numFmtId="0" fontId="0" fillId="0" borderId="0" xfId="0"/>
    <xf numFmtId="0" fontId="0" fillId="3" borderId="0" xfId="0" applyFill="1"/>
    <xf numFmtId="0" fontId="4" fillId="0" borderId="0" xfId="0" applyFont="1"/>
    <xf numFmtId="0" fontId="10" fillId="0" borderId="0" xfId="0" applyFont="1"/>
    <xf numFmtId="0" fontId="11" fillId="0" borderId="0" xfId="0" applyFont="1"/>
    <xf numFmtId="0" fontId="7" fillId="0" borderId="0" xfId="0" applyFont="1"/>
    <xf numFmtId="0" fontId="12" fillId="0" borderId="0" xfId="0" applyFont="1"/>
    <xf numFmtId="0" fontId="13" fillId="0" borderId="0" xfId="0" applyFont="1"/>
    <xf numFmtId="0" fontId="9" fillId="3" borderId="12" xfId="5" applyFont="1" applyFill="1" applyBorder="1" applyAlignment="1">
      <alignment horizontal="left"/>
    </xf>
    <xf numFmtId="2" fontId="9" fillId="3" borderId="12" xfId="5" applyNumberFormat="1" applyFont="1" applyFill="1" applyBorder="1" applyAlignment="1">
      <alignment horizontal="right"/>
    </xf>
    <xf numFmtId="164" fontId="4" fillId="5" borderId="0" xfId="0" applyNumberFormat="1" applyFont="1" applyFill="1" applyProtection="1">
      <protection locked="0"/>
    </xf>
    <xf numFmtId="165" fontId="4" fillId="5" borderId="0" xfId="1" applyNumberFormat="1" applyFont="1" applyFill="1" applyProtection="1">
      <protection locked="0"/>
    </xf>
    <xf numFmtId="165" fontId="4" fillId="0" borderId="7" xfId="0" applyNumberFormat="1" applyFont="1" applyBorder="1"/>
    <xf numFmtId="0" fontId="7" fillId="0" borderId="0" xfId="0" applyFont="1" applyAlignment="1">
      <alignment horizontal="right"/>
    </xf>
    <xf numFmtId="165" fontId="4" fillId="0" borderId="0" xfId="0" applyNumberFormat="1" applyFont="1"/>
    <xf numFmtId="0" fontId="9" fillId="0" borderId="12" xfId="0" applyFont="1" applyBorder="1"/>
    <xf numFmtId="164" fontId="4" fillId="0" borderId="0" xfId="0" applyNumberFormat="1" applyFont="1"/>
    <xf numFmtId="0" fontId="10" fillId="5" borderId="0" xfId="0" applyFont="1" applyFill="1" applyProtection="1">
      <protection locked="0"/>
    </xf>
    <xf numFmtId="165" fontId="11" fillId="0" borderId="0" xfId="0" applyNumberFormat="1" applyFont="1"/>
    <xf numFmtId="9" fontId="10" fillId="0" borderId="0" xfId="0" applyNumberFormat="1" applyFont="1" applyAlignment="1">
      <alignment horizontal="left"/>
    </xf>
    <xf numFmtId="165" fontId="4" fillId="5" borderId="0" xfId="0" applyNumberFormat="1" applyFont="1" applyFill="1" applyProtection="1">
      <protection locked="0"/>
    </xf>
    <xf numFmtId="3" fontId="4" fillId="0" borderId="0" xfId="0" applyNumberFormat="1" applyFont="1"/>
    <xf numFmtId="0" fontId="14" fillId="0" borderId="12" xfId="0" applyFont="1" applyBorder="1" applyAlignment="1">
      <alignment horizontal="left" wrapText="1"/>
    </xf>
    <xf numFmtId="0" fontId="4" fillId="5" borderId="0" xfId="0" applyFont="1" applyFill="1" applyProtection="1">
      <protection locked="0"/>
    </xf>
    <xf numFmtId="0" fontId="11" fillId="0" borderId="7" xfId="0" applyFont="1" applyBorder="1"/>
    <xf numFmtId="0" fontId="7" fillId="0" borderId="0" xfId="0" applyFont="1" applyAlignment="1">
      <alignment horizontal="left"/>
    </xf>
    <xf numFmtId="165" fontId="4" fillId="0" borderId="10" xfId="0" applyNumberFormat="1" applyFont="1" applyBorder="1"/>
    <xf numFmtId="0" fontId="3" fillId="0" borderId="0" xfId="0" applyFont="1"/>
    <xf numFmtId="0" fontId="4" fillId="3" borderId="0" xfId="0" applyFont="1" applyFill="1"/>
    <xf numFmtId="0" fontId="4" fillId="4" borderId="13" xfId="0" applyFont="1" applyFill="1" applyBorder="1"/>
    <xf numFmtId="0" fontId="4" fillId="4" borderId="12" xfId="0" applyFont="1" applyFill="1" applyBorder="1"/>
    <xf numFmtId="0" fontId="18" fillId="4" borderId="11" xfId="0" applyFont="1" applyFill="1" applyBorder="1" applyAlignment="1">
      <alignment horizontal="center" textRotation="90"/>
    </xf>
    <xf numFmtId="7" fontId="4" fillId="0" borderId="11" xfId="1" applyNumberFormat="1" applyFont="1" applyFill="1" applyBorder="1" applyAlignment="1" applyProtection="1">
      <alignment horizontal="center"/>
      <protection locked="0"/>
    </xf>
    <xf numFmtId="0" fontId="4" fillId="4" borderId="19" xfId="0" applyFont="1" applyFill="1" applyBorder="1"/>
    <xf numFmtId="0" fontId="4" fillId="4" borderId="14" xfId="0" applyFont="1" applyFill="1" applyBorder="1"/>
    <xf numFmtId="0" fontId="19" fillId="4" borderId="24" xfId="0" applyFont="1" applyFill="1" applyBorder="1"/>
    <xf numFmtId="0" fontId="9" fillId="0" borderId="12" xfId="5" applyFont="1" applyBorder="1" applyAlignment="1">
      <alignment horizontal="left"/>
    </xf>
    <xf numFmtId="2" fontId="9" fillId="0" borderId="12" xfId="5" applyNumberFormat="1" applyFont="1" applyBorder="1" applyAlignment="1">
      <alignment horizontal="right"/>
    </xf>
    <xf numFmtId="0" fontId="10" fillId="0" borderId="0" xfId="0" applyFont="1" applyProtection="1">
      <protection locked="0"/>
    </xf>
    <xf numFmtId="166" fontId="4" fillId="0" borderId="0" xfId="0" applyNumberFormat="1" applyFont="1"/>
    <xf numFmtId="3" fontId="4" fillId="0" borderId="10" xfId="0" applyNumberFormat="1" applyFont="1" applyBorder="1"/>
    <xf numFmtId="3" fontId="4" fillId="0" borderId="10" xfId="0" applyNumberFormat="1" applyFont="1" applyBorder="1" applyProtection="1">
      <protection locked="0"/>
    </xf>
    <xf numFmtId="3" fontId="4" fillId="0" borderId="15" xfId="0" applyNumberFormat="1" applyFont="1" applyBorder="1"/>
    <xf numFmtId="0" fontId="4" fillId="4" borderId="10" xfId="0" applyFont="1" applyFill="1" applyBorder="1"/>
    <xf numFmtId="0" fontId="4" fillId="4" borderId="15" xfId="0" applyFont="1" applyFill="1" applyBorder="1"/>
    <xf numFmtId="0" fontId="4" fillId="4" borderId="11" xfId="0" applyFont="1" applyFill="1" applyBorder="1"/>
    <xf numFmtId="0" fontId="4" fillId="4" borderId="0" xfId="0" applyFont="1" applyFill="1"/>
    <xf numFmtId="0" fontId="4" fillId="4" borderId="20" xfId="0" applyFont="1" applyFill="1" applyBorder="1"/>
    <xf numFmtId="0" fontId="5" fillId="3" borderId="0" xfId="0" applyFont="1" applyFill="1" applyAlignment="1">
      <alignment horizontal="right"/>
    </xf>
    <xf numFmtId="0" fontId="5" fillId="3" borderId="20" xfId="0" applyFont="1" applyFill="1" applyBorder="1" applyAlignment="1">
      <alignment horizontal="right"/>
    </xf>
    <xf numFmtId="0" fontId="18" fillId="4" borderId="16" xfId="0" applyFont="1" applyFill="1" applyBorder="1" applyAlignment="1">
      <alignment horizontal="center" textRotation="90"/>
    </xf>
    <xf numFmtId="0" fontId="18" fillId="4" borderId="7" xfId="0" applyFont="1" applyFill="1" applyBorder="1" applyAlignment="1">
      <alignment horizontal="center" textRotation="90"/>
    </xf>
    <xf numFmtId="0" fontId="19" fillId="4" borderId="25" xfId="0" applyFont="1" applyFill="1" applyBorder="1"/>
    <xf numFmtId="0" fontId="5" fillId="3" borderId="0" xfId="0" applyFont="1" applyFill="1" applyAlignment="1">
      <alignment horizontal="center" vertical="center"/>
    </xf>
    <xf numFmtId="7" fontId="4" fillId="0" borderId="11" xfId="1" applyNumberFormat="1" applyFont="1" applyBorder="1" applyAlignment="1">
      <alignment horizontal="center"/>
    </xf>
    <xf numFmtId="9" fontId="5" fillId="3" borderId="0" xfId="0" applyNumberFormat="1" applyFont="1" applyFill="1" applyAlignment="1">
      <alignment horizontal="center" vertical="center"/>
    </xf>
    <xf numFmtId="0" fontId="5" fillId="3" borderId="7" xfId="0" applyFont="1" applyFill="1" applyBorder="1" applyAlignment="1">
      <alignment horizontal="center" vertical="center"/>
    </xf>
    <xf numFmtId="7" fontId="4" fillId="0" borderId="16" xfId="1" applyNumberFormat="1" applyFont="1" applyBorder="1" applyAlignment="1">
      <alignment horizontal="center"/>
    </xf>
    <xf numFmtId="0" fontId="18" fillId="4" borderId="8" xfId="0" applyFont="1" applyFill="1" applyBorder="1" applyAlignment="1">
      <alignment horizontal="center" textRotation="90"/>
    </xf>
    <xf numFmtId="0" fontId="18" fillId="4" borderId="8" xfId="0" applyFont="1" applyFill="1" applyBorder="1" applyAlignment="1">
      <alignment horizontal="center" vertical="center" textRotation="90"/>
    </xf>
    <xf numFmtId="0" fontId="18" fillId="4" borderId="9" xfId="0" applyFont="1" applyFill="1" applyBorder="1" applyAlignment="1">
      <alignment horizontal="center" vertical="center" textRotation="90"/>
    </xf>
    <xf numFmtId="3" fontId="4" fillId="0" borderId="10" xfId="0" applyNumberFormat="1" applyFont="1" applyBorder="1" applyAlignment="1">
      <alignment horizontal="right"/>
    </xf>
    <xf numFmtId="3" fontId="4" fillId="0" borderId="15" xfId="0" applyNumberFormat="1" applyFont="1" applyBorder="1" applyAlignment="1">
      <alignment horizontal="right"/>
    </xf>
    <xf numFmtId="3" fontId="4" fillId="0" borderId="19" xfId="0" applyNumberFormat="1" applyFont="1" applyBorder="1" applyAlignment="1">
      <alignment horizontal="right"/>
    </xf>
    <xf numFmtId="165" fontId="4" fillId="0" borderId="0" xfId="1" applyNumberFormat="1" applyFont="1" applyFill="1" applyProtection="1">
      <protection locked="0"/>
    </xf>
    <xf numFmtId="165" fontId="0" fillId="0" borderId="0" xfId="0" applyNumberFormat="1"/>
    <xf numFmtId="167" fontId="4" fillId="0" borderId="0" xfId="0" applyNumberFormat="1" applyFont="1"/>
    <xf numFmtId="167" fontId="4" fillId="5" borderId="0" xfId="0" applyNumberFormat="1" applyFont="1" applyFill="1" applyProtection="1">
      <protection locked="0"/>
    </xf>
    <xf numFmtId="0" fontId="21" fillId="3" borderId="0" xfId="0" applyFont="1" applyFill="1"/>
    <xf numFmtId="0" fontId="21" fillId="0" borderId="0" xfId="0" applyFont="1"/>
    <xf numFmtId="0" fontId="4" fillId="3" borderId="0" xfId="0" applyFont="1" applyFill="1" applyAlignment="1">
      <alignment horizontal="right"/>
    </xf>
    <xf numFmtId="0" fontId="7" fillId="3" borderId="0" xfId="0" applyFont="1" applyFill="1"/>
    <xf numFmtId="0" fontId="7" fillId="3" borderId="0" xfId="0" applyFont="1" applyFill="1" applyAlignment="1">
      <alignment horizontal="left" indent="4"/>
    </xf>
    <xf numFmtId="3" fontId="4" fillId="5" borderId="0" xfId="0" applyNumberFormat="1" applyFont="1" applyFill="1" applyProtection="1">
      <protection locked="0"/>
    </xf>
    <xf numFmtId="165" fontId="4" fillId="5" borderId="0" xfId="0" applyNumberFormat="1" applyFont="1" applyFill="1" applyAlignment="1" applyProtection="1">
      <alignment horizontal="right"/>
      <protection locked="0"/>
    </xf>
    <xf numFmtId="0" fontId="3" fillId="3" borderId="0" xfId="0" applyFont="1" applyFill="1"/>
    <xf numFmtId="167" fontId="4" fillId="5" borderId="0" xfId="0" applyNumberFormat="1" applyFont="1" applyFill="1"/>
    <xf numFmtId="0" fontId="7" fillId="0" borderId="12" xfId="0" applyFont="1" applyBorder="1" applyAlignment="1">
      <alignment horizontal="right"/>
    </xf>
    <xf numFmtId="165" fontId="4" fillId="5" borderId="0" xfId="0" applyNumberFormat="1" applyFont="1" applyFill="1"/>
    <xf numFmtId="3" fontId="4" fillId="5" borderId="0" xfId="0" applyNumberFormat="1" applyFont="1" applyFill="1"/>
    <xf numFmtId="164" fontId="4" fillId="5" borderId="0" xfId="0" applyNumberFormat="1" applyFont="1" applyFill="1"/>
    <xf numFmtId="0" fontId="7" fillId="3" borderId="0" xfId="0" applyFont="1" applyFill="1" applyAlignment="1">
      <alignment horizontal="left"/>
    </xf>
    <xf numFmtId="0" fontId="4" fillId="5" borderId="0" xfId="0" applyFont="1" applyFill="1"/>
    <xf numFmtId="164" fontId="0" fillId="0" borderId="0" xfId="0" applyNumberFormat="1"/>
    <xf numFmtId="167" fontId="0" fillId="0" borderId="0" xfId="0" applyNumberFormat="1"/>
    <xf numFmtId="165" fontId="4" fillId="5" borderId="0" xfId="1" applyNumberFormat="1" applyFont="1" applyFill="1" applyProtection="1"/>
    <xf numFmtId="0" fontId="4" fillId="5" borderId="0" xfId="0" applyFont="1" applyFill="1" applyAlignment="1" applyProtection="1">
      <alignment horizontal="left"/>
      <protection locked="0"/>
    </xf>
    <xf numFmtId="0" fontId="25" fillId="5" borderId="0" xfId="0" applyFont="1" applyFill="1" applyProtection="1">
      <protection locked="0"/>
    </xf>
    <xf numFmtId="168" fontId="25" fillId="5" borderId="0" xfId="0" applyNumberFormat="1" applyFont="1" applyFill="1" applyProtection="1">
      <protection locked="0"/>
    </xf>
    <xf numFmtId="0" fontId="25" fillId="0" borderId="0" xfId="0" applyFont="1" applyAlignment="1">
      <alignment horizontal="right"/>
    </xf>
    <xf numFmtId="0" fontId="25" fillId="5" borderId="7" xfId="0" applyFont="1" applyFill="1" applyBorder="1" applyProtection="1">
      <protection locked="0"/>
    </xf>
    <xf numFmtId="168" fontId="25" fillId="5" borderId="7" xfId="0" applyNumberFormat="1" applyFont="1" applyFill="1" applyBorder="1" applyProtection="1">
      <protection locked="0"/>
    </xf>
    <xf numFmtId="165" fontId="5" fillId="5" borderId="0" xfId="5" applyNumberFormat="1" applyFont="1" applyFill="1" applyAlignment="1" applyProtection="1">
      <alignment horizontal="right"/>
      <protection locked="0"/>
    </xf>
    <xf numFmtId="0" fontId="4" fillId="3" borderId="0" xfId="0" applyFont="1" applyFill="1" applyAlignment="1">
      <alignment horizontal="left" wrapText="1"/>
    </xf>
    <xf numFmtId="10" fontId="4" fillId="5" borderId="0" xfId="0" applyNumberFormat="1" applyFont="1" applyFill="1" applyProtection="1">
      <protection locked="0"/>
    </xf>
    <xf numFmtId="0" fontId="29" fillId="5" borderId="0" xfId="0" applyFont="1" applyFill="1" applyProtection="1">
      <protection locked="0"/>
    </xf>
    <xf numFmtId="0" fontId="4" fillId="0" borderId="0" xfId="0" applyFont="1" applyProtection="1">
      <protection locked="0"/>
    </xf>
    <xf numFmtId="0" fontId="15" fillId="0" borderId="0" xfId="0" applyFont="1" applyAlignment="1">
      <alignment horizontal="center" wrapText="1"/>
    </xf>
    <xf numFmtId="0" fontId="9" fillId="3" borderId="7" xfId="5" applyFont="1" applyFill="1" applyBorder="1" applyAlignment="1">
      <alignment horizontal="left"/>
    </xf>
    <xf numFmtId="0" fontId="9" fillId="3" borderId="0" xfId="5" applyFont="1" applyFill="1" applyAlignment="1">
      <alignment horizontal="left"/>
    </xf>
    <xf numFmtId="0" fontId="5" fillId="0" borderId="0" xfId="5" applyFont="1" applyAlignment="1">
      <alignment horizontal="left"/>
    </xf>
    <xf numFmtId="0" fontId="5" fillId="3" borderId="0" xfId="0" applyFont="1" applyFill="1" applyAlignment="1">
      <alignment horizontal="right" vertical="center"/>
    </xf>
    <xf numFmtId="9" fontId="5" fillId="3" borderId="0" xfId="0" applyNumberFormat="1" applyFont="1" applyFill="1" applyAlignment="1">
      <alignment horizontal="right" vertical="center"/>
    </xf>
    <xf numFmtId="0" fontId="5" fillId="3" borderId="7" xfId="0" applyFont="1" applyFill="1" applyBorder="1" applyAlignment="1">
      <alignment horizontal="right" vertical="center"/>
    </xf>
    <xf numFmtId="0" fontId="17" fillId="4" borderId="12" xfId="0" applyFont="1" applyFill="1" applyBorder="1"/>
    <xf numFmtId="0" fontId="17" fillId="4" borderId="17" xfId="0" applyFont="1" applyFill="1" applyBorder="1"/>
    <xf numFmtId="0" fontId="4" fillId="3" borderId="0" xfId="0" applyFont="1" applyFill="1" applyAlignment="1">
      <alignment wrapText="1"/>
    </xf>
    <xf numFmtId="0" fontId="17" fillId="4" borderId="12" xfId="0" applyFont="1" applyFill="1" applyBorder="1" applyAlignment="1">
      <alignment wrapText="1"/>
    </xf>
    <xf numFmtId="0" fontId="4" fillId="4" borderId="17" xfId="0" applyFont="1" applyFill="1" applyBorder="1"/>
    <xf numFmtId="0" fontId="0" fillId="4" borderId="12" xfId="0" applyFill="1" applyBorder="1"/>
    <xf numFmtId="0" fontId="4" fillId="3" borderId="0" xfId="0" applyFont="1" applyFill="1" applyAlignment="1">
      <alignment horizontal="left"/>
    </xf>
    <xf numFmtId="6" fontId="5" fillId="0" borderId="19" xfId="1" applyNumberFormat="1" applyFont="1" applyFill="1" applyBorder="1"/>
    <xf numFmtId="6" fontId="5" fillId="0" borderId="10" xfId="1" applyNumberFormat="1" applyFont="1" applyFill="1" applyBorder="1"/>
    <xf numFmtId="6" fontId="5" fillId="0" borderId="15" xfId="1" applyNumberFormat="1" applyFont="1" applyFill="1" applyBorder="1"/>
    <xf numFmtId="6" fontId="5" fillId="0" borderId="11" xfId="1" applyNumberFormat="1" applyFont="1" applyFill="1" applyBorder="1"/>
    <xf numFmtId="6" fontId="5" fillId="0" borderId="0" xfId="1" applyNumberFormat="1" applyFont="1" applyFill="1" applyBorder="1"/>
    <xf numFmtId="6" fontId="5" fillId="0" borderId="20" xfId="1" applyNumberFormat="1" applyFont="1" applyFill="1" applyBorder="1"/>
    <xf numFmtId="6" fontId="5" fillId="0" borderId="25" xfId="1" applyNumberFormat="1" applyFont="1" applyFill="1" applyBorder="1"/>
    <xf numFmtId="6" fontId="5" fillId="0" borderId="16" xfId="1" applyNumberFormat="1" applyFont="1" applyFill="1" applyBorder="1"/>
    <xf numFmtId="6" fontId="5" fillId="0" borderId="7" xfId="1" applyNumberFormat="1" applyFont="1" applyFill="1" applyBorder="1"/>
    <xf numFmtId="6" fontId="5" fillId="0" borderId="22" xfId="1" applyNumberFormat="1" applyFont="1" applyFill="1" applyBorder="1"/>
    <xf numFmtId="2" fontId="4" fillId="0" borderId="26" xfId="0" applyNumberFormat="1" applyFont="1" applyBorder="1" applyAlignment="1">
      <alignment horizontal="right"/>
    </xf>
    <xf numFmtId="2" fontId="4" fillId="0" borderId="18" xfId="0" applyNumberFormat="1" applyFont="1" applyBorder="1" applyAlignment="1">
      <alignment horizontal="right"/>
    </xf>
    <xf numFmtId="2" fontId="4" fillId="0" borderId="21" xfId="0" applyNumberFormat="1" applyFont="1" applyBorder="1" applyAlignment="1">
      <alignment horizontal="right"/>
    </xf>
    <xf numFmtId="2" fontId="4" fillId="0" borderId="11" xfId="0" applyNumberFormat="1" applyFont="1" applyBorder="1" applyAlignment="1">
      <alignment horizontal="right"/>
    </xf>
    <xf numFmtId="2" fontId="4" fillId="0" borderId="19" xfId="0" applyNumberFormat="1" applyFont="1" applyBorder="1" applyAlignment="1">
      <alignment horizontal="right"/>
    </xf>
    <xf numFmtId="2" fontId="4" fillId="0" borderId="16" xfId="0" applyNumberFormat="1" applyFont="1" applyBorder="1" applyAlignment="1">
      <alignment horizontal="right"/>
    </xf>
    <xf numFmtId="0" fontId="0" fillId="4" borderId="0" xfId="0" applyFill="1"/>
    <xf numFmtId="164" fontId="4" fillId="0" borderId="0" xfId="0" applyNumberFormat="1" applyFont="1" applyProtection="1">
      <protection locked="0"/>
    </xf>
    <xf numFmtId="165" fontId="4" fillId="5" borderId="7" xfId="0" applyNumberFormat="1" applyFont="1" applyFill="1" applyBorder="1"/>
    <xf numFmtId="167" fontId="4" fillId="3" borderId="0" xfId="0" applyNumberFormat="1" applyFont="1" applyFill="1"/>
    <xf numFmtId="165" fontId="4" fillId="3" borderId="0" xfId="0" applyNumberFormat="1" applyFont="1" applyFill="1"/>
    <xf numFmtId="164" fontId="4" fillId="3" borderId="0" xfId="0" applyNumberFormat="1" applyFont="1" applyFill="1"/>
    <xf numFmtId="0" fontId="7" fillId="0" borderId="7" xfId="0" applyFont="1" applyBorder="1" applyAlignment="1">
      <alignment horizontal="left"/>
    </xf>
    <xf numFmtId="10" fontId="4" fillId="5" borderId="0" xfId="0" applyNumberFormat="1" applyFont="1" applyFill="1"/>
    <xf numFmtId="10" fontId="4" fillId="5" borderId="0" xfId="2" applyNumberFormat="1" applyFont="1" applyFill="1" applyProtection="1">
      <protection locked="0"/>
    </xf>
    <xf numFmtId="0" fontId="4" fillId="0" borderId="0" xfId="0" applyFont="1" applyAlignment="1">
      <alignment horizontal="left"/>
    </xf>
    <xf numFmtId="0" fontId="16" fillId="0" borderId="0" xfId="4" applyFont="1" applyAlignment="1">
      <alignment horizontal="left"/>
    </xf>
    <xf numFmtId="0" fontId="7" fillId="0" borderId="12" xfId="0" applyFont="1" applyBorder="1"/>
    <xf numFmtId="0" fontId="16" fillId="4" borderId="0" xfId="4" applyFont="1" applyFill="1"/>
    <xf numFmtId="0" fontId="16" fillId="0" borderId="0" xfId="4" applyFont="1"/>
    <xf numFmtId="8" fontId="4" fillId="0" borderId="0" xfId="0" applyNumberFormat="1" applyFont="1"/>
    <xf numFmtId="8" fontId="4" fillId="0" borderId="7" xfId="0" applyNumberFormat="1" applyFont="1" applyBorder="1"/>
    <xf numFmtId="0" fontId="4" fillId="0" borderId="7" xfId="0" applyFont="1" applyBorder="1"/>
    <xf numFmtId="8" fontId="4" fillId="0" borderId="0" xfId="0" applyNumberFormat="1" applyFont="1" applyProtection="1">
      <protection hidden="1"/>
    </xf>
    <xf numFmtId="38" fontId="4" fillId="0" borderId="7" xfId="0" applyNumberFormat="1" applyFont="1" applyBorder="1"/>
    <xf numFmtId="0" fontId="6" fillId="0" borderId="0" xfId="3" applyFont="1" applyFill="1" applyBorder="1" applyAlignment="1"/>
    <xf numFmtId="0" fontId="11" fillId="0" borderId="12" xfId="0" applyFont="1" applyBorder="1"/>
    <xf numFmtId="0" fontId="0" fillId="0" borderId="12" xfId="0" applyBorder="1"/>
    <xf numFmtId="0" fontId="7" fillId="0" borderId="10" xfId="0" applyFont="1" applyBorder="1" applyAlignment="1">
      <alignment horizontal="right"/>
    </xf>
    <xf numFmtId="0" fontId="7" fillId="0" borderId="0" xfId="0" applyFont="1" applyAlignment="1">
      <alignment horizontal="left" wrapText="1"/>
    </xf>
    <xf numFmtId="0" fontId="10" fillId="5" borderId="0" xfId="0" applyFont="1" applyFill="1"/>
    <xf numFmtId="0" fontId="4" fillId="5" borderId="0" xfId="0" quotePrefix="1" applyFont="1" applyFill="1"/>
    <xf numFmtId="0" fontId="31" fillId="0" borderId="12" xfId="0" applyFont="1" applyBorder="1"/>
    <xf numFmtId="0" fontId="0" fillId="0" borderId="7" xfId="0" applyBorder="1"/>
    <xf numFmtId="0" fontId="10" fillId="0" borderId="7" xfId="0" applyFont="1" applyBorder="1"/>
    <xf numFmtId="0" fontId="4" fillId="0" borderId="7" xfId="0" applyFont="1" applyBorder="1" applyAlignment="1">
      <alignment horizontal="left"/>
    </xf>
    <xf numFmtId="9" fontId="4" fillId="5" borderId="0" xfId="0" applyNumberFormat="1" applyFont="1" applyFill="1" applyAlignment="1">
      <alignment horizontal="right"/>
    </xf>
    <xf numFmtId="9" fontId="4" fillId="5" borderId="7" xfId="0" applyNumberFormat="1" applyFont="1" applyFill="1" applyBorder="1" applyAlignment="1">
      <alignment horizontal="right"/>
    </xf>
    <xf numFmtId="3" fontId="4" fillId="0" borderId="0" xfId="0" applyNumberFormat="1" applyFont="1" applyProtection="1">
      <protection locked="0"/>
    </xf>
    <xf numFmtId="0" fontId="31" fillId="0" borderId="12" xfId="0" applyFont="1" applyBorder="1" applyAlignment="1">
      <alignment horizontal="left"/>
    </xf>
    <xf numFmtId="0" fontId="31" fillId="0" borderId="12" xfId="0" applyFont="1" applyBorder="1" applyAlignment="1">
      <alignment horizontal="right"/>
    </xf>
    <xf numFmtId="0" fontId="20" fillId="0" borderId="0" xfId="0" applyFont="1"/>
    <xf numFmtId="2" fontId="4" fillId="5" borderId="0" xfId="0" applyNumberFormat="1" applyFont="1" applyFill="1"/>
    <xf numFmtId="1" fontId="4" fillId="5" borderId="0" xfId="0" applyNumberFormat="1" applyFont="1" applyFill="1"/>
    <xf numFmtId="9" fontId="4" fillId="5" borderId="0" xfId="0" applyNumberFormat="1" applyFont="1" applyFill="1"/>
    <xf numFmtId="167" fontId="11" fillId="0" borderId="0" xfId="0" applyNumberFormat="1" applyFont="1"/>
    <xf numFmtId="164" fontId="11" fillId="0" borderId="0" xfId="0" applyNumberFormat="1" applyFont="1"/>
    <xf numFmtId="0" fontId="33" fillId="0" borderId="0" xfId="0" applyFont="1"/>
    <xf numFmtId="0" fontId="33" fillId="0" borderId="0" xfId="0" applyFont="1" applyAlignment="1">
      <alignment vertical="top"/>
    </xf>
    <xf numFmtId="0" fontId="34" fillId="0" borderId="0" xfId="5" applyFont="1" applyAlignment="1">
      <alignment horizontal="left"/>
    </xf>
    <xf numFmtId="0" fontId="22" fillId="4" borderId="2" xfId="4" applyFont="1" applyFill="1" applyBorder="1" applyAlignment="1">
      <alignment horizontal="center"/>
    </xf>
    <xf numFmtId="0" fontId="4" fillId="3" borderId="0" xfId="0" applyFont="1" applyFill="1" applyAlignment="1">
      <alignment vertical="top" wrapText="1"/>
    </xf>
    <xf numFmtId="0" fontId="6" fillId="2" borderId="25" xfId="3" applyFont="1" applyBorder="1" applyAlignment="1">
      <alignment vertical="top" wrapText="1"/>
    </xf>
    <xf numFmtId="0" fontId="22" fillId="4" borderId="2" xfId="4" applyFont="1" applyFill="1" applyBorder="1"/>
    <xf numFmtId="0" fontId="22" fillId="4" borderId="4" xfId="4" applyFont="1" applyFill="1" applyBorder="1"/>
    <xf numFmtId="4" fontId="3" fillId="3" borderId="0" xfId="0" applyNumberFormat="1" applyFont="1" applyFill="1"/>
    <xf numFmtId="0" fontId="3" fillId="0" borderId="0" xfId="0" applyFont="1" applyAlignment="1">
      <alignment wrapText="1"/>
    </xf>
    <xf numFmtId="0" fontId="4" fillId="0" borderId="12" xfId="0" applyFont="1" applyBorder="1"/>
    <xf numFmtId="0" fontId="4" fillId="0" borderId="12" xfId="0" applyFont="1" applyBorder="1" applyAlignment="1">
      <alignment horizontal="center"/>
    </xf>
    <xf numFmtId="0" fontId="13" fillId="3" borderId="0" xfId="0" applyFont="1" applyFill="1"/>
    <xf numFmtId="0" fontId="20" fillId="3" borderId="0" xfId="0" applyFont="1" applyFill="1"/>
    <xf numFmtId="165" fontId="4" fillId="3" borderId="0" xfId="0" applyNumberFormat="1" applyFont="1" applyFill="1" applyAlignment="1">
      <alignment horizontal="right"/>
    </xf>
    <xf numFmtId="0" fontId="26" fillId="0" borderId="12" xfId="0" applyFont="1" applyBorder="1" applyAlignment="1">
      <alignment horizontal="left" vertical="center"/>
    </xf>
    <xf numFmtId="0" fontId="26" fillId="0" borderId="12" xfId="0" applyFont="1" applyBorder="1" applyAlignment="1">
      <alignment horizontal="right" wrapText="1"/>
    </xf>
    <xf numFmtId="0" fontId="27" fillId="0" borderId="12" xfId="0" applyFont="1" applyBorder="1" applyAlignment="1">
      <alignment horizontal="left" vertical="center"/>
    </xf>
    <xf numFmtId="0" fontId="28" fillId="0" borderId="12" xfId="0" applyFont="1" applyBorder="1" applyAlignment="1">
      <alignment horizontal="right" wrapText="1"/>
    </xf>
    <xf numFmtId="8" fontId="25" fillId="0" borderId="0" xfId="0" applyNumberFormat="1" applyFont="1"/>
    <xf numFmtId="8" fontId="25" fillId="0" borderId="7" xfId="0" applyNumberFormat="1" applyFont="1" applyBorder="1"/>
    <xf numFmtId="165" fontId="25" fillId="0" borderId="0" xfId="0" applyNumberFormat="1" applyFont="1" applyAlignment="1">
      <alignment horizontal="right"/>
    </xf>
    <xf numFmtId="0" fontId="25" fillId="0" borderId="0" xfId="0" applyFont="1"/>
    <xf numFmtId="0" fontId="25" fillId="5" borderId="0" xfId="0" applyFont="1" applyFill="1" applyAlignment="1" applyProtection="1">
      <alignment horizontal="left"/>
      <protection locked="0"/>
    </xf>
    <xf numFmtId="165" fontId="25" fillId="5" borderId="0" xfId="0" applyNumberFormat="1" applyFont="1" applyFill="1" applyAlignment="1" applyProtection="1">
      <alignment horizontal="right"/>
      <protection locked="0"/>
    </xf>
    <xf numFmtId="0" fontId="25" fillId="5" borderId="7" xfId="0" applyFont="1" applyFill="1" applyBorder="1" applyAlignment="1" applyProtection="1">
      <alignment horizontal="left"/>
      <protection locked="0"/>
    </xf>
    <xf numFmtId="165" fontId="25" fillId="5" borderId="7" xfId="0" applyNumberFormat="1" applyFont="1" applyFill="1" applyBorder="1" applyAlignment="1" applyProtection="1">
      <alignment horizontal="right"/>
      <protection locked="0"/>
    </xf>
    <xf numFmtId="0" fontId="32" fillId="0" borderId="0" xfId="0" applyFont="1"/>
    <xf numFmtId="165" fontId="4" fillId="0" borderId="0" xfId="1" applyNumberFormat="1" applyFont="1" applyFill="1" applyProtection="1"/>
    <xf numFmtId="7" fontId="4" fillId="0" borderId="11" xfId="1" applyNumberFormat="1" applyFont="1" applyBorder="1" applyAlignment="1" applyProtection="1">
      <alignment horizontal="center"/>
    </xf>
    <xf numFmtId="6" fontId="5" fillId="0" borderId="19" xfId="1" applyNumberFormat="1" applyFont="1" applyFill="1" applyBorder="1" applyProtection="1"/>
    <xf numFmtId="6" fontId="5" fillId="0" borderId="10" xfId="1" applyNumberFormat="1" applyFont="1" applyFill="1" applyBorder="1" applyProtection="1"/>
    <xf numFmtId="6" fontId="5" fillId="0" borderId="15" xfId="1" applyNumberFormat="1" applyFont="1" applyFill="1" applyBorder="1" applyProtection="1"/>
    <xf numFmtId="6" fontId="5" fillId="0" borderId="11" xfId="1" applyNumberFormat="1" applyFont="1" applyFill="1" applyBorder="1" applyProtection="1"/>
    <xf numFmtId="6" fontId="5" fillId="0" borderId="0" xfId="1" applyNumberFormat="1" applyFont="1" applyFill="1" applyBorder="1" applyProtection="1"/>
    <xf numFmtId="6" fontId="5" fillId="0" borderId="20" xfId="1" applyNumberFormat="1" applyFont="1" applyFill="1" applyBorder="1" applyProtection="1"/>
    <xf numFmtId="7" fontId="4" fillId="0" borderId="11" xfId="1" applyNumberFormat="1" applyFont="1" applyFill="1" applyBorder="1" applyAlignment="1" applyProtection="1">
      <alignment horizontal="center"/>
    </xf>
    <xf numFmtId="6" fontId="5" fillId="0" borderId="25" xfId="1" applyNumberFormat="1" applyFont="1" applyFill="1" applyBorder="1" applyProtection="1"/>
    <xf numFmtId="7" fontId="4" fillId="0" borderId="16" xfId="1" applyNumberFormat="1" applyFont="1" applyBorder="1" applyAlignment="1" applyProtection="1">
      <alignment horizontal="center"/>
    </xf>
    <xf numFmtId="6" fontId="5" fillId="0" borderId="16" xfId="1" applyNumberFormat="1" applyFont="1" applyFill="1" applyBorder="1" applyProtection="1"/>
    <xf numFmtId="6" fontId="5" fillId="0" borderId="7" xfId="1" applyNumberFormat="1" applyFont="1" applyFill="1" applyBorder="1" applyProtection="1"/>
    <xf numFmtId="6" fontId="5" fillId="0" borderId="22" xfId="1" applyNumberFormat="1" applyFont="1" applyFill="1" applyBorder="1" applyProtection="1"/>
    <xf numFmtId="165" fontId="4" fillId="5" borderId="7" xfId="0" applyNumberFormat="1" applyFont="1" applyFill="1" applyBorder="1" applyProtection="1">
      <protection locked="0"/>
    </xf>
    <xf numFmtId="9" fontId="4" fillId="5" borderId="0" xfId="0" applyNumberFormat="1" applyFont="1" applyFill="1" applyAlignment="1" applyProtection="1">
      <alignment horizontal="right"/>
      <protection locked="0"/>
    </xf>
    <xf numFmtId="9" fontId="4" fillId="5" borderId="7" xfId="0" applyNumberFormat="1" applyFont="1" applyFill="1" applyBorder="1" applyAlignment="1" applyProtection="1">
      <alignment horizontal="right"/>
      <protection locked="0"/>
    </xf>
    <xf numFmtId="0" fontId="4" fillId="5" borderId="0" xfId="0" quotePrefix="1" applyFont="1" applyFill="1" applyProtection="1">
      <protection locked="0"/>
    </xf>
    <xf numFmtId="10" fontId="0" fillId="0" borderId="0" xfId="0" applyNumberFormat="1"/>
    <xf numFmtId="0" fontId="35" fillId="3" borderId="0" xfId="0" applyFont="1" applyFill="1" applyAlignment="1">
      <alignment vertical="top" wrapText="1"/>
    </xf>
    <xf numFmtId="0" fontId="23" fillId="4" borderId="2" xfId="0" applyFont="1" applyFill="1" applyBorder="1"/>
    <xf numFmtId="0" fontId="23" fillId="4" borderId="3" xfId="0" applyFont="1" applyFill="1" applyBorder="1"/>
    <xf numFmtId="0" fontId="24" fillId="4" borderId="5" xfId="4" applyFont="1" applyFill="1" applyBorder="1" applyAlignment="1">
      <alignment horizontal="left"/>
    </xf>
    <xf numFmtId="0" fontId="24" fillId="4" borderId="6" xfId="4" applyFont="1" applyFill="1" applyBorder="1" applyAlignment="1">
      <alignment horizontal="left"/>
    </xf>
    <xf numFmtId="0" fontId="22" fillId="4" borderId="6" xfId="4" applyFont="1" applyFill="1" applyBorder="1" applyAlignment="1">
      <alignment horizontal="left"/>
    </xf>
    <xf numFmtId="0" fontId="15" fillId="4" borderId="11" xfId="0" applyFont="1" applyFill="1" applyBorder="1" applyAlignment="1">
      <alignment horizontal="center" wrapText="1"/>
    </xf>
    <xf numFmtId="0" fontId="15" fillId="4" borderId="0" xfId="0" applyFont="1" applyFill="1" applyAlignment="1">
      <alignment horizontal="center" wrapText="1"/>
    </xf>
    <xf numFmtId="0" fontId="5" fillId="0" borderId="7" xfId="0" applyFont="1" applyBorder="1" applyAlignment="1">
      <alignment horizontal="center" wrapText="1"/>
    </xf>
    <xf numFmtId="0" fontId="17" fillId="4" borderId="11" xfId="0" applyFont="1" applyFill="1" applyBorder="1" applyAlignment="1">
      <alignment horizontal="center" vertical="center" textRotation="90"/>
    </xf>
    <xf numFmtId="0" fontId="17" fillId="4" borderId="16" xfId="0" applyFont="1" applyFill="1" applyBorder="1" applyAlignment="1">
      <alignment horizontal="center" vertical="center" textRotation="90"/>
    </xf>
    <xf numFmtId="0" fontId="17" fillId="4" borderId="18" xfId="0" applyFont="1" applyFill="1" applyBorder="1" applyAlignment="1">
      <alignment horizontal="center" vertical="center" textRotation="90"/>
    </xf>
    <xf numFmtId="0" fontId="17" fillId="4" borderId="21" xfId="0" applyFont="1" applyFill="1" applyBorder="1" applyAlignment="1">
      <alignment horizontal="center" vertical="center" textRotation="90"/>
    </xf>
    <xf numFmtId="0" fontId="17" fillId="4" borderId="23" xfId="0" applyFont="1" applyFill="1" applyBorder="1" applyAlignment="1">
      <alignment horizontal="center"/>
    </xf>
    <xf numFmtId="0" fontId="17" fillId="4" borderId="12" xfId="0" applyFont="1" applyFill="1" applyBorder="1" applyAlignment="1">
      <alignment horizontal="center"/>
    </xf>
    <xf numFmtId="0" fontId="17" fillId="4" borderId="17" xfId="0" applyFont="1" applyFill="1" applyBorder="1" applyAlignment="1">
      <alignment horizontal="center"/>
    </xf>
    <xf numFmtId="0" fontId="17" fillId="4" borderId="19" xfId="0" applyFont="1" applyFill="1" applyBorder="1" applyAlignment="1">
      <alignment horizontal="center" vertical="center" textRotation="90"/>
    </xf>
    <xf numFmtId="0" fontId="9" fillId="3" borderId="0" xfId="0" applyFont="1" applyFill="1" applyAlignment="1">
      <alignment vertical="top" wrapText="1"/>
    </xf>
    <xf numFmtId="0" fontId="37" fillId="3" borderId="0" xfId="6" applyFill="1" applyAlignment="1">
      <alignment vertical="top" wrapText="1"/>
    </xf>
  </cellXfs>
  <cellStyles count="7">
    <cellStyle name="Currency" xfId="1" builtinId="4"/>
    <cellStyle name="Hyperlink" xfId="6" builtinId="8"/>
    <cellStyle name="Normal" xfId="0" builtinId="0"/>
    <cellStyle name="Normal 2" xfId="5" xr:uid="{8724F617-B69A-4267-B380-02EA05941032}"/>
    <cellStyle name="Normal 2 2" xfId="4" xr:uid="{8A740DD8-4C98-423B-942D-512C36453C6D}"/>
    <cellStyle name="Output" xfId="3" builtinId="21"/>
    <cellStyle name="Percent" xfId="2" builtinId="5"/>
  </cellStyles>
  <dxfs count="64">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
      <font>
        <color rgb="FFFF0000"/>
      </font>
    </dxf>
    <dxf>
      <font>
        <color rgb="FFFF0000"/>
      </font>
    </dxf>
    <dxf>
      <font>
        <strike val="0"/>
        <color theme="0"/>
      </font>
    </dxf>
    <dxf>
      <font>
        <strike val="0"/>
        <color theme="0"/>
      </font>
    </dxf>
    <dxf>
      <font>
        <strike val="0"/>
        <color theme="0"/>
      </font>
    </dxf>
    <dxf>
      <font>
        <strike val="0"/>
        <color theme="0"/>
      </font>
    </dxf>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5666764</xdr:colOff>
      <xdr:row>3</xdr:row>
      <xdr:rowOff>159100</xdr:rowOff>
    </xdr:from>
    <xdr:to>
      <xdr:col>2</xdr:col>
      <xdr:colOff>7683499</xdr:colOff>
      <xdr:row>6</xdr:row>
      <xdr:rowOff>161925</xdr:rowOff>
    </xdr:to>
    <xdr:pic>
      <xdr:nvPicPr>
        <xdr:cNvPr id="2" name="Picture 1" descr="University of Missouri Extension">
          <a:extLst>
            <a:ext uri="{FF2B5EF4-FFF2-40B4-BE49-F238E27FC236}">
              <a16:creationId xmlns:a16="http://schemas.microsoft.com/office/drawing/2014/main" id="{9E1989B0-7891-453B-AED1-36C66EA07C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0189" y="863950"/>
          <a:ext cx="2016735" cy="63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Aptos Black"/>
        <a:ea typeface=""/>
        <a:cs typeface=""/>
      </a:majorFont>
      <a:minorFont>
        <a:latin typeface="Apto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xtension.missouri.edu/publications/g704"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EED2F-E188-4573-AAC2-07EE40FC55C5}">
  <dimension ref="A1:M34"/>
  <sheetViews>
    <sheetView showGridLines="0" tabSelected="1" zoomScale="140" zoomScaleNormal="140" workbookViewId="0"/>
  </sheetViews>
  <sheetFormatPr defaultColWidth="0" defaultRowHeight="16.5" customHeight="1" zeroHeight="1"/>
  <cols>
    <col min="1" max="1" width="3.125" style="69" customWidth="1"/>
    <col min="2" max="2" width="8.625" style="69" customWidth="1"/>
    <col min="3" max="3" width="101.5" style="69" customWidth="1"/>
    <col min="4" max="4" width="8.625" style="69" customWidth="1"/>
    <col min="5" max="5" width="3.125" style="69" customWidth="1"/>
    <col min="6" max="8" width="10.25" style="69" hidden="1" customWidth="1"/>
    <col min="9" max="13" width="0" style="69" hidden="1" customWidth="1"/>
    <col min="14" max="16384" width="9" style="69" hidden="1"/>
  </cols>
  <sheetData>
    <row r="1" spans="1:13" ht="17.25" customHeight="1" thickBot="1">
      <c r="A1" s="68"/>
      <c r="B1" s="68"/>
      <c r="C1" s="68"/>
      <c r="D1" s="68"/>
      <c r="E1" s="68"/>
      <c r="F1" s="68"/>
      <c r="G1" s="68"/>
      <c r="H1" s="68"/>
      <c r="I1" s="68"/>
      <c r="J1" s="68"/>
      <c r="K1" s="68"/>
      <c r="L1" s="68"/>
      <c r="M1" s="68"/>
    </row>
    <row r="2" spans="1:13" ht="21.75" customHeight="1" thickBot="1">
      <c r="A2" s="68"/>
      <c r="B2" s="174"/>
      <c r="C2" s="171" t="s">
        <v>0</v>
      </c>
      <c r="D2" s="175"/>
      <c r="E2" s="68"/>
      <c r="F2" s="68"/>
      <c r="G2" s="68"/>
      <c r="H2" s="68"/>
    </row>
    <row r="3" spans="1:13">
      <c r="A3" s="68"/>
      <c r="C3" s="28"/>
      <c r="D3" s="70" t="s">
        <v>264</v>
      </c>
      <c r="E3" s="68"/>
      <c r="F3" s="68"/>
      <c r="G3" s="68"/>
      <c r="H3" s="68"/>
    </row>
    <row r="4" spans="1:13">
      <c r="A4" s="68"/>
      <c r="B4" s="1"/>
      <c r="C4" s="1"/>
      <c r="D4" s="1"/>
      <c r="E4" s="68"/>
      <c r="F4" s="68"/>
      <c r="G4" s="68"/>
      <c r="H4" s="68"/>
    </row>
    <row r="5" spans="1:13">
      <c r="A5" s="68"/>
      <c r="C5" s="71" t="s">
        <v>1</v>
      </c>
      <c r="D5" s="1"/>
      <c r="E5" s="68"/>
      <c r="F5" s="68"/>
      <c r="G5" s="68"/>
      <c r="H5" s="68"/>
    </row>
    <row r="6" spans="1:13">
      <c r="A6" s="68"/>
      <c r="C6" s="71" t="s">
        <v>287</v>
      </c>
      <c r="D6" s="1"/>
      <c r="E6" s="68"/>
      <c r="F6" s="68"/>
      <c r="G6" s="68"/>
      <c r="H6" s="68"/>
    </row>
    <row r="7" spans="1:13" ht="16.5" customHeight="1">
      <c r="A7" s="68"/>
      <c r="B7" s="72"/>
      <c r="C7" s="1"/>
      <c r="D7" s="1"/>
      <c r="E7" s="68"/>
      <c r="F7" s="68"/>
      <c r="G7" s="68"/>
      <c r="H7" s="68"/>
    </row>
    <row r="8" spans="1:13" ht="66" customHeight="1">
      <c r="A8" s="68"/>
      <c r="B8" s="72"/>
      <c r="C8" s="106" t="s">
        <v>292</v>
      </c>
      <c r="D8" s="1"/>
      <c r="E8" s="68"/>
      <c r="F8" s="68"/>
      <c r="G8" s="68"/>
      <c r="H8" s="68"/>
    </row>
    <row r="9" spans="1:13" ht="16.5" customHeight="1">
      <c r="A9" s="68"/>
      <c r="B9" s="72"/>
      <c r="C9" s="106"/>
      <c r="D9" s="1"/>
      <c r="E9" s="68"/>
      <c r="F9" s="68"/>
      <c r="G9" s="68"/>
      <c r="H9" s="68"/>
    </row>
    <row r="10" spans="1:13" ht="16.5" customHeight="1">
      <c r="A10" s="68"/>
      <c r="B10" s="72"/>
      <c r="C10" s="172" t="s">
        <v>291</v>
      </c>
      <c r="D10" s="1"/>
      <c r="E10" s="68"/>
      <c r="F10" s="68"/>
      <c r="G10" s="68"/>
      <c r="H10" s="68"/>
    </row>
    <row r="11" spans="1:13" ht="16.5" customHeight="1">
      <c r="A11" s="68"/>
      <c r="B11" s="72"/>
      <c r="C11" s="172" t="s">
        <v>288</v>
      </c>
      <c r="D11" s="1"/>
      <c r="E11" s="68"/>
      <c r="F11" s="68"/>
      <c r="G11" s="68"/>
      <c r="H11" s="68"/>
    </row>
    <row r="12" spans="1:13" ht="33" customHeight="1">
      <c r="A12" s="68"/>
      <c r="B12" s="72"/>
      <c r="C12" s="172" t="s">
        <v>293</v>
      </c>
      <c r="D12" s="1"/>
      <c r="E12" s="68"/>
      <c r="F12" s="68"/>
      <c r="G12" s="68"/>
      <c r="H12" s="68"/>
    </row>
    <row r="13" spans="1:13" ht="49.5" customHeight="1">
      <c r="A13" s="68"/>
      <c r="B13" s="72"/>
      <c r="C13" s="172" t="s">
        <v>294</v>
      </c>
      <c r="D13" s="1"/>
      <c r="E13" s="68"/>
      <c r="F13" s="68"/>
      <c r="G13" s="68"/>
      <c r="H13" s="68"/>
    </row>
    <row r="14" spans="1:13" ht="16.5" customHeight="1">
      <c r="A14" s="68"/>
      <c r="B14" s="72"/>
      <c r="C14" s="172" t="s">
        <v>289</v>
      </c>
      <c r="D14" s="1"/>
      <c r="E14" s="68"/>
      <c r="F14" s="68"/>
      <c r="G14" s="68"/>
      <c r="H14" s="68"/>
    </row>
    <row r="15" spans="1:13" ht="16.5" customHeight="1">
      <c r="A15" s="68"/>
      <c r="B15" s="72"/>
      <c r="C15" s="172" t="s">
        <v>290</v>
      </c>
      <c r="D15" s="1"/>
      <c r="E15" s="68"/>
      <c r="F15" s="68"/>
      <c r="G15" s="68"/>
      <c r="H15" s="68"/>
    </row>
    <row r="16" spans="1:13" ht="16.5" customHeight="1">
      <c r="A16" s="68"/>
      <c r="B16" s="72"/>
      <c r="C16" s="215" t="s">
        <v>315</v>
      </c>
      <c r="D16" s="1"/>
      <c r="E16" s="68"/>
      <c r="F16" s="68"/>
      <c r="G16" s="68"/>
      <c r="H16" s="68"/>
    </row>
    <row r="17" spans="1:8" ht="16.5" customHeight="1">
      <c r="A17" s="68"/>
      <c r="B17" s="72"/>
      <c r="C17" s="232" t="s">
        <v>317</v>
      </c>
      <c r="D17" s="1"/>
      <c r="E17" s="68"/>
      <c r="F17" s="68"/>
      <c r="G17" s="68"/>
      <c r="H17" s="68"/>
    </row>
    <row r="18" spans="1:8" ht="16.5" customHeight="1">
      <c r="A18" s="68"/>
      <c r="B18" s="72"/>
      <c r="C18" s="233" t="s">
        <v>316</v>
      </c>
      <c r="D18" s="1"/>
      <c r="E18" s="68"/>
      <c r="F18" s="68"/>
      <c r="G18" s="68"/>
      <c r="H18" s="68"/>
    </row>
    <row r="19" spans="1:8" ht="16.5" customHeight="1">
      <c r="A19" s="68"/>
      <c r="B19" s="106"/>
      <c r="C19" s="106"/>
      <c r="D19" s="106"/>
      <c r="E19" s="68"/>
      <c r="F19" s="68"/>
      <c r="G19" s="68"/>
      <c r="H19" s="68"/>
    </row>
    <row r="20" spans="1:8" ht="33" customHeight="1">
      <c r="A20" s="68"/>
      <c r="C20" s="173" t="s">
        <v>295</v>
      </c>
      <c r="D20" s="146"/>
      <c r="E20" s="68"/>
      <c r="F20" s="68"/>
      <c r="G20" s="68"/>
      <c r="H20" s="68"/>
    </row>
    <row r="21" spans="1:8" ht="17.25" thickBot="1">
      <c r="A21" s="68"/>
      <c r="B21" s="68"/>
      <c r="C21" s="68"/>
      <c r="D21" s="68"/>
      <c r="E21" s="68"/>
      <c r="F21" s="68"/>
      <c r="G21" s="68"/>
      <c r="H21" s="68"/>
    </row>
    <row r="22" spans="1:8" ht="21" thickBot="1">
      <c r="A22" s="68"/>
      <c r="B22" s="216"/>
      <c r="C22" s="217"/>
      <c r="D22" s="217"/>
      <c r="E22" s="68"/>
      <c r="F22" s="68"/>
      <c r="G22" s="68"/>
      <c r="H22" s="68"/>
    </row>
    <row r="23" spans="1:8" hidden="1">
      <c r="A23" s="68"/>
      <c r="B23" s="68"/>
      <c r="C23" s="68"/>
      <c r="D23" s="68"/>
      <c r="E23" s="68"/>
      <c r="F23" s="68"/>
      <c r="G23" s="68"/>
      <c r="H23" s="68"/>
    </row>
    <row r="24" spans="1:8" hidden="1">
      <c r="A24" s="68"/>
      <c r="B24" s="68"/>
      <c r="C24" s="68"/>
      <c r="D24" s="68"/>
      <c r="E24" s="68"/>
      <c r="F24" s="68"/>
      <c r="G24" s="68"/>
      <c r="H24" s="68"/>
    </row>
    <row r="25" spans="1:8" hidden="1">
      <c r="A25" s="68"/>
      <c r="B25" s="68"/>
      <c r="C25" s="68"/>
      <c r="D25" s="68"/>
      <c r="E25" s="68"/>
      <c r="F25" s="68"/>
      <c r="G25" s="68"/>
      <c r="H25" s="68"/>
    </row>
    <row r="26" spans="1:8" hidden="1">
      <c r="A26" s="68"/>
      <c r="B26" s="68"/>
      <c r="C26" s="68"/>
      <c r="D26" s="68"/>
      <c r="E26" s="68"/>
      <c r="F26" s="68"/>
      <c r="G26" s="68"/>
      <c r="H26" s="68"/>
    </row>
    <row r="27" spans="1:8" hidden="1">
      <c r="A27" s="68"/>
      <c r="B27" s="68"/>
      <c r="C27" s="68"/>
      <c r="D27" s="68"/>
      <c r="E27" s="68"/>
      <c r="F27" s="68"/>
      <c r="G27" s="68"/>
      <c r="H27" s="68"/>
    </row>
    <row r="28" spans="1:8" hidden="1">
      <c r="A28" s="68"/>
      <c r="B28" s="68"/>
      <c r="C28" s="68"/>
      <c r="D28" s="68"/>
      <c r="E28" s="68"/>
      <c r="F28" s="68"/>
      <c r="G28" s="68"/>
      <c r="H28" s="68"/>
    </row>
    <row r="29" spans="1:8" hidden="1">
      <c r="A29" s="68"/>
      <c r="B29" s="68"/>
      <c r="C29" s="68"/>
      <c r="D29" s="68"/>
      <c r="E29" s="68"/>
      <c r="F29" s="68"/>
      <c r="G29" s="68"/>
      <c r="H29" s="68"/>
    </row>
    <row r="30" spans="1:8" hidden="1">
      <c r="A30" s="68"/>
      <c r="B30" s="68"/>
      <c r="C30" s="68"/>
      <c r="D30" s="68"/>
      <c r="E30" s="68"/>
      <c r="F30" s="68"/>
      <c r="G30" s="68"/>
      <c r="H30" s="68"/>
    </row>
    <row r="31" spans="1:8" hidden="1">
      <c r="A31" s="68"/>
      <c r="B31" s="68"/>
      <c r="C31" s="68"/>
      <c r="D31" s="68"/>
      <c r="E31" s="68"/>
      <c r="F31" s="68"/>
      <c r="G31" s="68"/>
      <c r="H31" s="68"/>
    </row>
    <row r="32" spans="1:8" hidden="1">
      <c r="A32" s="68"/>
    </row>
    <row r="33" spans="1:1" hidden="1">
      <c r="A33" s="68"/>
    </row>
    <row r="34" spans="1:1" hidden="1">
      <c r="A34" s="68"/>
    </row>
  </sheetData>
  <sheetProtection sheet="1" objects="1" scenarios="1"/>
  <mergeCells count="1">
    <mergeCell ref="B22:D22"/>
  </mergeCells>
  <hyperlinks>
    <hyperlink ref="C18" r:id="rId1" xr:uid="{D2CB6E73-246F-4E42-9FF7-BBA06EBBE66E}"/>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34BD-702D-4BA1-817C-ECFAC1270711}">
  <dimension ref="A1:U63"/>
  <sheetViews>
    <sheetView showGridLines="0" topLeftCell="A6" zoomScaleNormal="100" workbookViewId="0">
      <selection activeCell="G24" sqref="G24"/>
    </sheetView>
  </sheetViews>
  <sheetFormatPr defaultColWidth="0" defaultRowHeight="15" zeroHeight="1"/>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9" width="3.125" customWidth="1"/>
    <col min="10" max="10" width="9" customWidth="1"/>
    <col min="11" max="19" width="10.625" customWidth="1"/>
    <col min="20" max="20" width="3.125" customWidth="1"/>
    <col min="21" max="21" width="0" hidden="1" customWidth="1"/>
    <col min="22" max="16384" width="9" hidden="1"/>
  </cols>
  <sheetData>
    <row r="1" spans="1:21" ht="16.5" customHeight="1">
      <c r="A1" s="4"/>
      <c r="B1" s="4"/>
      <c r="C1" s="5"/>
      <c r="H1" s="4"/>
      <c r="I1" s="4"/>
    </row>
    <row r="2" spans="1:21" ht="21">
      <c r="A2" s="4"/>
      <c r="B2" s="221" t="s">
        <v>245</v>
      </c>
      <c r="C2" s="222"/>
      <c r="D2" s="222"/>
      <c r="E2" s="222"/>
      <c r="F2" s="222"/>
      <c r="G2" s="222"/>
      <c r="H2" s="4"/>
      <c r="I2" s="4"/>
    </row>
    <row r="3" spans="1:21" ht="16.5" customHeight="1">
      <c r="A3" s="4"/>
      <c r="B3" s="4"/>
      <c r="C3" s="6"/>
      <c r="D3" s="6"/>
      <c r="E3" s="223"/>
      <c r="F3" s="223"/>
      <c r="G3" s="223"/>
      <c r="H3" s="4"/>
      <c r="I3" s="4"/>
      <c r="T3" s="1"/>
      <c r="U3" s="195" t="s">
        <v>39</v>
      </c>
    </row>
    <row r="4" spans="1:21" ht="16.5" customHeight="1">
      <c r="A4" s="7"/>
      <c r="B4" s="8" t="s">
        <v>40</v>
      </c>
      <c r="C4" s="8"/>
      <c r="D4" s="8" t="s">
        <v>4</v>
      </c>
      <c r="E4" s="9" t="s">
        <v>41</v>
      </c>
      <c r="F4" s="9" t="s">
        <v>42</v>
      </c>
      <c r="G4" s="9" t="s">
        <v>43</v>
      </c>
      <c r="H4" s="4"/>
      <c r="I4" s="4"/>
      <c r="J4" s="71" t="s">
        <v>44</v>
      </c>
      <c r="T4" s="1"/>
    </row>
    <row r="5" spans="1:21" ht="16.5" customHeight="1">
      <c r="A5" s="7"/>
      <c r="B5" s="2" t="s">
        <v>246</v>
      </c>
      <c r="C5" s="2"/>
      <c r="D5" s="3" t="s">
        <v>46</v>
      </c>
      <c r="E5" s="21">
        <f>M7*M8*M9</f>
        <v>2542.5</v>
      </c>
      <c r="F5" s="11">
        <v>3.3</v>
      </c>
      <c r="G5" s="14">
        <f>E5*F5</f>
        <v>8390.25</v>
      </c>
      <c r="H5" s="4"/>
      <c r="I5" s="4"/>
      <c r="J5" s="153" t="s">
        <v>47</v>
      </c>
      <c r="K5" s="148"/>
      <c r="L5" s="148"/>
      <c r="M5" s="161" t="s">
        <v>48</v>
      </c>
      <c r="N5" s="160" t="s">
        <v>4</v>
      </c>
      <c r="O5" s="148"/>
      <c r="T5" s="1"/>
      <c r="U5" t="s">
        <v>247</v>
      </c>
    </row>
    <row r="6" spans="1:21" ht="16.5" customHeight="1">
      <c r="A6" s="7"/>
      <c r="B6" s="2" t="s">
        <v>248</v>
      </c>
      <c r="C6" s="2"/>
      <c r="D6" s="3" t="s">
        <v>46</v>
      </c>
      <c r="E6" s="21">
        <f>M7*M8*M10</f>
        <v>847.5</v>
      </c>
      <c r="F6" s="11">
        <v>2</v>
      </c>
      <c r="G6" s="14">
        <f>E6*F6</f>
        <v>1695</v>
      </c>
      <c r="H6" s="4"/>
      <c r="I6" s="4"/>
      <c r="J6" s="136" t="s">
        <v>51</v>
      </c>
      <c r="M6" s="73">
        <v>2000</v>
      </c>
      <c r="N6" s="3" t="s">
        <v>52</v>
      </c>
      <c r="T6" s="1"/>
      <c r="U6" t="s">
        <v>249</v>
      </c>
    </row>
    <row r="7" spans="1:21" ht="16.5" customHeight="1">
      <c r="A7" s="7"/>
      <c r="B7" s="2" t="s">
        <v>54</v>
      </c>
      <c r="C7" s="2"/>
      <c r="D7" s="3" t="s">
        <v>55</v>
      </c>
      <c r="E7" s="16"/>
      <c r="F7" s="196"/>
      <c r="G7" s="210">
        <v>0</v>
      </c>
      <c r="H7" s="4"/>
      <c r="I7" s="4"/>
      <c r="J7" s="136" t="s">
        <v>56</v>
      </c>
      <c r="M7" s="23">
        <v>226</v>
      </c>
      <c r="N7" s="3" t="s">
        <v>57</v>
      </c>
      <c r="T7" s="1"/>
    </row>
    <row r="8" spans="1:21" ht="16.5" customHeight="1">
      <c r="A8" s="7"/>
      <c r="B8" s="7"/>
      <c r="C8" s="13" t="s">
        <v>59</v>
      </c>
      <c r="E8" s="2"/>
      <c r="F8" s="2"/>
      <c r="G8" s="14">
        <f>SUM(G5:G7)</f>
        <v>10085.25</v>
      </c>
      <c r="H8" s="4"/>
      <c r="I8" s="4"/>
      <c r="J8" s="136" t="s">
        <v>60</v>
      </c>
      <c r="M8" s="23">
        <v>15</v>
      </c>
      <c r="N8" s="3" t="s">
        <v>61</v>
      </c>
      <c r="T8" s="1"/>
    </row>
    <row r="9" spans="1:21" ht="16.5" customHeight="1">
      <c r="A9" s="7"/>
      <c r="B9" s="7"/>
      <c r="C9" s="13"/>
      <c r="E9" s="2"/>
      <c r="F9" s="2"/>
      <c r="G9" s="14"/>
      <c r="H9" s="4"/>
      <c r="I9" s="4"/>
      <c r="J9" s="136" t="s">
        <v>62</v>
      </c>
      <c r="M9" s="211">
        <v>0.75</v>
      </c>
      <c r="N9" s="3" t="s">
        <v>63</v>
      </c>
      <c r="T9" s="1"/>
    </row>
    <row r="10" spans="1:21" ht="16.5" customHeight="1">
      <c r="A10" s="7"/>
      <c r="B10" s="15" t="s">
        <v>64</v>
      </c>
      <c r="C10" s="15"/>
      <c r="D10" s="36" t="s">
        <v>4</v>
      </c>
      <c r="E10" s="37" t="s">
        <v>41</v>
      </c>
      <c r="F10" s="37" t="s">
        <v>42</v>
      </c>
      <c r="G10" s="37" t="str">
        <f>G4</f>
        <v>Total dollars</v>
      </c>
      <c r="H10" s="4"/>
      <c r="I10" s="4"/>
      <c r="J10" s="156" t="s">
        <v>65</v>
      </c>
      <c r="K10" s="154"/>
      <c r="L10" s="154"/>
      <c r="M10" s="212">
        <v>0.25</v>
      </c>
      <c r="N10" s="155" t="s">
        <v>63</v>
      </c>
      <c r="O10" s="154"/>
      <c r="T10" s="1"/>
    </row>
    <row r="11" spans="1:21" ht="16.5" customHeight="1">
      <c r="A11" s="7"/>
      <c r="B11" s="2" t="s">
        <v>66</v>
      </c>
      <c r="C11" s="2"/>
      <c r="D11" s="3" t="s">
        <v>67</v>
      </c>
      <c r="E11" s="66">
        <f>M7</f>
        <v>226</v>
      </c>
      <c r="F11" s="20">
        <v>0.45</v>
      </c>
      <c r="G11" s="14">
        <f>E11*F11</f>
        <v>101.7</v>
      </c>
      <c r="H11" s="4"/>
      <c r="I11" s="4"/>
      <c r="T11" s="1"/>
      <c r="U11" t="s">
        <v>250</v>
      </c>
    </row>
    <row r="12" spans="1:21" ht="16.5" customHeight="1">
      <c r="A12" s="7"/>
      <c r="B12" s="2" t="s">
        <v>69</v>
      </c>
      <c r="C12" s="2"/>
      <c r="D12" s="3" t="s">
        <v>67</v>
      </c>
      <c r="E12" s="10">
        <v>1</v>
      </c>
      <c r="F12" s="11">
        <v>25</v>
      </c>
      <c r="G12" s="14">
        <f>E12*F12</f>
        <v>25</v>
      </c>
      <c r="H12" s="4"/>
      <c r="I12" s="4"/>
      <c r="J12" s="71" t="s">
        <v>70</v>
      </c>
      <c r="K12" s="71"/>
      <c r="L12" s="71"/>
      <c r="M12" s="71"/>
      <c r="N12" s="71"/>
      <c r="O12" s="71"/>
      <c r="P12" s="71"/>
      <c r="Q12" s="71"/>
      <c r="R12" s="71"/>
      <c r="S12" s="71"/>
      <c r="T12" s="1"/>
      <c r="U12" t="s">
        <v>71</v>
      </c>
    </row>
    <row r="13" spans="1:21" ht="16.5" customHeight="1">
      <c r="A13" s="7"/>
      <c r="B13" s="2" t="s">
        <v>72</v>
      </c>
      <c r="C13" s="2"/>
      <c r="D13" s="3" t="s">
        <v>67</v>
      </c>
      <c r="E13" s="10">
        <v>6</v>
      </c>
      <c r="F13" s="11">
        <v>40</v>
      </c>
      <c r="G13" s="14">
        <f>E13*F13</f>
        <v>240</v>
      </c>
      <c r="H13" s="4"/>
      <c r="I13" s="4"/>
      <c r="J13" s="28" t="s">
        <v>73</v>
      </c>
      <c r="K13" s="28"/>
      <c r="L13" s="28"/>
      <c r="M13" s="28"/>
      <c r="N13" s="28"/>
      <c r="O13" s="28"/>
      <c r="P13" s="28"/>
      <c r="Q13" s="28"/>
      <c r="R13" s="28"/>
      <c r="S13" s="28"/>
      <c r="T13" s="1"/>
      <c r="U13" t="s">
        <v>74</v>
      </c>
    </row>
    <row r="14" spans="1:21" ht="16.5" customHeight="1">
      <c r="A14" s="7"/>
      <c r="B14" s="2" t="s">
        <v>75</v>
      </c>
      <c r="C14" s="2"/>
      <c r="D14" s="3" t="s">
        <v>55</v>
      </c>
      <c r="E14" s="16"/>
      <c r="F14" s="196"/>
      <c r="G14" s="14">
        <f>SUMPRODUCT(E15:E17,F15:F17)</f>
        <v>49.527999999999999</v>
      </c>
      <c r="H14" s="4"/>
      <c r="I14" s="4"/>
      <c r="J14" s="33"/>
      <c r="K14" s="43"/>
      <c r="L14" s="44"/>
      <c r="M14" s="229" t="s">
        <v>76</v>
      </c>
      <c r="N14" s="229"/>
      <c r="O14" s="229"/>
      <c r="P14" s="229"/>
      <c r="Q14" s="229"/>
      <c r="R14" s="229"/>
      <c r="S14" s="230"/>
      <c r="T14" s="1"/>
      <c r="U14" t="s">
        <v>272</v>
      </c>
    </row>
    <row r="15" spans="1:21" ht="16.5" customHeight="1">
      <c r="A15" s="7"/>
      <c r="B15" s="2"/>
      <c r="C15" s="23" t="s">
        <v>282</v>
      </c>
      <c r="D15" s="17" t="s">
        <v>46</v>
      </c>
      <c r="E15" s="10">
        <v>3.26</v>
      </c>
      <c r="F15" s="11">
        <v>0.8</v>
      </c>
      <c r="G15" s="14"/>
      <c r="H15" s="4"/>
      <c r="I15" s="4"/>
      <c r="J15" s="45"/>
      <c r="K15" s="46"/>
      <c r="L15" s="47"/>
      <c r="M15" s="48" t="s">
        <v>78</v>
      </c>
      <c r="N15" s="48" t="s">
        <v>79</v>
      </c>
      <c r="O15" s="48" t="s">
        <v>80</v>
      </c>
      <c r="P15" s="48" t="s">
        <v>81</v>
      </c>
      <c r="Q15" s="48" t="s">
        <v>82</v>
      </c>
      <c r="R15" s="48" t="s">
        <v>83</v>
      </c>
      <c r="S15" s="49" t="s">
        <v>84</v>
      </c>
      <c r="T15" s="1"/>
      <c r="U15" t="s">
        <v>273</v>
      </c>
    </row>
    <row r="16" spans="1:21" ht="16.5" customHeight="1">
      <c r="A16" s="7"/>
      <c r="B16" s="2"/>
      <c r="C16" s="23" t="s">
        <v>283</v>
      </c>
      <c r="D16" s="17" t="s">
        <v>46</v>
      </c>
      <c r="E16" s="10">
        <v>42</v>
      </c>
      <c r="F16" s="11">
        <v>0.8</v>
      </c>
      <c r="G16" s="14"/>
      <c r="H16" s="4"/>
      <c r="I16" s="4"/>
      <c r="J16" s="50"/>
      <c r="K16" s="51"/>
      <c r="L16" s="52"/>
      <c r="M16" s="40">
        <f>P16*70%</f>
        <v>2373</v>
      </c>
      <c r="N16" s="40">
        <f>P16*80%</f>
        <v>2712</v>
      </c>
      <c r="O16" s="40">
        <f>P16*90%</f>
        <v>3051</v>
      </c>
      <c r="P16" s="40">
        <f>E5+E6</f>
        <v>3390</v>
      </c>
      <c r="Q16" s="40">
        <f>P16*110%</f>
        <v>3729.0000000000005</v>
      </c>
      <c r="R16" s="40">
        <f>P16*120%</f>
        <v>4068</v>
      </c>
      <c r="S16" s="42">
        <f>P16*130%</f>
        <v>4407</v>
      </c>
      <c r="T16" s="1"/>
      <c r="U16" t="s">
        <v>274</v>
      </c>
    </row>
    <row r="17" spans="1:21" ht="16.5" customHeight="1">
      <c r="A17" s="7"/>
      <c r="B17" s="2"/>
      <c r="C17" s="23" t="s">
        <v>284</v>
      </c>
      <c r="D17" s="17" t="s">
        <v>46</v>
      </c>
      <c r="E17" s="10">
        <v>14.8</v>
      </c>
      <c r="F17" s="11">
        <v>0.9</v>
      </c>
      <c r="G17" s="14"/>
      <c r="H17" s="4"/>
      <c r="I17" s="4"/>
      <c r="J17" s="226" t="s">
        <v>87</v>
      </c>
      <c r="K17" s="53" t="s">
        <v>88</v>
      </c>
      <c r="L17" s="197">
        <f>L20*85%</f>
        <v>2.5287500000000001</v>
      </c>
      <c r="M17" s="198">
        <f t="shared" ref="M17:M23" si="0">(L17*$M$16)+$G$7-$G$57</f>
        <v>-80.738054781745632</v>
      </c>
      <c r="N17" s="199">
        <f t="shared" ref="N17:N23" si="1">(L17*$N$16)+$G$7-$G$57</f>
        <v>776.50819521825451</v>
      </c>
      <c r="O17" s="199">
        <f t="shared" ref="O17:O23" si="2">(L17*$O$16)+$G$7-$G$57</f>
        <v>1633.7544452182547</v>
      </c>
      <c r="P17" s="199">
        <f t="shared" ref="P17:P23" si="3">(L17*$P$16)+$G$7-$G$57</f>
        <v>2491.0006952182539</v>
      </c>
      <c r="Q17" s="199">
        <f t="shared" ref="Q17:Q23" si="4">(L17*$Q$16)+$G$7-$G$57</f>
        <v>3348.2469452182559</v>
      </c>
      <c r="R17" s="199">
        <f t="shared" ref="R17:R23" si="5">(L17*$R$16)+$G$7-$G$57</f>
        <v>4205.4931952182542</v>
      </c>
      <c r="S17" s="200">
        <f t="shared" ref="S17:S23" si="6">(L17*$S$16)+$G$7-$G$57</f>
        <v>5062.7394452182543</v>
      </c>
      <c r="T17" s="1"/>
      <c r="U17" t="s">
        <v>275</v>
      </c>
    </row>
    <row r="18" spans="1:21" ht="16.5" customHeight="1">
      <c r="A18" s="7"/>
      <c r="B18" s="2" t="s">
        <v>89</v>
      </c>
      <c r="C18" s="2"/>
      <c r="D18" s="3" t="s">
        <v>55</v>
      </c>
      <c r="E18" s="66"/>
      <c r="F18" s="14"/>
      <c r="G18" s="14">
        <f>SUMPRODUCT(E19:E21,F19:F21)</f>
        <v>72.28</v>
      </c>
      <c r="H18" s="4"/>
      <c r="I18" s="4"/>
      <c r="J18" s="226"/>
      <c r="K18" s="53" t="s">
        <v>80</v>
      </c>
      <c r="L18" s="197">
        <f>L20*90%</f>
        <v>2.6775000000000002</v>
      </c>
      <c r="M18" s="201">
        <f t="shared" si="0"/>
        <v>272.2456952182547</v>
      </c>
      <c r="N18" s="202">
        <f t="shared" si="1"/>
        <v>1179.9181952182553</v>
      </c>
      <c r="O18" s="202">
        <f t="shared" si="2"/>
        <v>2087.590695218255</v>
      </c>
      <c r="P18" s="202">
        <f t="shared" si="3"/>
        <v>2995.2631952182546</v>
      </c>
      <c r="Q18" s="202">
        <f t="shared" si="4"/>
        <v>3902.935695218257</v>
      </c>
      <c r="R18" s="202">
        <f t="shared" si="5"/>
        <v>4810.6081952182558</v>
      </c>
      <c r="S18" s="203">
        <f t="shared" si="6"/>
        <v>5718.2806952182546</v>
      </c>
      <c r="T18" s="1"/>
      <c r="U18" t="s">
        <v>276</v>
      </c>
    </row>
    <row r="19" spans="1:21" ht="16.5" customHeight="1">
      <c r="A19" s="7"/>
      <c r="B19" s="2"/>
      <c r="C19" s="213" t="s">
        <v>251</v>
      </c>
      <c r="D19" s="17" t="s">
        <v>46</v>
      </c>
      <c r="E19" s="67">
        <v>13.9</v>
      </c>
      <c r="F19" s="20">
        <v>0.7</v>
      </c>
      <c r="G19" s="14"/>
      <c r="H19" s="4"/>
      <c r="I19" s="4"/>
      <c r="J19" s="226"/>
      <c r="K19" s="55" t="s">
        <v>90</v>
      </c>
      <c r="L19" s="197">
        <f>L20*0.95</f>
        <v>2.8262499999999999</v>
      </c>
      <c r="M19" s="201">
        <f t="shared" si="0"/>
        <v>625.22944521825411</v>
      </c>
      <c r="N19" s="202">
        <f t="shared" si="1"/>
        <v>1583.3281952182542</v>
      </c>
      <c r="O19" s="202">
        <f t="shared" si="2"/>
        <v>2541.4269452182543</v>
      </c>
      <c r="P19" s="202">
        <f t="shared" si="3"/>
        <v>3499.5256952182535</v>
      </c>
      <c r="Q19" s="202">
        <f t="shared" si="4"/>
        <v>4457.6244452182546</v>
      </c>
      <c r="R19" s="202">
        <f t="shared" si="5"/>
        <v>5415.7231952182537</v>
      </c>
      <c r="S19" s="203">
        <f t="shared" si="6"/>
        <v>6373.8219452182548</v>
      </c>
      <c r="T19" s="1"/>
      <c r="U19" t="s">
        <v>277</v>
      </c>
    </row>
    <row r="20" spans="1:21" ht="16.5" customHeight="1">
      <c r="A20" s="7"/>
      <c r="B20" s="2"/>
      <c r="C20" s="213" t="s">
        <v>285</v>
      </c>
      <c r="D20" s="17" t="s">
        <v>46</v>
      </c>
      <c r="E20" s="67">
        <v>30</v>
      </c>
      <c r="F20" s="20">
        <v>0.6</v>
      </c>
      <c r="G20" s="14"/>
      <c r="H20" s="4"/>
      <c r="I20" s="4"/>
      <c r="J20" s="226"/>
      <c r="K20" s="53" t="s">
        <v>81</v>
      </c>
      <c r="L20" s="204">
        <f>SUMPRODUCT(F5:F6,E5:E6)/SUM(E5:E6)</f>
        <v>2.9750000000000001</v>
      </c>
      <c r="M20" s="201">
        <f t="shared" si="0"/>
        <v>978.21319521825444</v>
      </c>
      <c r="N20" s="202">
        <f t="shared" si="1"/>
        <v>1986.7381952182541</v>
      </c>
      <c r="O20" s="202">
        <f t="shared" si="2"/>
        <v>2995.2631952182546</v>
      </c>
      <c r="P20" s="205">
        <f t="shared" si="3"/>
        <v>4003.7881952182543</v>
      </c>
      <c r="Q20" s="202">
        <f t="shared" si="4"/>
        <v>5012.3131952182557</v>
      </c>
      <c r="R20" s="202">
        <f t="shared" si="5"/>
        <v>6020.8381952182554</v>
      </c>
      <c r="S20" s="203">
        <f t="shared" si="6"/>
        <v>7029.363195218255</v>
      </c>
      <c r="T20" s="1"/>
      <c r="U20" t="s">
        <v>278</v>
      </c>
    </row>
    <row r="21" spans="1:21" ht="16.5" customHeight="1">
      <c r="A21" s="7"/>
      <c r="B21" s="2"/>
      <c r="C21" s="213" t="s">
        <v>286</v>
      </c>
      <c r="D21" s="17" t="s">
        <v>46</v>
      </c>
      <c r="E21" s="67">
        <v>24.75</v>
      </c>
      <c r="F21" s="20">
        <v>1.8</v>
      </c>
      <c r="G21" s="14"/>
      <c r="H21" s="4"/>
      <c r="I21" s="4"/>
      <c r="J21" s="226"/>
      <c r="K21" s="53" t="s">
        <v>93</v>
      </c>
      <c r="L21" s="197">
        <f>L20*105%</f>
        <v>3.1237500000000002</v>
      </c>
      <c r="M21" s="201">
        <f t="shared" si="0"/>
        <v>1331.1969452182548</v>
      </c>
      <c r="N21" s="202">
        <f t="shared" si="1"/>
        <v>2390.1481952182548</v>
      </c>
      <c r="O21" s="202">
        <f t="shared" si="2"/>
        <v>3449.0994452182549</v>
      </c>
      <c r="P21" s="202">
        <f t="shared" si="3"/>
        <v>4508.050695218255</v>
      </c>
      <c r="Q21" s="202">
        <f t="shared" si="4"/>
        <v>5567.0019452182569</v>
      </c>
      <c r="R21" s="202">
        <f t="shared" si="5"/>
        <v>6625.9531952182551</v>
      </c>
      <c r="S21" s="203">
        <f t="shared" si="6"/>
        <v>7684.9044452182552</v>
      </c>
      <c r="T21" s="1"/>
      <c r="U21" t="s">
        <v>279</v>
      </c>
    </row>
    <row r="22" spans="1:21" ht="16.5" customHeight="1">
      <c r="A22" s="7"/>
      <c r="B22" s="2" t="s">
        <v>94</v>
      </c>
      <c r="D22" s="3" t="s">
        <v>55</v>
      </c>
      <c r="E22" s="66"/>
      <c r="F22" s="14"/>
      <c r="G22" s="14">
        <f>SUMPRODUCT(E23:E25,F23:F25)</f>
        <v>0</v>
      </c>
      <c r="H22" s="4"/>
      <c r="I22" s="4"/>
      <c r="J22" s="226"/>
      <c r="K22" s="53" t="s">
        <v>82</v>
      </c>
      <c r="L22" s="197">
        <f>L20*110%</f>
        <v>3.2725000000000004</v>
      </c>
      <c r="M22" s="201">
        <f t="shared" si="0"/>
        <v>1684.1806952182551</v>
      </c>
      <c r="N22" s="202">
        <f t="shared" si="1"/>
        <v>2793.5581952182547</v>
      </c>
      <c r="O22" s="202">
        <f t="shared" si="2"/>
        <v>3902.9356952182552</v>
      </c>
      <c r="P22" s="202">
        <f t="shared" si="3"/>
        <v>5012.3131952182557</v>
      </c>
      <c r="Q22" s="202">
        <f t="shared" si="4"/>
        <v>6121.690695218258</v>
      </c>
      <c r="R22" s="202">
        <f t="shared" si="5"/>
        <v>7231.0681952182567</v>
      </c>
      <c r="S22" s="203">
        <f t="shared" si="6"/>
        <v>8340.4456952182554</v>
      </c>
      <c r="T22" s="1"/>
    </row>
    <row r="23" spans="1:21" ht="16.5" customHeight="1">
      <c r="A23" s="7"/>
      <c r="B23" s="2"/>
      <c r="C23" s="213" t="s">
        <v>95</v>
      </c>
      <c r="D23" s="17" t="s">
        <v>46</v>
      </c>
      <c r="E23" s="67">
        <v>0</v>
      </c>
      <c r="F23" s="20">
        <v>0.17</v>
      </c>
      <c r="G23" s="14"/>
      <c r="H23" s="4"/>
      <c r="I23" s="4"/>
      <c r="J23" s="227"/>
      <c r="K23" s="56" t="s">
        <v>96</v>
      </c>
      <c r="L23" s="206">
        <f>L20*115%</f>
        <v>3.4212499999999997</v>
      </c>
      <c r="M23" s="207">
        <f t="shared" si="0"/>
        <v>2037.1644452182536</v>
      </c>
      <c r="N23" s="208">
        <f t="shared" si="1"/>
        <v>3196.9681952182527</v>
      </c>
      <c r="O23" s="208">
        <f t="shared" si="2"/>
        <v>4356.7719452182537</v>
      </c>
      <c r="P23" s="208">
        <f t="shared" si="3"/>
        <v>5516.5756952182528</v>
      </c>
      <c r="Q23" s="208">
        <f t="shared" si="4"/>
        <v>6676.3794452182537</v>
      </c>
      <c r="R23" s="208">
        <f t="shared" si="5"/>
        <v>7836.1831952182529</v>
      </c>
      <c r="S23" s="209">
        <f t="shared" si="6"/>
        <v>8995.986945218252</v>
      </c>
      <c r="T23" s="1"/>
      <c r="U23" t="s">
        <v>280</v>
      </c>
    </row>
    <row r="24" spans="1:21" ht="16.5" customHeight="1">
      <c r="A24" s="7"/>
      <c r="B24" s="2"/>
      <c r="C24" s="213" t="s">
        <v>97</v>
      </c>
      <c r="D24" s="17" t="s">
        <v>46</v>
      </c>
      <c r="E24" s="67">
        <v>0</v>
      </c>
      <c r="F24" s="20">
        <v>0.75</v>
      </c>
      <c r="G24" s="14"/>
      <c r="H24" s="4"/>
      <c r="I24" s="4"/>
      <c r="J24" s="28"/>
      <c r="K24" s="28"/>
      <c r="L24" s="28"/>
      <c r="M24" s="28"/>
      <c r="N24" s="28"/>
      <c r="O24" s="28"/>
      <c r="P24" s="28"/>
      <c r="Q24" s="28"/>
      <c r="R24" s="28"/>
      <c r="S24" s="28"/>
      <c r="T24" s="1"/>
      <c r="U24" t="s">
        <v>281</v>
      </c>
    </row>
    <row r="25" spans="1:21" ht="16.5" customHeight="1">
      <c r="A25" s="7"/>
      <c r="B25" s="2"/>
      <c r="C25" s="213" t="s">
        <v>98</v>
      </c>
      <c r="D25" s="17" t="s">
        <v>99</v>
      </c>
      <c r="E25" s="67">
        <v>0</v>
      </c>
      <c r="F25" s="20">
        <v>30</v>
      </c>
      <c r="G25" s="14"/>
      <c r="H25" s="4"/>
      <c r="I25" s="4"/>
      <c r="J25" s="81" t="s">
        <v>100</v>
      </c>
      <c r="K25" s="81"/>
      <c r="L25" s="81"/>
      <c r="M25" s="81"/>
      <c r="N25" s="81"/>
      <c r="O25" s="81"/>
      <c r="P25" s="81"/>
      <c r="Q25" s="81"/>
      <c r="R25" s="81"/>
      <c r="S25" s="81"/>
      <c r="T25" s="1"/>
    </row>
    <row r="26" spans="1:21" ht="16.5" customHeight="1">
      <c r="A26" s="7"/>
      <c r="B26" s="2" t="s">
        <v>101</v>
      </c>
      <c r="C26" s="2"/>
      <c r="D26" s="3"/>
      <c r="E26" s="66"/>
      <c r="F26" s="14"/>
      <c r="G26" s="14"/>
      <c r="H26" s="4"/>
      <c r="I26" s="4"/>
      <c r="J26" s="28" t="s">
        <v>102</v>
      </c>
      <c r="K26" s="106"/>
      <c r="L26" s="106"/>
      <c r="M26" s="106"/>
      <c r="N26" s="106"/>
      <c r="O26" s="106"/>
      <c r="P26" s="106"/>
      <c r="Q26" s="106"/>
      <c r="R26" s="106"/>
      <c r="S26" s="106"/>
      <c r="T26" s="1"/>
    </row>
    <row r="27" spans="1:21" ht="16.5" customHeight="1">
      <c r="A27" s="7"/>
      <c r="B27" s="2" t="s">
        <v>103</v>
      </c>
      <c r="C27" s="2" t="s">
        <v>104</v>
      </c>
      <c r="D27" s="3" t="s">
        <v>55</v>
      </c>
      <c r="E27" s="66"/>
      <c r="F27" s="14"/>
      <c r="G27" s="20">
        <v>13.41</v>
      </c>
      <c r="H27" s="4"/>
      <c r="I27" s="4"/>
      <c r="J27" s="33"/>
      <c r="K27" s="34"/>
      <c r="L27" s="34"/>
      <c r="M27" s="228" t="s">
        <v>105</v>
      </c>
      <c r="N27" s="229"/>
      <c r="O27" s="229"/>
      <c r="P27" s="229"/>
      <c r="Q27" s="229"/>
      <c r="R27" s="229"/>
      <c r="S27" s="230"/>
      <c r="U27" t="s">
        <v>107</v>
      </c>
    </row>
    <row r="28" spans="1:21" ht="16.5" customHeight="1">
      <c r="A28" s="7"/>
      <c r="B28" s="2"/>
      <c r="C28" s="2" t="s">
        <v>106</v>
      </c>
      <c r="D28" s="3" t="s">
        <v>55</v>
      </c>
      <c r="E28" s="66"/>
      <c r="F28" s="14"/>
      <c r="G28" s="20">
        <v>19.8</v>
      </c>
      <c r="H28" s="4"/>
      <c r="I28" s="4"/>
      <c r="J28" s="31"/>
      <c r="K28" s="58"/>
      <c r="L28" s="35"/>
      <c r="M28" s="63" t="s">
        <v>88</v>
      </c>
      <c r="N28" s="61" t="s">
        <v>80</v>
      </c>
      <c r="O28" s="61" t="s">
        <v>90</v>
      </c>
      <c r="P28" s="61" t="s">
        <v>81</v>
      </c>
      <c r="Q28" s="61" t="s">
        <v>93</v>
      </c>
      <c r="R28" s="61" t="s">
        <v>82</v>
      </c>
      <c r="S28" s="62" t="s">
        <v>96</v>
      </c>
      <c r="U28" t="s">
        <v>107</v>
      </c>
    </row>
    <row r="29" spans="1:21" ht="16.5" customHeight="1">
      <c r="A29" s="7"/>
      <c r="C29" s="2" t="s">
        <v>108</v>
      </c>
      <c r="D29" s="3" t="s">
        <v>55</v>
      </c>
      <c r="E29" s="66"/>
      <c r="F29" s="14"/>
      <c r="G29" s="20">
        <v>0</v>
      </c>
      <c r="H29" s="4"/>
      <c r="I29" s="4"/>
      <c r="J29" s="224" t="s">
        <v>64</v>
      </c>
      <c r="K29" s="59"/>
      <c r="L29" s="125" t="s">
        <v>96</v>
      </c>
      <c r="M29" s="198">
        <f>($G$8*0.85)-($G$46*1.15)-$G$54</f>
        <v>1871.7931864057541</v>
      </c>
      <c r="N29" s="199">
        <f>($G$8*0.9)-($G$46*1.15)-$G$54</f>
        <v>2376.0556864057548</v>
      </c>
      <c r="O29" s="199">
        <f>($G$8*0.95)-($G$46*1.15)-$G$54</f>
        <v>2880.3181864057537</v>
      </c>
      <c r="P29" s="199">
        <f>($G$8)-($G$46*1.15)-$G$54</f>
        <v>3384.5806864057545</v>
      </c>
      <c r="Q29" s="199">
        <f>($G$8*1.05)-($G$46*1.15)-$G$54</f>
        <v>3888.8431864057552</v>
      </c>
      <c r="R29" s="199">
        <f>($G$8*1.1)-($G$46*1.15)-$G$54</f>
        <v>4393.1056864057555</v>
      </c>
      <c r="S29" s="200">
        <f>($G$8*1.15)-($G$46*1.15)-$G$54</f>
        <v>4897.3681864057526</v>
      </c>
    </row>
    <row r="30" spans="1:21" ht="16.5" customHeight="1">
      <c r="A30" s="7"/>
      <c r="C30" s="2" t="s">
        <v>109</v>
      </c>
      <c r="D30" s="3" t="s">
        <v>55</v>
      </c>
      <c r="E30" s="66"/>
      <c r="F30" s="14"/>
      <c r="G30" s="20">
        <v>0</v>
      </c>
      <c r="H30" s="4"/>
      <c r="I30" s="4"/>
      <c r="J30" s="224"/>
      <c r="K30" s="59"/>
      <c r="L30" s="124" t="s">
        <v>82</v>
      </c>
      <c r="M30" s="201">
        <f>($G$8*0.85)-($G$46*1.1)-$G$54</f>
        <v>2078.195689343253</v>
      </c>
      <c r="N30" s="202">
        <f>($G$8*0.9)-($G$46*1.1)-$G$54</f>
        <v>2582.4581893432537</v>
      </c>
      <c r="O30" s="202">
        <f>($G$8*0.95)-($G$46*1.1)-$G$54</f>
        <v>3086.7206893432526</v>
      </c>
      <c r="P30" s="202">
        <f>($G$8)-($G$46*1.1)-$G$54</f>
        <v>3590.9831893432533</v>
      </c>
      <c r="Q30" s="202">
        <f>($G$8*1.05)-($G$46*1.1)-$G$54</f>
        <v>4095.2456893432541</v>
      </c>
      <c r="R30" s="202">
        <f>($G$8*1.1)-($G$46*1.1)-$G$54</f>
        <v>4599.5081893432543</v>
      </c>
      <c r="S30" s="203">
        <f>($G$8*1.15)-($G$46*1.1)-$G$54</f>
        <v>5103.7706893432514</v>
      </c>
    </row>
    <row r="31" spans="1:21" ht="16.5" customHeight="1">
      <c r="A31" s="7"/>
      <c r="B31" s="2" t="s">
        <v>110</v>
      </c>
      <c r="C31" s="2"/>
      <c r="D31" s="3" t="s">
        <v>67</v>
      </c>
      <c r="E31" s="10">
        <v>113</v>
      </c>
      <c r="F31" s="11">
        <v>1.7</v>
      </c>
      <c r="G31" s="14">
        <f>E31*F31</f>
        <v>192.1</v>
      </c>
      <c r="H31" s="4"/>
      <c r="I31" s="4"/>
      <c r="J31" s="224"/>
      <c r="K31" s="59"/>
      <c r="L31" s="124" t="s">
        <v>93</v>
      </c>
      <c r="M31" s="201">
        <f>($G$8*0.85)-($G$46*1.05)-$G$54</f>
        <v>2284.5981922807537</v>
      </c>
      <c r="N31" s="202">
        <f>($G$8*0.9)-($G$46*1.05)-$G$54</f>
        <v>2788.8606922807544</v>
      </c>
      <c r="O31" s="202">
        <f>($G$8*0.95)-($G$46*1.05)-$G$54</f>
        <v>3293.1231922807533</v>
      </c>
      <c r="P31" s="202">
        <f>($G$8)-($G$46*1.05)-$G$54</f>
        <v>3797.385692280754</v>
      </c>
      <c r="Q31" s="202">
        <f>($G$8*1.05)-($G$46*1.05)-$G$54</f>
        <v>4301.6481922807543</v>
      </c>
      <c r="R31" s="202">
        <f>($G$8*1.1)-($G$46*1.05)-$G$54</f>
        <v>4805.910692280755</v>
      </c>
      <c r="S31" s="203">
        <f>($G$8*1.15)-($G$46*1.05)-$G$54</f>
        <v>5310.1731922807521</v>
      </c>
    </row>
    <row r="32" spans="1:21" ht="16.5" customHeight="1">
      <c r="A32" s="7"/>
      <c r="B32" s="2" t="s">
        <v>112</v>
      </c>
      <c r="C32" s="2"/>
      <c r="D32" s="3" t="s">
        <v>113</v>
      </c>
      <c r="E32" s="10">
        <v>60</v>
      </c>
      <c r="F32" s="20">
        <v>0.12</v>
      </c>
      <c r="G32" s="14">
        <f>E32*F32</f>
        <v>7.1999999999999993</v>
      </c>
      <c r="H32" s="4"/>
      <c r="I32" s="4"/>
      <c r="J32" s="224"/>
      <c r="K32" s="59"/>
      <c r="L32" s="124" t="s">
        <v>81</v>
      </c>
      <c r="M32" s="201">
        <f>($G$8*0.85)-($G$46)-$G$54</f>
        <v>2491.0006952182534</v>
      </c>
      <c r="N32" s="202">
        <f>($G$8*0.9)-($G$46)-$G$54</f>
        <v>2995.2631952182542</v>
      </c>
      <c r="O32" s="202">
        <f>($G$8*0.95)-($G$46)-$G$54</f>
        <v>3499.5256952182531</v>
      </c>
      <c r="P32" s="205">
        <f>($G$8)-($G$46)-$G$54</f>
        <v>4003.7881952182538</v>
      </c>
      <c r="Q32" s="202">
        <f>($G$8*1.05)-($G$46)-$G$54</f>
        <v>4508.050695218255</v>
      </c>
      <c r="R32" s="202">
        <f>($G$8*1.1)-($G$46)-$G$54</f>
        <v>5012.3131952182557</v>
      </c>
      <c r="S32" s="203">
        <f>($G$8*1.15)-($G$46)-$G$54</f>
        <v>5516.5756952182528</v>
      </c>
      <c r="U32" t="s">
        <v>300</v>
      </c>
    </row>
    <row r="33" spans="1:21" ht="16.5" customHeight="1">
      <c r="A33" s="7"/>
      <c r="B33" s="2" t="s">
        <v>115</v>
      </c>
      <c r="C33" s="2"/>
      <c r="D33" s="3" t="s">
        <v>55</v>
      </c>
      <c r="E33" s="16">
        <f>SUM(E34:E38)</f>
        <v>112</v>
      </c>
      <c r="F33" s="2"/>
      <c r="G33" s="14">
        <f>SUMPRODUCT(E34:E38,F34:F38)</f>
        <v>2083.1999999999998</v>
      </c>
      <c r="H33" s="4"/>
      <c r="I33" s="4"/>
      <c r="J33" s="224"/>
      <c r="K33" s="59"/>
      <c r="L33" s="124" t="s">
        <v>90</v>
      </c>
      <c r="M33" s="201">
        <f>($G$8*0.85)-($G$46*0.95)-$G$54</f>
        <v>2697.4031981557532</v>
      </c>
      <c r="N33" s="202">
        <f>($G$8*0.9)-($G$46*0.95)-$G$54</f>
        <v>3201.6656981557539</v>
      </c>
      <c r="O33" s="202">
        <f>($G$8*0.95)-($G$46*0.95)-$G$54</f>
        <v>3705.9281981557529</v>
      </c>
      <c r="P33" s="202">
        <f>($G$8)-($G$46*0.95)-$G$54</f>
        <v>4210.1906981557531</v>
      </c>
      <c r="Q33" s="202">
        <f>($G$8*1.05)-($G$46*0.95)-$G$54</f>
        <v>4714.4531981557539</v>
      </c>
      <c r="R33" s="202">
        <f>($G$8*1.1)-($G$46*0.95)-$G$54</f>
        <v>5218.7156981557546</v>
      </c>
      <c r="S33" s="203">
        <f>($G$8*1.15)-($G$46*0.95)-$G$54</f>
        <v>5722.9781981557517</v>
      </c>
    </row>
    <row r="34" spans="1:21" ht="16.5" customHeight="1">
      <c r="A34" s="7"/>
      <c r="B34" s="7"/>
      <c r="C34" s="2" t="s">
        <v>116</v>
      </c>
      <c r="D34" s="3" t="s">
        <v>117</v>
      </c>
      <c r="E34" s="67">
        <v>15</v>
      </c>
      <c r="F34" s="11">
        <v>18.600000000000001</v>
      </c>
      <c r="G34" s="14"/>
      <c r="H34" s="4"/>
      <c r="I34" s="4"/>
      <c r="J34" s="224"/>
      <c r="K34" s="59"/>
      <c r="L34" s="124" t="s">
        <v>80</v>
      </c>
      <c r="M34" s="201">
        <f>($G$8*0.85)-($G$46*0.9)-$G$54</f>
        <v>2903.8057010932539</v>
      </c>
      <c r="N34" s="202">
        <f>($G$8*0.9)-($G$46*0.9)-$G$54</f>
        <v>3408.0682010932546</v>
      </c>
      <c r="O34" s="202">
        <f>($G$8*0.95)-($G$46*0.9)-$G$54</f>
        <v>3912.3307010932535</v>
      </c>
      <c r="P34" s="202">
        <f>($G$8)-($G$46*0.9)-$G$54</f>
        <v>4416.5932010932538</v>
      </c>
      <c r="Q34" s="202">
        <f>($G$8*1.05)-($G$46*0.9)-$G$54</f>
        <v>4920.8557010932545</v>
      </c>
      <c r="R34" s="202">
        <f>($G$8*1.1)-($G$46*0.9)-$G$54</f>
        <v>5425.1182010932553</v>
      </c>
      <c r="S34" s="203">
        <f>($G$8*1.15)-($G$46*0.9)-$G$54</f>
        <v>5929.3807010932524</v>
      </c>
      <c r="U34" t="s">
        <v>118</v>
      </c>
    </row>
    <row r="35" spans="1:21" ht="16.5" customHeight="1">
      <c r="A35" s="7"/>
      <c r="B35" s="7"/>
      <c r="C35" s="2" t="s">
        <v>119</v>
      </c>
      <c r="D35" s="3" t="s">
        <v>117</v>
      </c>
      <c r="E35" s="67">
        <v>12</v>
      </c>
      <c r="F35" s="11">
        <v>18.600000000000001</v>
      </c>
      <c r="G35" s="14"/>
      <c r="H35" s="4"/>
      <c r="I35" s="4"/>
      <c r="J35" s="225"/>
      <c r="K35" s="60"/>
      <c r="L35" s="126" t="s">
        <v>88</v>
      </c>
      <c r="M35" s="207">
        <f>($G$8*0.85)-($G$46*0.85)-$G$54</f>
        <v>3110.2082040307537</v>
      </c>
      <c r="N35" s="208">
        <f>($G$8*0.9)-($G$46*0.85)-$G$54</f>
        <v>3614.4707040307544</v>
      </c>
      <c r="O35" s="208">
        <f>($G$8*0.95)-($G$46*0.85)-$G$54</f>
        <v>4118.7332040307538</v>
      </c>
      <c r="P35" s="208">
        <f>($G$8)-($G$46*0.85)-$G$54</f>
        <v>4622.9957040307545</v>
      </c>
      <c r="Q35" s="208">
        <f>($G$8*1.05)-($G$46*0.85)-$G$54</f>
        <v>5127.2582040307552</v>
      </c>
      <c r="R35" s="208">
        <f>($G$8*1.1)-($G$46*0.85)-$G$54</f>
        <v>5631.520704030756</v>
      </c>
      <c r="S35" s="209">
        <f>($G$8*1.15)-($G$46*0.85)-$G$54</f>
        <v>6135.783204030753</v>
      </c>
      <c r="U35" t="s">
        <v>118</v>
      </c>
    </row>
    <row r="36" spans="1:21" ht="16.5" customHeight="1">
      <c r="A36" s="7"/>
      <c r="B36" s="7"/>
      <c r="C36" s="2" t="s">
        <v>120</v>
      </c>
      <c r="D36" s="3" t="s">
        <v>117</v>
      </c>
      <c r="E36" s="67">
        <v>35</v>
      </c>
      <c r="F36" s="11">
        <v>18.600000000000001</v>
      </c>
      <c r="G36" s="14"/>
      <c r="H36" s="4"/>
      <c r="I36" s="4"/>
      <c r="U36" t="s">
        <v>118</v>
      </c>
    </row>
    <row r="37" spans="1:21" ht="16.5" customHeight="1">
      <c r="A37" s="7"/>
      <c r="B37" s="7"/>
      <c r="C37" s="2" t="s">
        <v>121</v>
      </c>
      <c r="D37" s="3" t="s">
        <v>117</v>
      </c>
      <c r="E37" s="67">
        <v>38</v>
      </c>
      <c r="F37" s="11">
        <v>18.600000000000001</v>
      </c>
      <c r="G37" s="14"/>
      <c r="H37" s="4"/>
      <c r="I37" s="4"/>
      <c r="K37" s="84"/>
      <c r="L37" s="65"/>
      <c r="U37" t="s">
        <v>118</v>
      </c>
    </row>
    <row r="38" spans="1:21" ht="16.5" customHeight="1">
      <c r="A38" s="7"/>
      <c r="B38" s="7"/>
      <c r="C38" s="2" t="s">
        <v>122</v>
      </c>
      <c r="D38" s="3" t="s">
        <v>117</v>
      </c>
      <c r="E38" s="67">
        <v>12</v>
      </c>
      <c r="F38" s="11">
        <v>18.600000000000001</v>
      </c>
      <c r="G38" s="14"/>
      <c r="H38" s="4"/>
      <c r="I38" s="4"/>
      <c r="K38" s="65"/>
      <c r="U38" t="s">
        <v>118</v>
      </c>
    </row>
    <row r="39" spans="1:21" ht="16.5" customHeight="1">
      <c r="A39" s="7"/>
      <c r="B39" s="2" t="s">
        <v>123</v>
      </c>
      <c r="C39" s="2"/>
      <c r="D39" s="3" t="s">
        <v>55</v>
      </c>
      <c r="E39" s="66"/>
      <c r="F39" s="196"/>
      <c r="G39" s="14">
        <f>SUMPRODUCT(E40:E42,F40:F42)</f>
        <v>150.9</v>
      </c>
      <c r="H39" s="4"/>
      <c r="I39" s="4"/>
      <c r="K39" s="84"/>
    </row>
    <row r="40" spans="1:21" ht="16.5" customHeight="1">
      <c r="A40" s="4"/>
      <c r="B40" s="7"/>
      <c r="C40" s="23" t="s">
        <v>124</v>
      </c>
      <c r="D40" s="17" t="s">
        <v>67</v>
      </c>
      <c r="E40" s="67">
        <v>57</v>
      </c>
      <c r="F40" s="11">
        <v>2.2000000000000002</v>
      </c>
      <c r="G40" s="14"/>
      <c r="H40" s="4"/>
      <c r="I40" s="4"/>
      <c r="J40" t="s">
        <v>207</v>
      </c>
      <c r="K40" s="65"/>
      <c r="U40" t="s">
        <v>303</v>
      </c>
    </row>
    <row r="41" spans="1:21" ht="16.5" customHeight="1">
      <c r="A41" s="4"/>
      <c r="B41" s="2"/>
      <c r="C41" s="23" t="s">
        <v>302</v>
      </c>
      <c r="D41" s="17" t="s">
        <v>67</v>
      </c>
      <c r="E41" s="10">
        <v>850</v>
      </c>
      <c r="F41" s="11">
        <v>0.03</v>
      </c>
      <c r="G41" s="14"/>
      <c r="H41" s="4"/>
      <c r="I41" s="4"/>
      <c r="K41" s="65"/>
      <c r="U41" t="s">
        <v>304</v>
      </c>
    </row>
    <row r="42" spans="1:21" ht="16.5" customHeight="1">
      <c r="A42" s="4"/>
      <c r="B42" s="7"/>
      <c r="C42" s="23" t="s">
        <v>252</v>
      </c>
      <c r="D42" s="17" t="s">
        <v>67</v>
      </c>
      <c r="E42" s="67">
        <v>0</v>
      </c>
      <c r="F42" s="11">
        <v>0.20200000000000001</v>
      </c>
      <c r="G42" s="14"/>
      <c r="H42" s="4"/>
      <c r="I42" s="4"/>
    </row>
    <row r="43" spans="1:21" ht="16.5" customHeight="1">
      <c r="A43" s="4"/>
      <c r="B43" s="2" t="s">
        <v>127</v>
      </c>
      <c r="C43" s="2"/>
      <c r="D43" s="19" t="s">
        <v>128</v>
      </c>
      <c r="E43" s="14"/>
      <c r="F43" s="94">
        <v>0.1</v>
      </c>
      <c r="G43" s="14">
        <f>G8*F43</f>
        <v>1008.5250000000001</v>
      </c>
      <c r="H43" s="4"/>
      <c r="I43" s="4"/>
    </row>
    <row r="44" spans="1:21" ht="18">
      <c r="B44" s="2" t="s">
        <v>129</v>
      </c>
      <c r="C44" s="4"/>
      <c r="D44" s="3" t="s">
        <v>55</v>
      </c>
      <c r="E44" s="7"/>
      <c r="F44" s="7"/>
      <c r="G44" s="20">
        <v>20</v>
      </c>
    </row>
    <row r="45" spans="1:21" ht="16.5">
      <c r="B45" s="2" t="s">
        <v>130</v>
      </c>
      <c r="C45" s="4"/>
      <c r="D45" s="3" t="s">
        <v>7</v>
      </c>
      <c r="F45" s="94">
        <v>7.2499999999999995E-2</v>
      </c>
      <c r="G45" s="12">
        <f>SUM(G11:G44)/2*F45</f>
        <v>144.40705875</v>
      </c>
      <c r="L45" s="214"/>
    </row>
    <row r="46" spans="1:21" ht="16.5">
      <c r="B46" s="4"/>
      <c r="C46" s="13" t="s">
        <v>131</v>
      </c>
      <c r="D46" s="3"/>
      <c r="E46" s="21"/>
      <c r="F46" s="2"/>
      <c r="G46" s="14">
        <f>SUM(G11:G45)</f>
        <v>4128.0500587500001</v>
      </c>
    </row>
    <row r="47" spans="1:21" ht="16.5">
      <c r="B47" s="4"/>
      <c r="C47" s="13"/>
      <c r="D47" s="3"/>
      <c r="E47" s="21"/>
      <c r="F47" s="2"/>
      <c r="G47" s="14"/>
    </row>
    <row r="48" spans="1:21" ht="15.75">
      <c r="B48" s="15" t="s">
        <v>132</v>
      </c>
      <c r="C48" s="15"/>
      <c r="D48" s="22" t="s">
        <v>4</v>
      </c>
      <c r="E48" s="9" t="s">
        <v>41</v>
      </c>
      <c r="F48" s="9" t="s">
        <v>42</v>
      </c>
      <c r="G48" s="9" t="str">
        <f>G4</f>
        <v>Total dollars</v>
      </c>
    </row>
    <row r="49" spans="2:11" ht="15.75">
      <c r="B49" s="2" t="s">
        <v>133</v>
      </c>
      <c r="C49" s="2"/>
      <c r="D49" s="3" t="s">
        <v>134</v>
      </c>
      <c r="E49" s="23">
        <v>8</v>
      </c>
      <c r="F49" s="14">
        <f>Investment!G32/12</f>
        <v>137.56230158730159</v>
      </c>
      <c r="G49" s="26">
        <f>E49*F49</f>
        <v>1100.4984126984127</v>
      </c>
    </row>
    <row r="50" spans="2:11" ht="15.75">
      <c r="B50" s="2" t="s">
        <v>135</v>
      </c>
      <c r="C50" s="2"/>
      <c r="D50" s="3" t="s">
        <v>136</v>
      </c>
      <c r="E50" s="2"/>
      <c r="F50" s="14"/>
      <c r="G50" s="14">
        <f>Investment!H32*($E$49/12)</f>
        <v>509.88</v>
      </c>
      <c r="K50" s="65"/>
    </row>
    <row r="51" spans="2:11" ht="15.75">
      <c r="B51" s="2" t="s">
        <v>137</v>
      </c>
      <c r="C51" s="2"/>
      <c r="D51" s="3" t="s">
        <v>138</v>
      </c>
      <c r="E51" s="2"/>
      <c r="F51" s="94">
        <v>1.4999999999999999E-2</v>
      </c>
      <c r="G51" s="14">
        <f>Investment!D32*F51*($E$49/12)</f>
        <v>209.7</v>
      </c>
    </row>
    <row r="52" spans="2:11" ht="15.75">
      <c r="B52" s="2" t="s">
        <v>314</v>
      </c>
      <c r="C52" s="2"/>
      <c r="D52" s="3" t="s">
        <v>136</v>
      </c>
      <c r="E52" s="2"/>
      <c r="F52" s="14"/>
      <c r="G52" s="14">
        <f>Investment!E8*(E49/12)</f>
        <v>133.33333333333331</v>
      </c>
    </row>
    <row r="53" spans="2:11" ht="15.75">
      <c r="B53" s="2" t="s">
        <v>139</v>
      </c>
      <c r="C53" s="2"/>
      <c r="D53" s="3" t="s">
        <v>136</v>
      </c>
      <c r="E53" s="2"/>
      <c r="F53" s="14"/>
      <c r="G53" s="210">
        <v>0</v>
      </c>
    </row>
    <row r="54" spans="2:11" ht="16.5">
      <c r="B54" s="4"/>
      <c r="C54" s="13" t="s">
        <v>140</v>
      </c>
      <c r="E54" s="2"/>
      <c r="F54" s="2"/>
      <c r="G54" s="14">
        <f>SUM(G49:G53)</f>
        <v>1953.4117460317461</v>
      </c>
    </row>
    <row r="55" spans="2:11" ht="16.5">
      <c r="B55" s="4"/>
      <c r="C55" s="13"/>
      <c r="E55" s="2"/>
      <c r="F55" s="2"/>
      <c r="G55" s="14"/>
    </row>
    <row r="56" spans="2:11" ht="16.5">
      <c r="B56" s="147"/>
      <c r="C56" s="77"/>
      <c r="D56" s="148"/>
      <c r="E56" s="9" t="s">
        <v>141</v>
      </c>
      <c r="F56" s="9" t="s">
        <v>142</v>
      </c>
      <c r="G56" s="9" t="s">
        <v>43</v>
      </c>
    </row>
    <row r="57" spans="2:11" ht="15.75">
      <c r="B57" s="25" t="s">
        <v>36</v>
      </c>
      <c r="C57" s="13"/>
      <c r="E57" s="141">
        <f>(G46+G54)/M6</f>
        <v>3.0407309023908731</v>
      </c>
      <c r="F57" s="141">
        <f>G57/SUM(E5:E6)</f>
        <v>1.7939415353338484</v>
      </c>
      <c r="G57" s="141">
        <f>G46+G54</f>
        <v>6081.4618047817457</v>
      </c>
    </row>
    <row r="58" spans="2:11" ht="16.5">
      <c r="B58" s="25" t="s">
        <v>143</v>
      </c>
      <c r="C58" s="150"/>
      <c r="D58" s="4"/>
      <c r="E58" s="141">
        <f>(G8-G46)/M6</f>
        <v>2.9785999706249999</v>
      </c>
      <c r="F58" s="141">
        <f>G58/SUM(E5:E6)</f>
        <v>1.7572861183628319</v>
      </c>
      <c r="G58" s="141">
        <f>G8-G46</f>
        <v>5957.1999412499999</v>
      </c>
    </row>
    <row r="59" spans="2:11" ht="16.5">
      <c r="B59" s="133" t="s">
        <v>144</v>
      </c>
      <c r="C59" s="133"/>
      <c r="D59" s="24"/>
      <c r="E59" s="142">
        <f>(G8-G57)/M6</f>
        <v>2.0018940976091271</v>
      </c>
      <c r="F59" s="142">
        <f>G59/SUM(E5:E6)</f>
        <v>1.1810584646661517</v>
      </c>
      <c r="G59" s="142">
        <f>G8-G57</f>
        <v>4003.7881952182543</v>
      </c>
    </row>
    <row r="60" spans="2:11">
      <c r="B60" s="168" t="s">
        <v>145</v>
      </c>
      <c r="C60" s="168"/>
      <c r="D60" s="168"/>
      <c r="E60" s="168"/>
      <c r="F60" s="168"/>
      <c r="G60" s="168"/>
      <c r="H60" s="168"/>
      <c r="I60" s="168"/>
    </row>
    <row r="61" spans="2:11">
      <c r="B61" s="168" t="s">
        <v>146</v>
      </c>
      <c r="C61" s="168"/>
      <c r="D61" s="168"/>
      <c r="E61" s="168"/>
      <c r="F61" s="168"/>
      <c r="G61" s="168"/>
      <c r="H61" s="168"/>
      <c r="I61" s="168"/>
    </row>
    <row r="62" spans="2:11">
      <c r="B62" s="168" t="s">
        <v>147</v>
      </c>
      <c r="C62" s="168"/>
      <c r="D62" s="168"/>
      <c r="E62" s="168"/>
      <c r="F62" s="168"/>
      <c r="G62" s="168"/>
      <c r="H62" s="168"/>
      <c r="I62" s="168"/>
    </row>
    <row r="63" spans="2:11">
      <c r="B63" s="168" t="s">
        <v>301</v>
      </c>
      <c r="C63" s="168"/>
      <c r="D63" s="168"/>
      <c r="E63" s="168"/>
      <c r="F63" s="168"/>
      <c r="G63" s="168"/>
      <c r="H63" s="168"/>
      <c r="I63" s="168"/>
    </row>
  </sheetData>
  <sheetProtection sheet="1" objects="1" scenarios="1"/>
  <mergeCells count="6">
    <mergeCell ref="B2:G2"/>
    <mergeCell ref="E3:G3"/>
    <mergeCell ref="M27:S27"/>
    <mergeCell ref="J29:J35"/>
    <mergeCell ref="M14:S14"/>
    <mergeCell ref="J17:J23"/>
  </mergeCells>
  <conditionalFormatting sqref="E48">
    <cfRule type="expression" dxfId="6" priority="6">
      <formula>$G$1="no"</formula>
    </cfRule>
  </conditionalFormatting>
  <conditionalFormatting sqref="E56">
    <cfRule type="expression" dxfId="5" priority="1">
      <formula>$G$1="no"</formula>
    </cfRule>
  </conditionalFormatting>
  <conditionalFormatting sqref="E4:G4">
    <cfRule type="expression" dxfId="4" priority="8">
      <formula>$G$1="no"</formula>
    </cfRule>
  </conditionalFormatting>
  <conditionalFormatting sqref="E10:G10">
    <cfRule type="expression" dxfId="3" priority="7">
      <formula>$G$1="no"</formula>
    </cfRule>
  </conditionalFormatting>
  <conditionalFormatting sqref="G56">
    <cfRule type="expression" dxfId="2" priority="2">
      <formula>$G$1="no"</formula>
    </cfRule>
  </conditionalFormatting>
  <conditionalFormatting sqref="M17:S23">
    <cfRule type="cellIs" dxfId="1" priority="5" operator="lessThan">
      <formula>0</formula>
    </cfRule>
  </conditionalFormatting>
  <conditionalFormatting sqref="M29:S35">
    <cfRule type="cellIs" dxfId="0" priority="4" operator="lessThan">
      <formula>0</formula>
    </cfRule>
  </conditionalFormatting>
  <pageMargins left="0.7" right="0.7" top="0.75" bottom="0.75" header="0.3" footer="0.3"/>
  <pageSetup scale="80" orientation="portrait" r:id="rId1"/>
  <rowBreaks count="1" manualBreakCount="1">
    <brk id="46" max="16383" man="1"/>
  </rowBreaks>
  <colBreaks count="2" manualBreakCount="2">
    <brk id="8" max="1048575" man="1"/>
    <brk id="19" max="1048575" man="1"/>
  </colBreaks>
  <ignoredErrors>
    <ignoredError sqref="G48" evalError="1"/>
    <ignoredError sqref="L20 P16 E5:E6" unlockedFormula="1"/>
    <ignoredError sqref="F58" formula="1"/>
    <ignoredError sqref="G39"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6FE86-E0A7-44C5-95C1-FB6E3DF94A84}">
  <sheetPr>
    <pageSetUpPr fitToPage="1"/>
  </sheetPr>
  <dimension ref="A1:K13"/>
  <sheetViews>
    <sheetView showGridLines="0" zoomScale="120" zoomScaleNormal="120" workbookViewId="0">
      <selection activeCell="F12" sqref="F12"/>
    </sheetView>
  </sheetViews>
  <sheetFormatPr defaultColWidth="0" defaultRowHeight="15" zeroHeight="1"/>
  <cols>
    <col min="1" max="1" width="3.125" customWidth="1"/>
    <col min="2" max="2" width="29.875" customWidth="1"/>
    <col min="3" max="6" width="15.625" customWidth="1"/>
    <col min="7" max="7" width="16.625" customWidth="1"/>
    <col min="8" max="10" width="15.625" customWidth="1"/>
    <col min="11" max="11" width="3.125" customWidth="1"/>
    <col min="12" max="16384" width="9" hidden="1"/>
  </cols>
  <sheetData>
    <row r="1" spans="2:11"/>
    <row r="2" spans="2:11" ht="18.75">
      <c r="B2" s="139" t="s">
        <v>253</v>
      </c>
      <c r="C2" s="139"/>
      <c r="D2" s="139"/>
      <c r="E2" s="139"/>
      <c r="F2" s="139"/>
      <c r="G2" s="139"/>
      <c r="H2" s="139"/>
      <c r="I2" s="139"/>
      <c r="J2" s="139"/>
      <c r="K2" s="140"/>
    </row>
    <row r="3" spans="2:11" ht="18.75">
      <c r="B3" s="137"/>
      <c r="C3" s="137"/>
      <c r="D3" s="137"/>
      <c r="E3" s="137"/>
      <c r="F3" s="137"/>
      <c r="G3" s="137"/>
      <c r="H3" s="137"/>
      <c r="I3" s="137"/>
      <c r="J3" s="137"/>
      <c r="K3" s="137"/>
    </row>
    <row r="4" spans="2:11" ht="15.75">
      <c r="B4" s="138"/>
      <c r="C4" s="77" t="s">
        <v>254</v>
      </c>
      <c r="D4" s="77" t="s">
        <v>255</v>
      </c>
      <c r="E4" s="77" t="s">
        <v>256</v>
      </c>
      <c r="F4" s="77" t="s">
        <v>257</v>
      </c>
      <c r="G4" s="77" t="s">
        <v>258</v>
      </c>
      <c r="H4" s="77" t="s">
        <v>259</v>
      </c>
      <c r="I4" s="77" t="s">
        <v>260</v>
      </c>
      <c r="J4" s="77" t="s">
        <v>261</v>
      </c>
      <c r="K4" s="2"/>
    </row>
    <row r="5" spans="2:11" ht="15.75">
      <c r="B5" s="2" t="s">
        <v>40</v>
      </c>
      <c r="C5" s="141">
        <f>'Bell pepper'!G8</f>
        <v>8362.7999999999993</v>
      </c>
      <c r="D5" s="141">
        <f>Cucumber!G8</f>
        <v>12600</v>
      </c>
      <c r="E5" s="141">
        <f>'Head lettuce'!G8</f>
        <v>4355.75</v>
      </c>
      <c r="F5" s="141">
        <f>'Leafy greens'!G10</f>
        <v>4745.6062500000007</v>
      </c>
      <c r="G5" s="141">
        <f>Potato!G8</f>
        <v>2946.2999999999997</v>
      </c>
      <c r="H5" s="141">
        <f>'Root crops'!G10</f>
        <v>4230</v>
      </c>
      <c r="I5" s="141">
        <f>Strawberry!G8</f>
        <v>5643.75</v>
      </c>
      <c r="J5" s="144">
        <f>Tomato!G8</f>
        <v>10085.25</v>
      </c>
      <c r="K5" s="2"/>
    </row>
    <row r="6" spans="2:11" ht="15.75">
      <c r="B6" s="2" t="s">
        <v>64</v>
      </c>
      <c r="C6" s="141">
        <f>'Bell pepper'!G45</f>
        <v>3385.8018000000006</v>
      </c>
      <c r="D6" s="141">
        <f>Cucumber!G44</f>
        <v>4236.0967375</v>
      </c>
      <c r="E6" s="141">
        <f>'Head lettuce'!G47</f>
        <v>1873.7509512500001</v>
      </c>
      <c r="F6" s="141">
        <f>'Leafy greens'!G49</f>
        <v>2275.7980351562501</v>
      </c>
      <c r="G6" s="141">
        <f>Potato!G44</f>
        <v>1465.38185</v>
      </c>
      <c r="H6" s="141">
        <f>'Root crops'!G47</f>
        <v>1652.3524375</v>
      </c>
      <c r="I6" s="141">
        <f>Strawberry!G46</f>
        <v>4639.8352812499998</v>
      </c>
      <c r="J6" s="141">
        <f>Tomato!G46</f>
        <v>4128.0500587500001</v>
      </c>
      <c r="K6" s="2"/>
    </row>
    <row r="7" spans="2:11" ht="15.75">
      <c r="B7" s="2" t="s">
        <v>262</v>
      </c>
      <c r="C7" s="141">
        <f>'Bell pepper'!G53</f>
        <v>1709.2352777777778</v>
      </c>
      <c r="D7" s="141">
        <f>Cucumber!G52</f>
        <v>1709.2352777777778</v>
      </c>
      <c r="E7" s="141">
        <f>'Head lettuce'!G55</f>
        <v>732.52940476190486</v>
      </c>
      <c r="F7" s="141">
        <f>'Leafy greens'!G57</f>
        <v>732.52940476190486</v>
      </c>
      <c r="G7" s="141">
        <f>Potato!G52</f>
        <v>976.70587301587307</v>
      </c>
      <c r="H7" s="141">
        <f>'Root crops'!G55</f>
        <v>732.52940476190486</v>
      </c>
      <c r="I7" s="141">
        <f>Strawberry!G54</f>
        <v>1953.4117460317461</v>
      </c>
      <c r="J7" s="141">
        <f>Tomato!G54</f>
        <v>1953.4117460317461</v>
      </c>
      <c r="K7" s="2"/>
    </row>
    <row r="8" spans="2:11" ht="15.75">
      <c r="B8" s="2" t="s">
        <v>36</v>
      </c>
      <c r="C8" s="141">
        <f t="shared" ref="C8:J8" si="0">C6+C7</f>
        <v>5095.0370777777789</v>
      </c>
      <c r="D8" s="141">
        <f t="shared" si="0"/>
        <v>5945.3320152777778</v>
      </c>
      <c r="E8" s="141">
        <f t="shared" si="0"/>
        <v>2606.280356011905</v>
      </c>
      <c r="F8" s="141">
        <f t="shared" si="0"/>
        <v>3008.3274399181551</v>
      </c>
      <c r="G8" s="141">
        <f t="shared" si="0"/>
        <v>2442.0877230158731</v>
      </c>
      <c r="H8" s="141">
        <f t="shared" si="0"/>
        <v>2384.8818422619047</v>
      </c>
      <c r="I8" s="141">
        <f t="shared" si="0"/>
        <v>6593.2470272817463</v>
      </c>
      <c r="J8" s="141">
        <f t="shared" si="0"/>
        <v>6081.4618047817457</v>
      </c>
      <c r="K8" s="2"/>
    </row>
    <row r="9" spans="2:11" ht="15.75">
      <c r="B9" s="2"/>
      <c r="C9" s="14"/>
      <c r="D9" s="14"/>
      <c r="E9" s="14"/>
      <c r="F9" s="14"/>
      <c r="G9" s="14"/>
      <c r="H9" s="14"/>
      <c r="I9" s="14"/>
      <c r="J9" s="14"/>
      <c r="K9" s="2"/>
    </row>
    <row r="10" spans="2:11" ht="15.75">
      <c r="B10" s="136" t="s">
        <v>143</v>
      </c>
      <c r="C10" s="141">
        <f t="shared" ref="C10:J10" si="1">C5-C6</f>
        <v>4976.9981999999982</v>
      </c>
      <c r="D10" s="141">
        <f t="shared" si="1"/>
        <v>8363.9032625</v>
      </c>
      <c r="E10" s="141">
        <f t="shared" si="1"/>
        <v>2481.9990487499999</v>
      </c>
      <c r="F10" s="141">
        <f t="shared" si="1"/>
        <v>2469.8082148437506</v>
      </c>
      <c r="G10" s="141">
        <f t="shared" si="1"/>
        <v>1480.9181499999997</v>
      </c>
      <c r="H10" s="141">
        <f t="shared" si="1"/>
        <v>2577.6475625000003</v>
      </c>
      <c r="I10" s="141">
        <f t="shared" si="1"/>
        <v>1003.9147187500002</v>
      </c>
      <c r="J10" s="141">
        <f t="shared" si="1"/>
        <v>5957.1999412499999</v>
      </c>
      <c r="K10" s="2"/>
    </row>
    <row r="11" spans="2:11" ht="15.75">
      <c r="B11" s="136" t="s">
        <v>144</v>
      </c>
      <c r="C11" s="141">
        <f t="shared" ref="C11:J11" si="2">C5-C8</f>
        <v>3267.7629222222204</v>
      </c>
      <c r="D11" s="141">
        <f t="shared" si="2"/>
        <v>6654.6679847222222</v>
      </c>
      <c r="E11" s="141">
        <f t="shared" si="2"/>
        <v>1749.469643988095</v>
      </c>
      <c r="F11" s="141">
        <f t="shared" si="2"/>
        <v>1737.2788100818457</v>
      </c>
      <c r="G11" s="141">
        <f t="shared" si="2"/>
        <v>504.21227698412667</v>
      </c>
      <c r="H11" s="141">
        <f t="shared" si="2"/>
        <v>1845.1181577380953</v>
      </c>
      <c r="I11" s="141">
        <f t="shared" si="2"/>
        <v>-949.49702728174634</v>
      </c>
      <c r="J11" s="141">
        <f t="shared" si="2"/>
        <v>4003.7881952182543</v>
      </c>
      <c r="K11" s="2"/>
    </row>
    <row r="12" spans="2:11" ht="15.75">
      <c r="B12" s="136"/>
      <c r="C12" s="2"/>
      <c r="D12" s="2"/>
      <c r="E12" s="2"/>
      <c r="F12" s="2"/>
      <c r="G12" s="2"/>
      <c r="H12" s="2"/>
      <c r="I12" s="2"/>
      <c r="J12" s="2"/>
      <c r="K12" s="2"/>
    </row>
    <row r="13" spans="2:11" ht="15.75">
      <c r="B13" s="143" t="s">
        <v>263</v>
      </c>
      <c r="C13" s="145">
        <f>SUM('Bell pepper'!E34:E38)</f>
        <v>90</v>
      </c>
      <c r="D13" s="145">
        <f>SUM(Cucumber!E33:E37)</f>
        <v>120</v>
      </c>
      <c r="E13" s="145">
        <f>SUM('Head lettuce'!E36:E40)</f>
        <v>50</v>
      </c>
      <c r="F13" s="145">
        <f>SUM('Leafy greens'!E38:E42)</f>
        <v>70</v>
      </c>
      <c r="G13" s="145">
        <f>SUM(Potato!E32:E36)</f>
        <v>30</v>
      </c>
      <c r="H13" s="145">
        <f>SUM('Root crops'!E36:E40)</f>
        <v>55</v>
      </c>
      <c r="I13" s="145">
        <f>SUM(Strawberry!E34:E38)</f>
        <v>140</v>
      </c>
      <c r="J13" s="145">
        <f>SUM(Tomato!E34:E38)</f>
        <v>112</v>
      </c>
      <c r="K13" s="2"/>
    </row>
  </sheetData>
  <sheetProtection sheet="1" objects="1" scenarios="1"/>
  <pageMargins left="0.7" right="0.7" top="0.75" bottom="0.75" header="0.3" footer="0.3"/>
  <pageSetup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6D61-4807-4CE9-ACF2-1100F1626747}">
  <dimension ref="A1:K34"/>
  <sheetViews>
    <sheetView showGridLines="0" topLeftCell="A11" zoomScale="130" zoomScaleNormal="130" workbookViewId="0">
      <selection activeCell="H10" sqref="H10"/>
    </sheetView>
  </sheetViews>
  <sheetFormatPr defaultColWidth="0" defaultRowHeight="15" zeroHeight="1"/>
  <cols>
    <col min="1" max="1" width="3.125" customWidth="1"/>
    <col min="2" max="2" width="20.25" customWidth="1"/>
    <col min="3" max="3" width="48" customWidth="1"/>
    <col min="4" max="4" width="13.625" customWidth="1"/>
    <col min="5" max="5" width="11.375" customWidth="1"/>
    <col min="6" max="6" width="11.25" customWidth="1"/>
    <col min="7" max="7" width="13.625" customWidth="1"/>
    <col min="8" max="8" width="10.125" customWidth="1"/>
    <col min="9" max="9" width="3.125" customWidth="1"/>
    <col min="10" max="16384" width="9" hidden="1"/>
  </cols>
  <sheetData>
    <row r="1" spans="1:11" ht="21" hidden="1">
      <c r="A1" s="75"/>
      <c r="B1" s="218" t="s">
        <v>2</v>
      </c>
      <c r="C1" s="219"/>
      <c r="D1" s="220"/>
      <c r="E1" s="220"/>
      <c r="F1" s="220"/>
      <c r="G1" s="220"/>
      <c r="H1" s="220"/>
      <c r="I1" s="27"/>
    </row>
    <row r="2" spans="1:11" ht="16.5" customHeight="1">
      <c r="A2" s="176"/>
      <c r="D2" s="27"/>
      <c r="E2" s="27"/>
      <c r="F2" s="27"/>
      <c r="G2" s="27"/>
      <c r="H2" s="27"/>
      <c r="I2" s="27"/>
    </row>
    <row r="3" spans="1:11" ht="16.5" customHeight="1">
      <c r="A3" s="75"/>
      <c r="B3" s="2" t="s">
        <v>271</v>
      </c>
      <c r="C3" s="2"/>
      <c r="D3" s="177"/>
      <c r="E3" s="177"/>
      <c r="F3" s="177"/>
      <c r="G3" s="177"/>
      <c r="H3" s="177"/>
      <c r="I3" s="27"/>
    </row>
    <row r="4" spans="1:11" ht="16.5" customHeight="1">
      <c r="A4" s="1"/>
      <c r="B4" s="28"/>
      <c r="C4" s="28"/>
      <c r="D4" s="2"/>
      <c r="E4" s="2"/>
      <c r="F4" s="2"/>
      <c r="G4" s="2"/>
      <c r="H4" s="2"/>
    </row>
    <row r="5" spans="1:11" ht="16.5" customHeight="1">
      <c r="A5" s="1"/>
      <c r="B5" s="178"/>
      <c r="C5" s="178"/>
      <c r="D5" s="178"/>
      <c r="E5" s="179" t="s">
        <v>3</v>
      </c>
      <c r="F5" s="178" t="s">
        <v>4</v>
      </c>
      <c r="G5" s="2"/>
      <c r="H5" s="2"/>
    </row>
    <row r="6" spans="1:11" ht="16.5" customHeight="1">
      <c r="A6" s="1"/>
      <c r="B6" s="28" t="s">
        <v>5</v>
      </c>
      <c r="C6" s="28"/>
      <c r="D6" s="2"/>
      <c r="E6" s="73">
        <v>2160</v>
      </c>
      <c r="F6" s="3" t="s">
        <v>6</v>
      </c>
      <c r="G6" s="2"/>
      <c r="H6" s="2"/>
      <c r="K6" t="s">
        <v>268</v>
      </c>
    </row>
    <row r="7" spans="1:11" ht="16.5" customHeight="1">
      <c r="A7" s="1"/>
      <c r="B7" s="28" t="s">
        <v>299</v>
      </c>
      <c r="C7" s="28"/>
      <c r="D7" s="2"/>
      <c r="E7" s="94">
        <v>7.0000000000000007E-2</v>
      </c>
      <c r="F7" s="3" t="s">
        <v>7</v>
      </c>
      <c r="G7" s="2"/>
      <c r="H7" s="2"/>
      <c r="K7" t="s">
        <v>269</v>
      </c>
    </row>
    <row r="8" spans="1:11" ht="16.5" customHeight="1">
      <c r="A8" s="1"/>
      <c r="B8" s="28" t="s">
        <v>313</v>
      </c>
      <c r="C8" s="28"/>
      <c r="D8" s="2"/>
      <c r="E8" s="20">
        <v>200</v>
      </c>
      <c r="F8" s="3" t="s">
        <v>8</v>
      </c>
      <c r="G8" s="2"/>
      <c r="H8" s="2"/>
      <c r="K8" t="s">
        <v>270</v>
      </c>
    </row>
    <row r="9" spans="1:11" ht="16.5" customHeight="1">
      <c r="A9" s="1"/>
      <c r="B9" s="180"/>
      <c r="C9" s="180"/>
      <c r="D9" s="181"/>
      <c r="E9" s="28"/>
      <c r="F9" s="28"/>
      <c r="G9" s="2"/>
      <c r="H9" s="2"/>
    </row>
    <row r="10" spans="1:11" ht="16.5" customHeight="1">
      <c r="A10" s="1"/>
      <c r="B10" s="28" t="s">
        <v>298</v>
      </c>
      <c r="C10" s="28"/>
      <c r="D10" s="28"/>
      <c r="E10" s="28"/>
      <c r="F10" s="70"/>
      <c r="G10" s="182"/>
      <c r="H10" s="182"/>
    </row>
    <row r="11" spans="1:11" ht="33" customHeight="1">
      <c r="A11" s="1"/>
      <c r="B11" s="183" t="s">
        <v>9</v>
      </c>
      <c r="C11" s="183" t="s">
        <v>10</v>
      </c>
      <c r="D11" s="184" t="s">
        <v>11</v>
      </c>
      <c r="E11" s="184" t="s">
        <v>307</v>
      </c>
      <c r="F11" s="184" t="s">
        <v>12</v>
      </c>
      <c r="G11" s="184" t="s">
        <v>305</v>
      </c>
      <c r="H11" s="184" t="s">
        <v>306</v>
      </c>
    </row>
    <row r="12" spans="1:11" ht="16.5" customHeight="1">
      <c r="A12" s="1"/>
      <c r="B12" s="185"/>
      <c r="C12" s="185"/>
      <c r="D12" s="186" t="s">
        <v>13</v>
      </c>
      <c r="E12" s="186" t="s">
        <v>14</v>
      </c>
      <c r="F12" s="186" t="s">
        <v>15</v>
      </c>
      <c r="G12" s="186" t="s">
        <v>13</v>
      </c>
      <c r="H12" s="186" t="s">
        <v>13</v>
      </c>
    </row>
    <row r="13" spans="1:11" ht="16.5" customHeight="1">
      <c r="B13" s="86" t="s">
        <v>16</v>
      </c>
      <c r="C13" s="86" t="s">
        <v>17</v>
      </c>
      <c r="D13" s="74">
        <v>6000</v>
      </c>
      <c r="E13" s="87">
        <v>15</v>
      </c>
      <c r="F13" s="88">
        <v>0.1</v>
      </c>
      <c r="G13" s="187">
        <f>IF(D13&gt;0,(D13-(D13*F13))/E13,"")</f>
        <v>360</v>
      </c>
      <c r="H13" s="187">
        <f>IF(D13&gt;0,((D13+D13*F13)/2)*$E$7,"")</f>
        <v>231.00000000000003</v>
      </c>
    </row>
    <row r="14" spans="1:11" ht="16.5" customHeight="1">
      <c r="B14" s="86" t="s">
        <v>312</v>
      </c>
      <c r="C14" s="86" t="s">
        <v>18</v>
      </c>
      <c r="D14" s="74">
        <v>1200</v>
      </c>
      <c r="E14" s="95">
        <v>15</v>
      </c>
      <c r="F14" s="88">
        <v>0</v>
      </c>
      <c r="G14" s="187">
        <f t="shared" ref="G14:G31" si="0">IF(D14&gt;0,(D14-(D14*F14))/E14,"")</f>
        <v>80</v>
      </c>
      <c r="H14" s="187">
        <f t="shared" ref="H14:H31" si="1">IF(D14&gt;0,((D14+D14*F14)/2)*$E$7,"")</f>
        <v>42.000000000000007</v>
      </c>
    </row>
    <row r="15" spans="1:11" ht="16.5" customHeight="1">
      <c r="B15" s="86" t="s">
        <v>311</v>
      </c>
      <c r="C15" s="86" t="s">
        <v>25</v>
      </c>
      <c r="D15" s="74">
        <v>1320</v>
      </c>
      <c r="E15" s="87">
        <v>15</v>
      </c>
      <c r="F15" s="88">
        <v>0.1</v>
      </c>
      <c r="G15" s="187">
        <f t="shared" si="0"/>
        <v>79.2</v>
      </c>
      <c r="H15" s="187">
        <f t="shared" si="1"/>
        <v>50.820000000000007</v>
      </c>
    </row>
    <row r="16" spans="1:11" ht="16.5" customHeight="1">
      <c r="B16" s="86" t="s">
        <v>19</v>
      </c>
      <c r="C16" s="86" t="s">
        <v>265</v>
      </c>
      <c r="D16" s="74">
        <v>1000</v>
      </c>
      <c r="E16" s="87">
        <v>15</v>
      </c>
      <c r="F16" s="88">
        <v>0</v>
      </c>
      <c r="G16" s="187">
        <f t="shared" si="0"/>
        <v>66.666666666666671</v>
      </c>
      <c r="H16" s="187">
        <f t="shared" si="1"/>
        <v>35</v>
      </c>
    </row>
    <row r="17" spans="2:8" ht="16.5" customHeight="1">
      <c r="B17" s="86" t="s">
        <v>20</v>
      </c>
      <c r="C17" s="86" t="s">
        <v>21</v>
      </c>
      <c r="D17" s="74">
        <v>500</v>
      </c>
      <c r="E17" s="95">
        <v>15</v>
      </c>
      <c r="F17" s="88">
        <v>0</v>
      </c>
      <c r="G17" s="187">
        <f>IF(D17&gt;0,(D17-(D17*F17))/E17,"")</f>
        <v>33.333333333333336</v>
      </c>
      <c r="H17" s="187">
        <f>IF(D17&gt;0,((D17+D17*F17)/2)*$E$7,"")</f>
        <v>17.5</v>
      </c>
    </row>
    <row r="18" spans="2:8" ht="16.5" customHeight="1">
      <c r="B18" s="86" t="s">
        <v>22</v>
      </c>
      <c r="C18" s="86" t="s">
        <v>308</v>
      </c>
      <c r="D18" s="74">
        <v>6000</v>
      </c>
      <c r="E18" s="95">
        <v>15</v>
      </c>
      <c r="F18" s="88">
        <v>0</v>
      </c>
      <c r="G18" s="187">
        <f>IF(D18&gt;0,(D18-(D18*F18))/E18,"")</f>
        <v>400</v>
      </c>
      <c r="H18" s="187">
        <f>IF(D18&gt;0,((D18+D18*F18)/2)*$E$7,"")</f>
        <v>210.00000000000003</v>
      </c>
    </row>
    <row r="19" spans="2:8" ht="16.5" customHeight="1">
      <c r="B19" s="86" t="s">
        <v>23</v>
      </c>
      <c r="C19" s="86" t="s">
        <v>310</v>
      </c>
      <c r="D19" s="74">
        <v>1400</v>
      </c>
      <c r="E19" s="87">
        <v>15</v>
      </c>
      <c r="F19" s="88">
        <v>0</v>
      </c>
      <c r="G19" s="187">
        <f t="shared" si="0"/>
        <v>93.333333333333329</v>
      </c>
      <c r="H19" s="187">
        <f t="shared" si="1"/>
        <v>49.000000000000007</v>
      </c>
    </row>
    <row r="20" spans="2:8" ht="16.5" customHeight="1">
      <c r="B20" s="191" t="s">
        <v>23</v>
      </c>
      <c r="C20" s="191" t="s">
        <v>24</v>
      </c>
      <c r="D20" s="192">
        <v>40</v>
      </c>
      <c r="E20" s="87">
        <v>1</v>
      </c>
      <c r="F20" s="88">
        <v>0</v>
      </c>
      <c r="G20" s="187">
        <f t="shared" si="0"/>
        <v>40</v>
      </c>
      <c r="H20" s="187">
        <f t="shared" si="1"/>
        <v>1.4000000000000001</v>
      </c>
    </row>
    <row r="21" spans="2:8" ht="16.5" customHeight="1">
      <c r="B21" s="86" t="s">
        <v>26</v>
      </c>
      <c r="C21" s="86" t="s">
        <v>27</v>
      </c>
      <c r="D21" s="74">
        <v>750</v>
      </c>
      <c r="E21" s="87">
        <v>10</v>
      </c>
      <c r="F21" s="88">
        <v>0.1</v>
      </c>
      <c r="G21" s="187">
        <f t="shared" si="0"/>
        <v>67.5</v>
      </c>
      <c r="H21" s="187">
        <f t="shared" si="1"/>
        <v>28.875000000000004</v>
      </c>
    </row>
    <row r="22" spans="2:8" ht="16.5" customHeight="1">
      <c r="B22" s="191" t="s">
        <v>28</v>
      </c>
      <c r="C22" s="191" t="s">
        <v>266</v>
      </c>
      <c r="D22" s="92">
        <v>500</v>
      </c>
      <c r="E22" s="87">
        <v>7</v>
      </c>
      <c r="F22" s="88">
        <v>0.1</v>
      </c>
      <c r="G22" s="187">
        <f t="shared" si="0"/>
        <v>64.285714285714292</v>
      </c>
      <c r="H22" s="187">
        <f t="shared" si="1"/>
        <v>19.250000000000004</v>
      </c>
    </row>
    <row r="23" spans="2:8" ht="16.5" customHeight="1">
      <c r="B23" s="191" t="s">
        <v>28</v>
      </c>
      <c r="C23" s="191" t="s">
        <v>29</v>
      </c>
      <c r="D23" s="192">
        <v>250</v>
      </c>
      <c r="E23" s="87">
        <v>7</v>
      </c>
      <c r="F23" s="88">
        <v>0.1</v>
      </c>
      <c r="G23" s="187">
        <f>IF(D23&gt;0,(D23-(D23*F23))/E23,"")</f>
        <v>32.142857142857146</v>
      </c>
      <c r="H23" s="187">
        <f>IF(D23&gt;0,((D23+D23*F23)/2)*$E$7,"")</f>
        <v>9.6250000000000018</v>
      </c>
    </row>
    <row r="24" spans="2:8" ht="16.5" customHeight="1">
      <c r="B24" s="86" t="s">
        <v>30</v>
      </c>
      <c r="C24" s="86" t="s">
        <v>31</v>
      </c>
      <c r="D24" s="74">
        <v>700</v>
      </c>
      <c r="E24" s="87">
        <v>4</v>
      </c>
      <c r="F24" s="88">
        <v>0</v>
      </c>
      <c r="G24" s="187">
        <f t="shared" si="0"/>
        <v>175</v>
      </c>
      <c r="H24" s="187">
        <f t="shared" si="1"/>
        <v>24.500000000000004</v>
      </c>
    </row>
    <row r="25" spans="2:8" ht="16.5" customHeight="1">
      <c r="B25" s="191" t="s">
        <v>30</v>
      </c>
      <c r="C25" s="191" t="s">
        <v>32</v>
      </c>
      <c r="D25" s="192">
        <v>400</v>
      </c>
      <c r="E25" s="87">
        <v>10</v>
      </c>
      <c r="F25" s="88">
        <v>0</v>
      </c>
      <c r="G25" s="187">
        <f t="shared" si="0"/>
        <v>40</v>
      </c>
      <c r="H25" s="187">
        <f t="shared" si="1"/>
        <v>14.000000000000002</v>
      </c>
    </row>
    <row r="26" spans="2:8" ht="16.5" customHeight="1">
      <c r="B26" s="191" t="s">
        <v>33</v>
      </c>
      <c r="C26" s="191" t="s">
        <v>34</v>
      </c>
      <c r="D26" s="192">
        <v>250</v>
      </c>
      <c r="E26" s="87">
        <v>10</v>
      </c>
      <c r="F26" s="88">
        <v>0</v>
      </c>
      <c r="G26" s="187">
        <f t="shared" si="0"/>
        <v>25</v>
      </c>
      <c r="H26" s="187">
        <f t="shared" si="1"/>
        <v>8.75</v>
      </c>
    </row>
    <row r="27" spans="2:8" ht="16.5" customHeight="1">
      <c r="B27" s="191" t="s">
        <v>35</v>
      </c>
      <c r="C27" s="191" t="s">
        <v>267</v>
      </c>
      <c r="D27" s="192">
        <v>285</v>
      </c>
      <c r="E27" s="87">
        <v>7</v>
      </c>
      <c r="F27" s="88">
        <v>0</v>
      </c>
      <c r="G27" s="187">
        <f t="shared" si="0"/>
        <v>40.714285714285715</v>
      </c>
      <c r="H27" s="187">
        <f t="shared" si="1"/>
        <v>9.9750000000000014</v>
      </c>
    </row>
    <row r="28" spans="2:8" ht="16.5" customHeight="1">
      <c r="B28" s="191" t="s">
        <v>35</v>
      </c>
      <c r="C28" s="191" t="s">
        <v>309</v>
      </c>
      <c r="D28" s="192">
        <v>375</v>
      </c>
      <c r="E28" s="87">
        <v>7</v>
      </c>
      <c r="F28" s="88">
        <v>0</v>
      </c>
      <c r="G28" s="187">
        <f t="shared" si="0"/>
        <v>53.571428571428569</v>
      </c>
      <c r="H28" s="187">
        <f t="shared" si="1"/>
        <v>13.125000000000002</v>
      </c>
    </row>
    <row r="29" spans="2:8" ht="16.5" customHeight="1">
      <c r="B29" s="191" t="s">
        <v>296</v>
      </c>
      <c r="C29" s="191" t="s">
        <v>297</v>
      </c>
      <c r="D29" s="192">
        <v>0</v>
      </c>
      <c r="E29" s="87">
        <v>7</v>
      </c>
      <c r="F29" s="88">
        <v>0</v>
      </c>
      <c r="G29" s="187" t="str">
        <f t="shared" si="0"/>
        <v/>
      </c>
      <c r="H29" s="187" t="str">
        <f t="shared" si="1"/>
        <v/>
      </c>
    </row>
    <row r="30" spans="2:8" ht="16.5" customHeight="1">
      <c r="B30" s="191" t="s">
        <v>296</v>
      </c>
      <c r="C30" s="191" t="s">
        <v>297</v>
      </c>
      <c r="D30" s="192">
        <v>0</v>
      </c>
      <c r="E30" s="87">
        <v>7</v>
      </c>
      <c r="F30" s="88">
        <v>0</v>
      </c>
      <c r="G30" s="187" t="str">
        <f t="shared" si="0"/>
        <v/>
      </c>
      <c r="H30" s="187" t="str">
        <f t="shared" si="1"/>
        <v/>
      </c>
    </row>
    <row r="31" spans="2:8" ht="16.5" customHeight="1">
      <c r="B31" s="193" t="s">
        <v>296</v>
      </c>
      <c r="C31" s="193" t="s">
        <v>297</v>
      </c>
      <c r="D31" s="194">
        <v>0</v>
      </c>
      <c r="E31" s="90">
        <v>7</v>
      </c>
      <c r="F31" s="91">
        <v>0</v>
      </c>
      <c r="G31" s="188" t="str">
        <f t="shared" si="0"/>
        <v/>
      </c>
      <c r="H31" s="188" t="str">
        <f t="shared" si="1"/>
        <v/>
      </c>
    </row>
    <row r="32" spans="2:8" ht="16.5" customHeight="1">
      <c r="B32" s="89" t="s">
        <v>36</v>
      </c>
      <c r="C32" s="89"/>
      <c r="D32" s="189">
        <f>SUM(D13:D31)</f>
        <v>20970</v>
      </c>
      <c r="E32" s="190"/>
      <c r="F32" s="190"/>
      <c r="G32" s="187">
        <f>SUM(G13:G31)</f>
        <v>1650.7476190476191</v>
      </c>
      <c r="H32" s="187">
        <f>SUM(H13:H31)</f>
        <v>764.82</v>
      </c>
    </row>
    <row r="33" spans="2:4" ht="16.5" customHeight="1">
      <c r="B33" s="89" t="s">
        <v>37</v>
      </c>
      <c r="C33" s="89"/>
      <c r="D33" s="14">
        <f>D32/E6</f>
        <v>9.7083333333333339</v>
      </c>
    </row>
    <row r="34" spans="2:4" ht="15.75" hidden="1">
      <c r="B34" s="89"/>
      <c r="C34" s="89"/>
    </row>
  </sheetData>
  <sheetProtection sheet="1" objects="1" scenarios="1"/>
  <mergeCells count="1">
    <mergeCell ref="B1:H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DF3EC-B167-4B0F-9848-9C594A7C68CC}">
  <dimension ref="A1:U62"/>
  <sheetViews>
    <sheetView showGridLines="0" topLeftCell="A30" zoomScale="120" zoomScaleNormal="120" workbookViewId="0">
      <selection activeCell="F52" sqref="F52"/>
    </sheetView>
  </sheetViews>
  <sheetFormatPr defaultRowHeight="15"/>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8" width="3.125" customWidth="1"/>
    <col min="9" max="9" width="3.25" customWidth="1"/>
    <col min="11" max="19" width="10.625" customWidth="1"/>
    <col min="20" max="20" width="3.125" customWidth="1"/>
  </cols>
  <sheetData>
    <row r="1" spans="1:21" ht="16.5">
      <c r="A1" s="4"/>
      <c r="B1" s="4"/>
      <c r="C1" s="5"/>
      <c r="H1" s="4"/>
      <c r="I1" s="4"/>
    </row>
    <row r="2" spans="1:21" ht="21">
      <c r="A2" s="4"/>
      <c r="B2" s="221" t="s">
        <v>38</v>
      </c>
      <c r="C2" s="222"/>
      <c r="D2" s="222"/>
      <c r="E2" s="222"/>
      <c r="F2" s="222"/>
      <c r="G2" s="222"/>
      <c r="H2" s="4"/>
      <c r="I2" s="1"/>
      <c r="T2" s="1"/>
    </row>
    <row r="3" spans="1:21" ht="16.5" customHeight="1">
      <c r="A3" s="4"/>
      <c r="B3" s="4"/>
      <c r="C3" s="6"/>
      <c r="D3" s="6"/>
      <c r="E3" s="223"/>
      <c r="F3" s="223"/>
      <c r="G3" s="223"/>
      <c r="H3" s="4"/>
      <c r="I3" s="1"/>
      <c r="T3" s="1"/>
      <c r="U3" s="162" t="s">
        <v>39</v>
      </c>
    </row>
    <row r="4" spans="1:21" ht="16.5" customHeight="1">
      <c r="A4" s="7"/>
      <c r="B4" s="8" t="s">
        <v>40</v>
      </c>
      <c r="C4" s="8"/>
      <c r="D4" s="8" t="s">
        <v>4</v>
      </c>
      <c r="E4" s="9" t="s">
        <v>41</v>
      </c>
      <c r="F4" s="9" t="s">
        <v>42</v>
      </c>
      <c r="G4" s="9" t="s">
        <v>43</v>
      </c>
      <c r="H4" s="4"/>
      <c r="I4" s="1"/>
      <c r="J4" s="71" t="s">
        <v>44</v>
      </c>
      <c r="T4" s="1"/>
    </row>
    <row r="5" spans="1:21" ht="16.5" customHeight="1">
      <c r="A5" s="7"/>
      <c r="B5" s="2" t="s">
        <v>45</v>
      </c>
      <c r="C5" s="2"/>
      <c r="D5" s="3" t="s">
        <v>46</v>
      </c>
      <c r="E5" s="159">
        <f>M7*M8*M9</f>
        <v>2484</v>
      </c>
      <c r="F5" s="78">
        <v>3</v>
      </c>
      <c r="G5" s="14">
        <f>E5*F5</f>
        <v>7452</v>
      </c>
      <c r="H5" s="4"/>
      <c r="I5" s="1"/>
      <c r="J5" s="153" t="s">
        <v>47</v>
      </c>
      <c r="K5" s="148"/>
      <c r="L5" s="148"/>
      <c r="M5" s="161" t="s">
        <v>48</v>
      </c>
      <c r="N5" s="160" t="s">
        <v>4</v>
      </c>
      <c r="O5" s="148"/>
      <c r="T5" s="1"/>
      <c r="U5" t="s">
        <v>49</v>
      </c>
    </row>
    <row r="6" spans="1:21" ht="16.5" customHeight="1">
      <c r="A6" s="7"/>
      <c r="B6" s="2" t="s">
        <v>50</v>
      </c>
      <c r="C6" s="2"/>
      <c r="D6" s="3" t="s">
        <v>46</v>
      </c>
      <c r="E6" s="159">
        <f>M7*M8*M10</f>
        <v>828</v>
      </c>
      <c r="F6" s="78">
        <v>1.1000000000000001</v>
      </c>
      <c r="G6" s="14">
        <f>E6*F6</f>
        <v>910.80000000000007</v>
      </c>
      <c r="H6" s="4"/>
      <c r="I6" s="1"/>
      <c r="J6" s="136" t="s">
        <v>51</v>
      </c>
      <c r="M6" s="79">
        <v>2000</v>
      </c>
      <c r="N6" s="3" t="s">
        <v>52</v>
      </c>
      <c r="T6" s="1"/>
      <c r="U6" t="s">
        <v>53</v>
      </c>
    </row>
    <row r="7" spans="1:21" ht="16.5" customHeight="1">
      <c r="A7" s="7"/>
      <c r="B7" s="2" t="s">
        <v>54</v>
      </c>
      <c r="C7" s="2"/>
      <c r="D7" s="3" t="s">
        <v>55</v>
      </c>
      <c r="E7" s="16"/>
      <c r="F7" s="14"/>
      <c r="G7" s="129">
        <v>0</v>
      </c>
      <c r="H7" s="4"/>
      <c r="I7" s="1"/>
      <c r="J7" s="136" t="s">
        <v>56</v>
      </c>
      <c r="M7" s="79">
        <v>552</v>
      </c>
      <c r="N7" s="3" t="s">
        <v>57</v>
      </c>
      <c r="T7" s="1"/>
      <c r="U7" t="s">
        <v>58</v>
      </c>
    </row>
    <row r="8" spans="1:21" ht="16.5" customHeight="1">
      <c r="A8" s="7"/>
      <c r="B8" s="2"/>
      <c r="C8" s="13" t="s">
        <v>59</v>
      </c>
      <c r="E8" s="2"/>
      <c r="F8" s="2"/>
      <c r="G8" s="14">
        <f>SUM(G5:G7)</f>
        <v>8362.7999999999993</v>
      </c>
      <c r="H8" s="4"/>
      <c r="I8" s="1"/>
      <c r="J8" s="136" t="s">
        <v>60</v>
      </c>
      <c r="M8" s="76">
        <v>6</v>
      </c>
      <c r="N8" s="3" t="s">
        <v>61</v>
      </c>
      <c r="T8" s="1"/>
    </row>
    <row r="9" spans="1:21" ht="16.5" customHeight="1">
      <c r="A9" s="7"/>
      <c r="B9" s="7"/>
      <c r="C9" s="13"/>
      <c r="E9" s="2"/>
      <c r="F9" s="2"/>
      <c r="G9" s="14"/>
      <c r="H9" s="4"/>
      <c r="I9" s="1"/>
      <c r="J9" s="136" t="s">
        <v>62</v>
      </c>
      <c r="M9" s="157">
        <v>0.75</v>
      </c>
      <c r="N9" s="3" t="s">
        <v>63</v>
      </c>
      <c r="T9" s="1"/>
    </row>
    <row r="10" spans="1:21" ht="16.5" customHeight="1">
      <c r="A10" s="7"/>
      <c r="B10" s="15" t="s">
        <v>64</v>
      </c>
      <c r="C10" s="15"/>
      <c r="D10" s="8" t="s">
        <v>4</v>
      </c>
      <c r="E10" s="9" t="s">
        <v>41</v>
      </c>
      <c r="F10" s="9" t="s">
        <v>42</v>
      </c>
      <c r="G10" s="9" t="s">
        <v>43</v>
      </c>
      <c r="H10" s="4"/>
      <c r="I10" s="1"/>
      <c r="J10" s="156" t="s">
        <v>65</v>
      </c>
      <c r="K10" s="154"/>
      <c r="L10" s="154"/>
      <c r="M10" s="158">
        <v>0.25</v>
      </c>
      <c r="N10" s="155" t="s">
        <v>63</v>
      </c>
      <c r="O10" s="154"/>
      <c r="T10" s="1"/>
    </row>
    <row r="11" spans="1:21" ht="16.5" customHeight="1">
      <c r="A11" s="7"/>
      <c r="B11" s="2" t="s">
        <v>66</v>
      </c>
      <c r="C11" s="2"/>
      <c r="D11" s="3" t="s">
        <v>67</v>
      </c>
      <c r="E11" s="66">
        <f>M7</f>
        <v>552</v>
      </c>
      <c r="F11" s="78">
        <v>0.65</v>
      </c>
      <c r="G11" s="14">
        <f>E11*F11</f>
        <v>358.8</v>
      </c>
      <c r="H11" s="4"/>
      <c r="I11" s="1"/>
      <c r="T11" s="1"/>
      <c r="U11" t="s">
        <v>68</v>
      </c>
    </row>
    <row r="12" spans="1:21" ht="16.5" customHeight="1">
      <c r="A12" s="7"/>
      <c r="B12" s="2" t="s">
        <v>69</v>
      </c>
      <c r="C12" s="2"/>
      <c r="D12" s="3" t="s">
        <v>67</v>
      </c>
      <c r="E12" s="10">
        <v>1</v>
      </c>
      <c r="F12" s="11">
        <v>25</v>
      </c>
      <c r="G12" s="14">
        <f t="shared" ref="G12:G32" si="0">E12*F12</f>
        <v>25</v>
      </c>
      <c r="H12" s="4"/>
      <c r="I12" s="1"/>
      <c r="J12" s="71" t="s">
        <v>70</v>
      </c>
      <c r="K12" s="71"/>
      <c r="L12" s="71"/>
      <c r="M12" s="71"/>
      <c r="N12" s="71"/>
      <c r="O12" s="71"/>
      <c r="P12" s="71"/>
      <c r="Q12" s="71"/>
      <c r="R12" s="71"/>
      <c r="S12" s="71"/>
      <c r="T12" s="1"/>
      <c r="U12" t="s">
        <v>71</v>
      </c>
    </row>
    <row r="13" spans="1:21" ht="16.5" customHeight="1">
      <c r="A13" s="7"/>
      <c r="B13" s="2" t="s">
        <v>72</v>
      </c>
      <c r="C13" s="2"/>
      <c r="D13" s="3" t="s">
        <v>67</v>
      </c>
      <c r="E13" s="10">
        <v>3</v>
      </c>
      <c r="F13" s="11">
        <v>40</v>
      </c>
      <c r="G13" s="14">
        <f t="shared" si="0"/>
        <v>120</v>
      </c>
      <c r="H13" s="4"/>
      <c r="I13" s="1"/>
      <c r="J13" s="110" t="s">
        <v>73</v>
      </c>
      <c r="K13" s="93"/>
      <c r="L13" s="93"/>
      <c r="M13" s="93"/>
      <c r="N13" s="93"/>
      <c r="O13" s="93"/>
      <c r="P13" s="93"/>
      <c r="Q13" s="93"/>
      <c r="R13" s="93"/>
      <c r="S13" s="93"/>
      <c r="T13" s="1"/>
      <c r="U13" t="s">
        <v>74</v>
      </c>
    </row>
    <row r="14" spans="1:21" ht="16.5" customHeight="1">
      <c r="A14" s="7"/>
      <c r="B14" s="2" t="s">
        <v>75</v>
      </c>
      <c r="C14" s="2"/>
      <c r="D14" s="3" t="s">
        <v>55</v>
      </c>
      <c r="E14" s="128"/>
      <c r="F14" s="64"/>
      <c r="G14" s="14">
        <f>SUMPRODUCT(E15:E17,F15:F17)</f>
        <v>0</v>
      </c>
      <c r="H14" s="4"/>
      <c r="I14" s="1"/>
      <c r="J14" s="33"/>
      <c r="K14" s="43"/>
      <c r="L14" s="44"/>
      <c r="M14" s="104"/>
      <c r="N14" s="104"/>
      <c r="O14" s="104"/>
      <c r="P14" s="104" t="s">
        <v>76</v>
      </c>
      <c r="Q14" s="104"/>
      <c r="R14" s="104"/>
      <c r="S14" s="105"/>
      <c r="T14" s="1"/>
    </row>
    <row r="15" spans="1:21" ht="16.5" customHeight="1">
      <c r="A15" s="7"/>
      <c r="B15" s="2"/>
      <c r="C15" s="82" t="s">
        <v>77</v>
      </c>
      <c r="D15" s="151" t="s">
        <v>46</v>
      </c>
      <c r="E15" s="10">
        <v>0</v>
      </c>
      <c r="F15" s="11">
        <v>0</v>
      </c>
      <c r="G15" s="14"/>
      <c r="H15" s="4"/>
      <c r="I15" s="1"/>
      <c r="J15" s="45"/>
      <c r="K15" s="46"/>
      <c r="L15" s="47"/>
      <c r="M15" s="48" t="s">
        <v>78</v>
      </c>
      <c r="N15" s="48" t="s">
        <v>79</v>
      </c>
      <c r="O15" s="48" t="s">
        <v>80</v>
      </c>
      <c r="P15" s="48" t="s">
        <v>81</v>
      </c>
      <c r="Q15" s="48" t="s">
        <v>82</v>
      </c>
      <c r="R15" s="48" t="s">
        <v>83</v>
      </c>
      <c r="S15" s="49" t="s">
        <v>84</v>
      </c>
      <c r="T15" s="1"/>
    </row>
    <row r="16" spans="1:21" ht="16.5" customHeight="1">
      <c r="A16" s="7"/>
      <c r="B16" s="2"/>
      <c r="C16" s="82" t="s">
        <v>85</v>
      </c>
      <c r="D16" s="151" t="s">
        <v>46</v>
      </c>
      <c r="E16" s="10">
        <v>0</v>
      </c>
      <c r="F16" s="11">
        <v>0</v>
      </c>
      <c r="G16" s="14"/>
      <c r="H16" s="4"/>
      <c r="I16" s="1"/>
      <c r="J16" s="50"/>
      <c r="K16" s="51"/>
      <c r="L16" s="52"/>
      <c r="M16" s="40">
        <f>P16*70%</f>
        <v>2318.3999999999996</v>
      </c>
      <c r="N16" s="40">
        <f>P16*80%</f>
        <v>2649.6000000000004</v>
      </c>
      <c r="O16" s="40">
        <f>P16*90%</f>
        <v>2980.8</v>
      </c>
      <c r="P16" s="41">
        <f>E5+E6</f>
        <v>3312</v>
      </c>
      <c r="Q16" s="40">
        <f>P16*110%</f>
        <v>3643.2000000000003</v>
      </c>
      <c r="R16" s="40">
        <f>P16*120%</f>
        <v>3974.3999999999996</v>
      </c>
      <c r="S16" s="42">
        <f>P16*130%</f>
        <v>4305.6000000000004</v>
      </c>
      <c r="T16" s="1"/>
    </row>
    <row r="17" spans="1:21" ht="16.5" customHeight="1">
      <c r="A17" s="7"/>
      <c r="B17" s="2"/>
      <c r="C17" s="82" t="s">
        <v>86</v>
      </c>
      <c r="D17" s="151" t="s">
        <v>46</v>
      </c>
      <c r="E17" s="10">
        <v>0</v>
      </c>
      <c r="F17" s="11">
        <v>0</v>
      </c>
      <c r="G17" s="14"/>
      <c r="H17" s="4"/>
      <c r="I17" s="1"/>
      <c r="J17" s="226" t="s">
        <v>87</v>
      </c>
      <c r="K17" s="101" t="s">
        <v>88</v>
      </c>
      <c r="L17" s="54">
        <f>L20*85%</f>
        <v>2.1462499999999998</v>
      </c>
      <c r="M17" s="111">
        <f t="shared" ref="M17:M23" si="1">(L17*$M$16)+$G$7-$G$56</f>
        <v>-119.17107777777983</v>
      </c>
      <c r="N17" s="112">
        <f t="shared" ref="N17:N23" si="2">(L17*$N$16)+$G$7-$G$56</f>
        <v>591.66692222222082</v>
      </c>
      <c r="O17" s="112">
        <f t="shared" ref="O17:O23" si="3">(L17*$O$16)+$G$7-$G$56</f>
        <v>1302.5049222222206</v>
      </c>
      <c r="P17" s="112">
        <f t="shared" ref="P17:P23" si="4">(L17*$P$16)+$G$7-$G$56</f>
        <v>2013.3429222222203</v>
      </c>
      <c r="Q17" s="112">
        <f t="shared" ref="Q17:Q23" si="5">(L17*$Q$16)+$G$7-$G$56</f>
        <v>2724.1809222222209</v>
      </c>
      <c r="R17" s="112">
        <f t="shared" ref="R17:R23" si="6">(L17*$R$16)+$G$7-$G$56</f>
        <v>3435.0189222222198</v>
      </c>
      <c r="S17" s="113">
        <f t="shared" ref="S17:S23" si="7">(L17*$S$16)+$G$7-$G$56</f>
        <v>4145.8569222222213</v>
      </c>
      <c r="T17" s="1"/>
    </row>
    <row r="18" spans="1:21" ht="16.5" customHeight="1">
      <c r="A18" s="7"/>
      <c r="B18" s="2" t="s">
        <v>89</v>
      </c>
      <c r="C18" s="2"/>
      <c r="D18" s="3" t="s">
        <v>55</v>
      </c>
      <c r="E18" s="66"/>
      <c r="F18" s="14"/>
      <c r="G18" s="14">
        <f>SUMPRODUCT(E19:E21,F19:F21)</f>
        <v>0</v>
      </c>
      <c r="H18" s="4"/>
      <c r="I18" s="1"/>
      <c r="J18" s="226"/>
      <c r="K18" s="101" t="s">
        <v>80</v>
      </c>
      <c r="L18" s="54">
        <f>L20*90%</f>
        <v>2.2725</v>
      </c>
      <c r="M18" s="114">
        <f t="shared" si="1"/>
        <v>173.52692222222049</v>
      </c>
      <c r="N18" s="115">
        <f t="shared" si="2"/>
        <v>926.17892222222144</v>
      </c>
      <c r="O18" s="115">
        <f t="shared" si="3"/>
        <v>1678.8309222222215</v>
      </c>
      <c r="P18" s="115">
        <f t="shared" si="4"/>
        <v>2431.4829222222206</v>
      </c>
      <c r="Q18" s="115">
        <f t="shared" si="5"/>
        <v>3184.1349222222216</v>
      </c>
      <c r="R18" s="115">
        <f t="shared" si="6"/>
        <v>3936.7869222222198</v>
      </c>
      <c r="S18" s="116">
        <f t="shared" si="7"/>
        <v>4689.4389222222217</v>
      </c>
      <c r="T18" s="1"/>
    </row>
    <row r="19" spans="1:21" ht="16.5" customHeight="1">
      <c r="A19" s="7"/>
      <c r="B19" s="2"/>
      <c r="C19" s="152" t="s">
        <v>77</v>
      </c>
      <c r="D19" s="17" t="s">
        <v>46</v>
      </c>
      <c r="E19" s="76">
        <v>0</v>
      </c>
      <c r="F19" s="78">
        <v>0</v>
      </c>
      <c r="G19" s="14"/>
      <c r="H19" s="4"/>
      <c r="I19" s="1"/>
      <c r="J19" s="226"/>
      <c r="K19" s="102" t="s">
        <v>90</v>
      </c>
      <c r="L19" s="54">
        <f>L20*0.95</f>
        <v>2.3987499999999997</v>
      </c>
      <c r="M19" s="114">
        <f t="shared" si="1"/>
        <v>466.2249222222199</v>
      </c>
      <c r="N19" s="115">
        <f t="shared" si="2"/>
        <v>1260.6909222222212</v>
      </c>
      <c r="O19" s="115">
        <f t="shared" si="3"/>
        <v>2055.1569222222206</v>
      </c>
      <c r="P19" s="115">
        <f t="shared" si="4"/>
        <v>2849.62292222222</v>
      </c>
      <c r="Q19" s="115">
        <f t="shared" si="5"/>
        <v>3644.0889222222213</v>
      </c>
      <c r="R19" s="115">
        <f t="shared" si="6"/>
        <v>4438.5549222222198</v>
      </c>
      <c r="S19" s="116">
        <f t="shared" si="7"/>
        <v>5233.0209222222202</v>
      </c>
      <c r="T19" s="1"/>
    </row>
    <row r="20" spans="1:21" ht="16.5" customHeight="1">
      <c r="A20" s="7"/>
      <c r="B20" s="2"/>
      <c r="C20" s="152" t="s">
        <v>91</v>
      </c>
      <c r="D20" s="17" t="s">
        <v>46</v>
      </c>
      <c r="E20" s="76">
        <v>0</v>
      </c>
      <c r="F20" s="78">
        <v>0</v>
      </c>
      <c r="G20" s="14"/>
      <c r="H20" s="4"/>
      <c r="I20" s="1"/>
      <c r="J20" s="226"/>
      <c r="K20" s="101" t="s">
        <v>81</v>
      </c>
      <c r="L20" s="32">
        <f>SUMPRODUCT(F5:F6,E5:E6)/SUM(E5:E6)</f>
        <v>2.5249999999999999</v>
      </c>
      <c r="M20" s="114">
        <f t="shared" si="1"/>
        <v>758.92292222222022</v>
      </c>
      <c r="N20" s="115">
        <f t="shared" si="2"/>
        <v>1595.2029222222218</v>
      </c>
      <c r="O20" s="115">
        <f t="shared" si="3"/>
        <v>2431.4829222222215</v>
      </c>
      <c r="P20" s="117">
        <f t="shared" si="4"/>
        <v>3267.7629222222204</v>
      </c>
      <c r="Q20" s="115">
        <f t="shared" si="5"/>
        <v>4104.042922222221</v>
      </c>
      <c r="R20" s="115">
        <f t="shared" si="6"/>
        <v>4940.3229222222199</v>
      </c>
      <c r="S20" s="116">
        <f t="shared" si="7"/>
        <v>5776.6029222222223</v>
      </c>
      <c r="T20" s="1"/>
    </row>
    <row r="21" spans="1:21" ht="16.5" customHeight="1">
      <c r="A21" s="7"/>
      <c r="B21" s="2"/>
      <c r="C21" s="152" t="s">
        <v>92</v>
      </c>
      <c r="D21" s="17" t="s">
        <v>46</v>
      </c>
      <c r="E21" s="76">
        <v>0</v>
      </c>
      <c r="F21" s="78">
        <v>0</v>
      </c>
      <c r="G21" s="14"/>
      <c r="H21" s="4"/>
      <c r="I21" s="1"/>
      <c r="J21" s="226"/>
      <c r="K21" s="101" t="s">
        <v>93</v>
      </c>
      <c r="L21" s="54">
        <f>L20*105%</f>
        <v>2.6512500000000001</v>
      </c>
      <c r="M21" s="114">
        <f t="shared" si="1"/>
        <v>1051.6209222222205</v>
      </c>
      <c r="N21" s="115">
        <f t="shared" si="2"/>
        <v>1929.7149222222224</v>
      </c>
      <c r="O21" s="115">
        <f t="shared" si="3"/>
        <v>2807.8089222222216</v>
      </c>
      <c r="P21" s="115">
        <f t="shared" si="4"/>
        <v>3685.9029222222216</v>
      </c>
      <c r="Q21" s="115">
        <f t="shared" si="5"/>
        <v>4563.9969222222226</v>
      </c>
      <c r="R21" s="115">
        <f t="shared" si="6"/>
        <v>5442.0909222222199</v>
      </c>
      <c r="S21" s="116">
        <f t="shared" si="7"/>
        <v>6320.1849222222227</v>
      </c>
      <c r="T21" s="1"/>
    </row>
    <row r="22" spans="1:21" ht="16.5" customHeight="1">
      <c r="A22" s="7"/>
      <c r="B22" s="2" t="s">
        <v>94</v>
      </c>
      <c r="D22" s="3" t="s">
        <v>55</v>
      </c>
      <c r="E22" s="66"/>
      <c r="F22" s="14"/>
      <c r="G22" s="14">
        <f>SUMPRODUCT(E23:E25,F23:F25)</f>
        <v>0</v>
      </c>
      <c r="H22" s="4"/>
      <c r="I22" s="1"/>
      <c r="J22" s="226"/>
      <c r="K22" s="101" t="s">
        <v>82</v>
      </c>
      <c r="L22" s="54">
        <f>L20*110%</f>
        <v>2.7775000000000003</v>
      </c>
      <c r="M22" s="114">
        <f t="shared" si="1"/>
        <v>1344.3189222222209</v>
      </c>
      <c r="N22" s="115">
        <f t="shared" si="2"/>
        <v>2264.226922222223</v>
      </c>
      <c r="O22" s="115">
        <f t="shared" si="3"/>
        <v>3184.1349222222234</v>
      </c>
      <c r="P22" s="115">
        <f t="shared" si="4"/>
        <v>4104.0429222222228</v>
      </c>
      <c r="Q22" s="115">
        <f t="shared" si="5"/>
        <v>5023.9509222222223</v>
      </c>
      <c r="R22" s="115">
        <f t="shared" si="6"/>
        <v>5943.8589222222217</v>
      </c>
      <c r="S22" s="116">
        <f t="shared" si="7"/>
        <v>6863.766922222223</v>
      </c>
      <c r="T22" s="1"/>
    </row>
    <row r="23" spans="1:21" ht="16.5" customHeight="1">
      <c r="A23" s="7"/>
      <c r="B23" s="2"/>
      <c r="C23" s="152" t="s">
        <v>95</v>
      </c>
      <c r="D23" s="17" t="s">
        <v>46</v>
      </c>
      <c r="E23" s="76">
        <v>0</v>
      </c>
      <c r="F23" s="78">
        <v>0.17</v>
      </c>
      <c r="G23" s="14"/>
      <c r="H23" s="4"/>
      <c r="I23" s="1"/>
      <c r="J23" s="227"/>
      <c r="K23" s="103" t="s">
        <v>96</v>
      </c>
      <c r="L23" s="57">
        <f>L20*115%</f>
        <v>2.9037499999999996</v>
      </c>
      <c r="M23" s="118">
        <f t="shared" si="1"/>
        <v>1637.0169222222194</v>
      </c>
      <c r="N23" s="119">
        <f t="shared" si="2"/>
        <v>2598.7389222222209</v>
      </c>
      <c r="O23" s="119">
        <f t="shared" si="3"/>
        <v>3560.4609222222207</v>
      </c>
      <c r="P23" s="119">
        <f t="shared" si="4"/>
        <v>4522.1829222222204</v>
      </c>
      <c r="Q23" s="119">
        <f t="shared" si="5"/>
        <v>5483.9049222222202</v>
      </c>
      <c r="R23" s="119">
        <f t="shared" si="6"/>
        <v>6445.6269222222181</v>
      </c>
      <c r="S23" s="120">
        <f t="shared" si="7"/>
        <v>7407.3489222222197</v>
      </c>
      <c r="T23" s="1"/>
    </row>
    <row r="24" spans="1:21" ht="16.5" customHeight="1">
      <c r="A24" s="7"/>
      <c r="B24" s="2"/>
      <c r="C24" s="152" t="s">
        <v>97</v>
      </c>
      <c r="D24" s="17" t="s">
        <v>46</v>
      </c>
      <c r="E24" s="76">
        <v>0</v>
      </c>
      <c r="F24" s="78">
        <v>0.75</v>
      </c>
      <c r="G24" s="14"/>
      <c r="H24" s="4"/>
      <c r="I24" s="1"/>
      <c r="J24" s="28"/>
      <c r="K24" s="28"/>
      <c r="L24" s="28"/>
      <c r="M24" s="28"/>
      <c r="N24" s="28"/>
      <c r="O24" s="28"/>
      <c r="P24" s="28"/>
      <c r="Q24" s="28"/>
      <c r="R24" s="28"/>
      <c r="S24" s="28"/>
      <c r="T24" s="1"/>
    </row>
    <row r="25" spans="1:21" ht="16.5" customHeight="1">
      <c r="A25" s="7"/>
      <c r="B25" s="2"/>
      <c r="C25" s="152" t="s">
        <v>98</v>
      </c>
      <c r="D25" s="17" t="s">
        <v>99</v>
      </c>
      <c r="E25" s="76">
        <v>0</v>
      </c>
      <c r="F25" s="78">
        <v>30</v>
      </c>
      <c r="G25" s="14"/>
      <c r="H25" s="4"/>
      <c r="I25" s="1"/>
      <c r="J25" s="81" t="s">
        <v>100</v>
      </c>
      <c r="K25" s="81"/>
      <c r="L25" s="81"/>
      <c r="M25" s="81"/>
      <c r="N25" s="81"/>
      <c r="O25" s="81"/>
      <c r="P25" s="81"/>
      <c r="Q25" s="81"/>
      <c r="R25" s="81"/>
      <c r="S25" s="81"/>
      <c r="T25" s="1"/>
    </row>
    <row r="26" spans="1:21" ht="16.5" customHeight="1">
      <c r="A26" s="7"/>
      <c r="B26" s="2" t="s">
        <v>101</v>
      </c>
      <c r="C26" s="2"/>
      <c r="D26" s="38"/>
      <c r="E26" s="66"/>
      <c r="F26" s="14"/>
      <c r="G26" s="14"/>
      <c r="H26" s="4"/>
      <c r="I26" s="4"/>
      <c r="J26" s="28" t="s">
        <v>102</v>
      </c>
      <c r="K26" s="28"/>
      <c r="L26" s="28"/>
      <c r="M26" s="28"/>
      <c r="N26" s="28"/>
      <c r="O26" s="28"/>
      <c r="P26" s="28"/>
      <c r="Q26" s="28"/>
      <c r="R26" s="28"/>
      <c r="S26" s="28"/>
    </row>
    <row r="27" spans="1:21" ht="16.5" customHeight="1">
      <c r="A27" s="7"/>
      <c r="B27" s="2" t="s">
        <v>103</v>
      </c>
      <c r="C27" s="2" t="s">
        <v>104</v>
      </c>
      <c r="D27" s="38" t="s">
        <v>55</v>
      </c>
      <c r="E27" s="66"/>
      <c r="F27" s="14"/>
      <c r="G27" s="78">
        <v>0</v>
      </c>
      <c r="H27" s="4"/>
      <c r="I27" s="4"/>
      <c r="J27" s="33"/>
      <c r="K27" s="34"/>
      <c r="L27" s="34"/>
      <c r="M27" s="127"/>
      <c r="N27" s="104"/>
      <c r="O27" s="104"/>
      <c r="P27" s="104" t="s">
        <v>105</v>
      </c>
      <c r="Q27" s="104"/>
      <c r="R27" s="104"/>
      <c r="S27" s="104"/>
    </row>
    <row r="28" spans="1:21" ht="16.5" customHeight="1">
      <c r="A28" s="7"/>
      <c r="B28" s="2"/>
      <c r="C28" s="2" t="s">
        <v>106</v>
      </c>
      <c r="D28" s="38" t="s">
        <v>55</v>
      </c>
      <c r="E28" s="66"/>
      <c r="F28" s="14"/>
      <c r="G28" s="78">
        <v>18.32</v>
      </c>
      <c r="H28" s="4"/>
      <c r="I28" s="4"/>
      <c r="J28" s="31"/>
      <c r="K28" s="58"/>
      <c r="L28" s="35"/>
      <c r="M28" s="63" t="s">
        <v>88</v>
      </c>
      <c r="N28" s="61" t="s">
        <v>80</v>
      </c>
      <c r="O28" s="61" t="s">
        <v>90</v>
      </c>
      <c r="P28" s="61" t="s">
        <v>81</v>
      </c>
      <c r="Q28" s="61" t="s">
        <v>93</v>
      </c>
      <c r="R28" s="61" t="s">
        <v>82</v>
      </c>
      <c r="S28" s="62" t="s">
        <v>96</v>
      </c>
      <c r="U28" t="s">
        <v>107</v>
      </c>
    </row>
    <row r="29" spans="1:21" ht="16.5" customHeight="1">
      <c r="A29" s="7"/>
      <c r="C29" s="2" t="s">
        <v>108</v>
      </c>
      <c r="D29" s="38" t="s">
        <v>55</v>
      </c>
      <c r="E29" s="66"/>
      <c r="F29" s="14"/>
      <c r="G29" s="78">
        <v>0</v>
      </c>
      <c r="H29" s="4"/>
      <c r="I29" s="18"/>
      <c r="J29" s="224" t="s">
        <v>64</v>
      </c>
      <c r="K29" s="59"/>
      <c r="L29" s="121" t="s">
        <v>96</v>
      </c>
      <c r="M29" s="112">
        <f>($G$8*0.85)-($G$45*1.15)-$G$53</f>
        <v>1505.4726522222209</v>
      </c>
      <c r="N29" s="112">
        <f>($G$8*0.9)-($G$45*1.15)-$G$53</f>
        <v>1923.6126522222212</v>
      </c>
      <c r="O29" s="112">
        <f>($G$8*0.95)-($G$45*1.15)-$G$53</f>
        <v>2341.7526522222206</v>
      </c>
      <c r="P29" s="112">
        <f>($G$8)-($G$45*1.15)-$G$53</f>
        <v>2759.8926522222209</v>
      </c>
      <c r="Q29" s="112">
        <f>($G$8*1.05)-($G$45*1.15)-$G$53</f>
        <v>3178.0326522222222</v>
      </c>
      <c r="R29" s="112">
        <f>($G$8*1.1)-($G$45*1.15)-$G$53</f>
        <v>3596.1726522222216</v>
      </c>
      <c r="S29" s="113">
        <f>($G$8*1.15)-($G$45*1.15)-$G$53</f>
        <v>4014.3126522222192</v>
      </c>
    </row>
    <row r="30" spans="1:21" ht="16.5" customHeight="1">
      <c r="A30" s="7"/>
      <c r="C30" s="2" t="s">
        <v>109</v>
      </c>
      <c r="D30" s="38" t="s">
        <v>55</v>
      </c>
      <c r="E30" s="66"/>
      <c r="F30" s="14"/>
      <c r="G30" s="78">
        <v>0</v>
      </c>
      <c r="H30" s="4"/>
      <c r="I30" s="18"/>
      <c r="J30" s="224"/>
      <c r="K30" s="59"/>
      <c r="L30" s="122" t="s">
        <v>82</v>
      </c>
      <c r="M30" s="115">
        <f>($G$8*0.85)-($G$45*1.05)-$G$53</f>
        <v>1844.0528322222208</v>
      </c>
      <c r="N30" s="115">
        <f>($G$8*0.9)-($G$45*1.1)-$G$53</f>
        <v>2092.9027422222207</v>
      </c>
      <c r="O30" s="115">
        <f>($G$8*0.95)-($G$45*1.1)-$G$53</f>
        <v>2511.0427422222201</v>
      </c>
      <c r="P30" s="115">
        <f>($G$8)-($G$45*1.1)-$G$53</f>
        <v>2929.1827422222204</v>
      </c>
      <c r="Q30" s="115">
        <f>($G$8*1.05)-($G$45*1.1)-$G$53</f>
        <v>3347.3227422222217</v>
      </c>
      <c r="R30" s="115">
        <f>($G$8*1.1)-($G$45*1.1)-$G$53</f>
        <v>3765.4627422222211</v>
      </c>
      <c r="S30" s="116">
        <f>($G$8*1.15)-($G$45*1.1)-$G$53</f>
        <v>4183.6027422222187</v>
      </c>
    </row>
    <row r="31" spans="1:21" ht="16.5" customHeight="1">
      <c r="A31" s="7"/>
      <c r="B31" s="2" t="s">
        <v>110</v>
      </c>
      <c r="C31" s="2"/>
      <c r="D31" s="3" t="s">
        <v>67</v>
      </c>
      <c r="E31" s="164">
        <v>84</v>
      </c>
      <c r="F31" s="78">
        <v>1.7</v>
      </c>
      <c r="G31" s="14">
        <f t="shared" si="0"/>
        <v>142.79999999999998</v>
      </c>
      <c r="H31" s="4"/>
      <c r="I31" s="18"/>
      <c r="J31" s="224"/>
      <c r="K31" s="59"/>
      <c r="L31" s="122" t="s">
        <v>93</v>
      </c>
      <c r="M31" s="115">
        <f>($G$8*0.85)-($G$45*1.05)-$G$53</f>
        <v>1844.0528322222208</v>
      </c>
      <c r="N31" s="115">
        <f>($G$8*0.9)-($G$45*1.05)-$G$53</f>
        <v>2262.1928322222211</v>
      </c>
      <c r="O31" s="115">
        <f>($G$8*0.95)-($G$45*1.05)-$G$53</f>
        <v>2680.3328322222205</v>
      </c>
      <c r="P31" s="115">
        <f>($G$8)-($G$45*1.05)-$G$53</f>
        <v>3098.4728322222209</v>
      </c>
      <c r="Q31" s="115">
        <f>($G$8*1.05)-($G$45*1.05)-$G$53</f>
        <v>3516.6128322222221</v>
      </c>
      <c r="R31" s="115">
        <f>($G$8*1.1)-($G$45*1.05)-$G$53</f>
        <v>3934.7528322222215</v>
      </c>
      <c r="S31" s="116">
        <f>($G$8*1.15)-($G$45*1.05)-$G$53</f>
        <v>4352.8928322222191</v>
      </c>
      <c r="U31" t="s">
        <v>111</v>
      </c>
    </row>
    <row r="32" spans="1:21" ht="16.5" customHeight="1">
      <c r="A32" s="7"/>
      <c r="B32" s="2" t="s">
        <v>112</v>
      </c>
      <c r="C32" s="2"/>
      <c r="D32" s="3" t="s">
        <v>113</v>
      </c>
      <c r="E32" s="79">
        <v>100</v>
      </c>
      <c r="F32" s="78">
        <v>0.12</v>
      </c>
      <c r="G32" s="14">
        <f t="shared" si="0"/>
        <v>12</v>
      </c>
      <c r="H32" s="4"/>
      <c r="I32" s="18"/>
      <c r="J32" s="224"/>
      <c r="K32" s="59"/>
      <c r="L32" s="122" t="s">
        <v>81</v>
      </c>
      <c r="M32" s="115">
        <f>($G$8*0.85)-($G$45)-$G$53</f>
        <v>2013.3429222222207</v>
      </c>
      <c r="N32" s="115">
        <f>($G$8*0.9)-($G$45)-$G$53</f>
        <v>2431.4829222222215</v>
      </c>
      <c r="O32" s="115">
        <f>($G$8*0.95)-($G$45)-$G$53</f>
        <v>2849.622922222221</v>
      </c>
      <c r="P32" s="117">
        <f>($G$8)-($G$45)-$G$53</f>
        <v>3267.7629222222204</v>
      </c>
      <c r="Q32" s="115">
        <f>($G$8*1.05)-($G$45)-$G$53</f>
        <v>3685.9029222222216</v>
      </c>
      <c r="R32" s="115">
        <f>($G$8*1.1)-($G$45)-$G$53</f>
        <v>4104.042922222221</v>
      </c>
      <c r="S32" s="116">
        <f>($G$8*1.15)-($G$45)-$G$53</f>
        <v>4522.1829222222186</v>
      </c>
      <c r="U32" t="s">
        <v>114</v>
      </c>
    </row>
    <row r="33" spans="1:21" ht="16.5" customHeight="1">
      <c r="A33" s="7"/>
      <c r="B33" s="2" t="s">
        <v>115</v>
      </c>
      <c r="C33" s="2"/>
      <c r="D33" s="3" t="s">
        <v>55</v>
      </c>
      <c r="E33" s="16">
        <f>SUM(E34:E38)</f>
        <v>90</v>
      </c>
      <c r="F33" s="2"/>
      <c r="G33" s="14">
        <f>SUMPRODUCT(E34:E38,F34:F38)</f>
        <v>1674</v>
      </c>
      <c r="H33" s="4"/>
      <c r="I33" s="18"/>
      <c r="J33" s="224"/>
      <c r="K33" s="59"/>
      <c r="L33" s="122" t="s">
        <v>90</v>
      </c>
      <c r="M33" s="115">
        <f>($G$8*0.85)-($G$45*0.95)-$G$53</f>
        <v>2182.6330122222207</v>
      </c>
      <c r="N33" s="115">
        <f>($G$8*0.9)-($G$45*0.95)-$G$53</f>
        <v>2600.773012222221</v>
      </c>
      <c r="O33" s="115">
        <f>($G$8*0.95)-($G$45*0.95)-$G$53</f>
        <v>3018.9130122222205</v>
      </c>
      <c r="P33" s="115">
        <f>($G$8)-($G$45*0.95)-$G$53</f>
        <v>3437.0530122222208</v>
      </c>
      <c r="Q33" s="115">
        <f>($G$8*1.05)-($G$45*0.95)-$G$53</f>
        <v>3855.193012222222</v>
      </c>
      <c r="R33" s="115">
        <f>($G$8*1.1)-($G$45*0.95)-$G$53</f>
        <v>4273.3330122222214</v>
      </c>
      <c r="S33" s="116">
        <f>($G$8*1.15)-($G$45*0.95)-$G$53</f>
        <v>4691.473012222219</v>
      </c>
    </row>
    <row r="34" spans="1:21" ht="16.5" customHeight="1">
      <c r="A34" s="7"/>
      <c r="B34" s="7"/>
      <c r="C34" s="2" t="s">
        <v>116</v>
      </c>
      <c r="D34" s="3" t="s">
        <v>117</v>
      </c>
      <c r="E34" s="76">
        <v>12</v>
      </c>
      <c r="F34" s="11">
        <v>18.600000000000001</v>
      </c>
      <c r="G34" s="14"/>
      <c r="H34" s="4"/>
      <c r="I34" s="18"/>
      <c r="J34" s="224"/>
      <c r="K34" s="59"/>
      <c r="L34" s="122" t="s">
        <v>80</v>
      </c>
      <c r="M34" s="115">
        <f>($G$8*0.85)-($G$45*0.9)-$G$53</f>
        <v>2351.9231022222207</v>
      </c>
      <c r="N34" s="115">
        <f>($G$8*0.9)-($G$45*0.9)-$G$53</f>
        <v>2770.0631022222206</v>
      </c>
      <c r="O34" s="115">
        <f>($G$8*0.95)-($G$45*0.9)-$G$53</f>
        <v>3188.20310222222</v>
      </c>
      <c r="P34" s="115">
        <f>($G$8)-($G$45*0.9)-$G$53</f>
        <v>3606.3431022222212</v>
      </c>
      <c r="Q34" s="115">
        <f>($G$8*1.05)-($G$45*0.9)-$G$53</f>
        <v>4024.4831022222224</v>
      </c>
      <c r="R34" s="115">
        <f>($G$8*1.1)-($G$45*0.9)-$G$53</f>
        <v>4442.6231022222219</v>
      </c>
      <c r="S34" s="116">
        <f>($G$8*1.15)-($G$45*0.9)-$G$53</f>
        <v>4860.7631022222195</v>
      </c>
      <c r="U34" t="s">
        <v>118</v>
      </c>
    </row>
    <row r="35" spans="1:21" ht="16.5" customHeight="1">
      <c r="A35" s="7"/>
      <c r="B35" s="7"/>
      <c r="C35" s="2" t="s">
        <v>119</v>
      </c>
      <c r="D35" s="3" t="s">
        <v>117</v>
      </c>
      <c r="E35" s="76">
        <v>10</v>
      </c>
      <c r="F35" s="11">
        <v>18.600000000000001</v>
      </c>
      <c r="G35" s="14"/>
      <c r="H35" s="4"/>
      <c r="I35" s="18"/>
      <c r="J35" s="225"/>
      <c r="K35" s="60"/>
      <c r="L35" s="123" t="s">
        <v>88</v>
      </c>
      <c r="M35" s="119">
        <f>($G$8*0.85)-($G$45*0.85)-$G$53</f>
        <v>2521.2131922222216</v>
      </c>
      <c r="N35" s="119">
        <f>($G$8*0.9)-($G$45*0.85)-$G$53</f>
        <v>2939.353192222221</v>
      </c>
      <c r="O35" s="119">
        <f>($G$8*0.95)-($G$45*0.85)-$G$53</f>
        <v>3357.4931922222204</v>
      </c>
      <c r="P35" s="119">
        <f>($G$8)-($G$45*0.85)-$G$53</f>
        <v>3775.6331922222216</v>
      </c>
      <c r="Q35" s="119">
        <f>($G$8*1.05)-($G$45*0.85)-$G$53</f>
        <v>4193.7731922222229</v>
      </c>
      <c r="R35" s="119">
        <f>($G$8*1.1)-($G$45*0.85)-$G$53</f>
        <v>4611.9131922222223</v>
      </c>
      <c r="S35" s="120">
        <f>($G$8*1.15)-($G$45*0.85)-$G$53</f>
        <v>5030.0531922222199</v>
      </c>
      <c r="U35" t="s">
        <v>118</v>
      </c>
    </row>
    <row r="36" spans="1:21" ht="16.5" customHeight="1">
      <c r="A36" s="7"/>
      <c r="B36" s="7"/>
      <c r="C36" s="2" t="s">
        <v>120</v>
      </c>
      <c r="D36" s="3" t="s">
        <v>117</v>
      </c>
      <c r="E36" s="76">
        <v>25</v>
      </c>
      <c r="F36" s="11">
        <v>18.600000000000001</v>
      </c>
      <c r="G36" s="14"/>
      <c r="H36" s="4"/>
      <c r="I36" s="18"/>
      <c r="U36" t="s">
        <v>118</v>
      </c>
    </row>
    <row r="37" spans="1:21" ht="16.5" customHeight="1">
      <c r="A37" s="7"/>
      <c r="B37" s="7"/>
      <c r="C37" s="2" t="s">
        <v>121</v>
      </c>
      <c r="D37" s="3" t="s">
        <v>117</v>
      </c>
      <c r="E37" s="76">
        <v>30</v>
      </c>
      <c r="F37" s="11">
        <v>18.600000000000001</v>
      </c>
      <c r="G37" s="14"/>
      <c r="H37" s="4"/>
      <c r="I37" s="4"/>
      <c r="U37" t="s">
        <v>118</v>
      </c>
    </row>
    <row r="38" spans="1:21" ht="16.5" customHeight="1">
      <c r="A38" s="7"/>
      <c r="B38" s="7"/>
      <c r="C38" s="2" t="s">
        <v>122</v>
      </c>
      <c r="D38" s="3" t="s">
        <v>117</v>
      </c>
      <c r="E38" s="76">
        <v>13</v>
      </c>
      <c r="F38" s="11">
        <v>18.600000000000001</v>
      </c>
      <c r="G38" s="14"/>
      <c r="H38" s="4"/>
      <c r="I38" s="4"/>
      <c r="U38" t="s">
        <v>118</v>
      </c>
    </row>
    <row r="39" spans="1:21" ht="16.5" customHeight="1">
      <c r="A39" s="7"/>
      <c r="B39" s="2" t="s">
        <v>123</v>
      </c>
      <c r="C39" s="2"/>
      <c r="D39" s="3"/>
      <c r="E39" s="66"/>
      <c r="F39" s="64"/>
      <c r="G39" s="14"/>
      <c r="H39" s="4"/>
      <c r="I39" s="4"/>
    </row>
    <row r="40" spans="1:21" ht="16.5" customHeight="1">
      <c r="A40" s="7"/>
      <c r="B40" s="7"/>
      <c r="C40" s="82" t="s">
        <v>124</v>
      </c>
      <c r="D40" s="151" t="s">
        <v>67</v>
      </c>
      <c r="E40" s="76">
        <v>62</v>
      </c>
      <c r="F40" s="11">
        <v>2.2000000000000002</v>
      </c>
      <c r="G40" s="14">
        <f t="shared" ref="G40:G41" si="8">E40*F40</f>
        <v>136.4</v>
      </c>
      <c r="H40" s="4"/>
      <c r="I40" s="4"/>
      <c r="J40" s="84"/>
      <c r="U40" t="s">
        <v>125</v>
      </c>
    </row>
    <row r="41" spans="1:21" ht="16.5" customHeight="1">
      <c r="A41" s="7"/>
      <c r="B41" s="2"/>
      <c r="C41" s="82" t="s">
        <v>302</v>
      </c>
      <c r="D41" s="151" t="s">
        <v>67</v>
      </c>
      <c r="E41" s="10">
        <v>828</v>
      </c>
      <c r="F41" s="11">
        <v>0.03</v>
      </c>
      <c r="G41" s="14">
        <f t="shared" si="8"/>
        <v>24.84</v>
      </c>
      <c r="H41" s="4"/>
      <c r="I41" s="4"/>
      <c r="J41" s="65"/>
      <c r="U41" t="s">
        <v>126</v>
      </c>
    </row>
    <row r="42" spans="1:21" ht="16.5" customHeight="1">
      <c r="A42" s="7"/>
      <c r="B42" s="2" t="s">
        <v>127</v>
      </c>
      <c r="C42" s="2"/>
      <c r="D42" s="19" t="s">
        <v>128</v>
      </c>
      <c r="E42" s="16"/>
      <c r="F42" s="135">
        <v>0.1</v>
      </c>
      <c r="G42" s="14">
        <f>G5*F42</f>
        <v>745.2</v>
      </c>
      <c r="H42" s="4"/>
      <c r="I42" s="4"/>
    </row>
    <row r="43" spans="1:21" ht="16.5" customHeight="1">
      <c r="A43" s="4"/>
      <c r="B43" s="2" t="s">
        <v>129</v>
      </c>
      <c r="C43" s="4"/>
      <c r="D43" s="3" t="s">
        <v>55</v>
      </c>
      <c r="E43" s="4"/>
      <c r="F43" s="4"/>
      <c r="G43" s="20">
        <v>10</v>
      </c>
      <c r="H43" s="4"/>
      <c r="I43" s="4"/>
      <c r="J43" s="84"/>
    </row>
    <row r="44" spans="1:21" ht="16.5" customHeight="1">
      <c r="A44" s="4"/>
      <c r="B44" s="2" t="s">
        <v>130</v>
      </c>
      <c r="C44" s="4"/>
      <c r="D44" s="3" t="s">
        <v>7</v>
      </c>
      <c r="F44" s="94">
        <v>7.2499999999999995E-2</v>
      </c>
      <c r="G44" s="12">
        <f>SUM(G10:G43)/2*F44</f>
        <v>118.44180000000001</v>
      </c>
      <c r="H44" s="4"/>
      <c r="I44" s="4"/>
      <c r="J44" s="83"/>
    </row>
    <row r="45" spans="1:21" ht="16.5" customHeight="1">
      <c r="A45" s="4"/>
      <c r="B45" s="4"/>
      <c r="C45" s="13" t="s">
        <v>131</v>
      </c>
      <c r="D45" s="3"/>
      <c r="E45" s="21"/>
      <c r="F45" s="2"/>
      <c r="G45" s="14">
        <f>SUM(G11:G44)</f>
        <v>3385.8018000000006</v>
      </c>
      <c r="H45" s="4"/>
      <c r="I45" s="4"/>
    </row>
    <row r="46" spans="1:21" ht="16.5" customHeight="1">
      <c r="A46" s="4"/>
      <c r="B46" s="4"/>
      <c r="C46" s="13"/>
      <c r="D46" s="3"/>
      <c r="E46" s="21"/>
      <c r="F46" s="2"/>
      <c r="G46" s="14"/>
      <c r="H46" s="4"/>
      <c r="I46" s="4"/>
    </row>
    <row r="47" spans="1:21" ht="16.5" customHeight="1">
      <c r="A47" s="4"/>
      <c r="B47" s="15" t="s">
        <v>132</v>
      </c>
      <c r="C47" s="15"/>
      <c r="D47" s="8" t="s">
        <v>4</v>
      </c>
      <c r="E47" s="9" t="s">
        <v>41</v>
      </c>
      <c r="F47" s="9" t="s">
        <v>42</v>
      </c>
      <c r="G47" s="9" t="s">
        <v>43</v>
      </c>
      <c r="H47" s="4"/>
      <c r="I47" s="4"/>
    </row>
    <row r="48" spans="1:21" ht="16.5" customHeight="1">
      <c r="A48" s="4"/>
      <c r="B48" s="2" t="s">
        <v>133</v>
      </c>
      <c r="C48" s="2"/>
      <c r="D48" s="3" t="s">
        <v>134</v>
      </c>
      <c r="E48" s="23">
        <v>7</v>
      </c>
      <c r="F48" s="14">
        <f>Investment!G32/12</f>
        <v>137.56230158730159</v>
      </c>
      <c r="G48" s="26">
        <f>E48*F48</f>
        <v>962.93611111111113</v>
      </c>
      <c r="H48" s="4"/>
      <c r="I48" s="4"/>
    </row>
    <row r="49" spans="2:7" ht="15.75">
      <c r="B49" s="2" t="s">
        <v>135</v>
      </c>
      <c r="C49" s="2"/>
      <c r="D49" s="3" t="s">
        <v>136</v>
      </c>
      <c r="E49" s="96"/>
      <c r="F49" s="14"/>
      <c r="G49" s="14">
        <f>Investment!H32*($E$48/12)</f>
        <v>446.14500000000004</v>
      </c>
    </row>
    <row r="50" spans="2:7" ht="15.75">
      <c r="B50" s="2" t="s">
        <v>137</v>
      </c>
      <c r="C50" s="2"/>
      <c r="D50" s="3" t="s">
        <v>138</v>
      </c>
      <c r="E50" s="96"/>
      <c r="F50" s="94">
        <v>1.4999999999999999E-2</v>
      </c>
      <c r="G50" s="14">
        <f>Investment!D32*'Bell pepper'!F50*($E$48/12)</f>
        <v>183.48750000000001</v>
      </c>
    </row>
    <row r="51" spans="2:7" ht="16.5" customHeight="1">
      <c r="B51" s="2" t="s">
        <v>314</v>
      </c>
      <c r="C51" s="2"/>
      <c r="D51" s="3" t="s">
        <v>136</v>
      </c>
      <c r="E51" s="96"/>
      <c r="F51" s="14"/>
      <c r="G51" s="14">
        <f>Investment!E8*(E48/12)</f>
        <v>116.66666666666667</v>
      </c>
    </row>
    <row r="52" spans="2:7" ht="16.5" customHeight="1">
      <c r="B52" s="2" t="s">
        <v>139</v>
      </c>
      <c r="C52" s="2"/>
      <c r="D52" s="3" t="s">
        <v>136</v>
      </c>
      <c r="E52" s="96"/>
      <c r="F52" s="14"/>
      <c r="G52" s="129">
        <v>0</v>
      </c>
    </row>
    <row r="53" spans="2:7" ht="16.5">
      <c r="B53" s="4"/>
      <c r="C53" s="13" t="s">
        <v>140</v>
      </c>
      <c r="E53" s="2"/>
      <c r="F53" s="2"/>
      <c r="G53" s="14">
        <f>SUM(G48:G52)</f>
        <v>1709.2352777777778</v>
      </c>
    </row>
    <row r="54" spans="2:7" ht="16.5">
      <c r="B54" s="4"/>
      <c r="C54" s="13"/>
      <c r="E54" s="2"/>
      <c r="F54" s="2"/>
      <c r="G54" s="14"/>
    </row>
    <row r="55" spans="2:7" ht="16.5">
      <c r="B55" s="147"/>
      <c r="C55" s="77"/>
      <c r="D55" s="148"/>
      <c r="E55" s="9" t="s">
        <v>141</v>
      </c>
      <c r="F55" s="9" t="s">
        <v>142</v>
      </c>
      <c r="G55" s="9" t="s">
        <v>43</v>
      </c>
    </row>
    <row r="56" spans="2:7" ht="15.75">
      <c r="B56" s="5" t="s">
        <v>36</v>
      </c>
      <c r="C56" s="149"/>
      <c r="E56" s="141">
        <f>(G45+G53)/M6</f>
        <v>2.5475185388888892</v>
      </c>
      <c r="F56" s="141">
        <f>G56/SUM(E5:E6)</f>
        <v>1.5383566056092328</v>
      </c>
      <c r="G56" s="141">
        <f>G45+G53</f>
        <v>5095.0370777777789</v>
      </c>
    </row>
    <row r="57" spans="2:7" ht="16.5">
      <c r="B57" s="25" t="s">
        <v>143</v>
      </c>
      <c r="C57" s="150"/>
      <c r="D57" s="4"/>
      <c r="E57" s="141">
        <f>(G8-G45)/M6</f>
        <v>2.488499099999999</v>
      </c>
      <c r="F57" s="141">
        <f>G57/SUM(E5:E6)</f>
        <v>1.5027168478260864</v>
      </c>
      <c r="G57" s="141">
        <f>G8-G45</f>
        <v>4976.9981999999982</v>
      </c>
    </row>
    <row r="58" spans="2:7" ht="16.5">
      <c r="B58" s="133" t="s">
        <v>144</v>
      </c>
      <c r="C58" s="133"/>
      <c r="D58" s="24"/>
      <c r="E58" s="142">
        <f>(G8-G56)/M6</f>
        <v>1.6338814611111101</v>
      </c>
      <c r="F58" s="142">
        <f>G58/SUM(E5:E6)</f>
        <v>0.98664339439076698</v>
      </c>
      <c r="G58" s="142">
        <f>G8-G56</f>
        <v>3267.7629222222204</v>
      </c>
    </row>
    <row r="59" spans="2:7">
      <c r="B59" s="168" t="s">
        <v>145</v>
      </c>
      <c r="C59" s="169"/>
      <c r="D59" s="169"/>
      <c r="E59" s="169"/>
      <c r="F59" s="169"/>
      <c r="G59" s="169"/>
    </row>
    <row r="60" spans="2:7">
      <c r="B60" s="168" t="s">
        <v>146</v>
      </c>
      <c r="C60" s="168"/>
      <c r="D60" s="168"/>
      <c r="E60" s="168"/>
      <c r="F60" s="168"/>
      <c r="G60" s="168"/>
    </row>
    <row r="61" spans="2:7">
      <c r="B61" s="168" t="s">
        <v>147</v>
      </c>
      <c r="C61" s="168"/>
      <c r="D61" s="168"/>
      <c r="E61" s="168"/>
      <c r="F61" s="168"/>
      <c r="G61" s="168"/>
    </row>
    <row r="62" spans="2:7">
      <c r="B62" s="168" t="s">
        <v>301</v>
      </c>
      <c r="C62" s="168"/>
      <c r="D62" s="168"/>
      <c r="E62" s="168"/>
      <c r="F62" s="168"/>
      <c r="G62" s="168"/>
    </row>
  </sheetData>
  <mergeCells count="4">
    <mergeCell ref="B2:G2"/>
    <mergeCell ref="E3:G3"/>
    <mergeCell ref="J29:J35"/>
    <mergeCell ref="J17:J23"/>
  </mergeCells>
  <phoneticPr fontId="30" type="noConversion"/>
  <conditionalFormatting sqref="E10 E55 G55">
    <cfRule type="expression" dxfId="63" priority="8">
      <formula>$G$1="no"</formula>
    </cfRule>
  </conditionalFormatting>
  <conditionalFormatting sqref="E47">
    <cfRule type="expression" dxfId="62" priority="7">
      <formula>$G$1="no"</formula>
    </cfRule>
  </conditionalFormatting>
  <conditionalFormatting sqref="E4:G4">
    <cfRule type="expression" dxfId="61" priority="4">
      <formula>$G$1="no"</formula>
    </cfRule>
  </conditionalFormatting>
  <conditionalFormatting sqref="G10">
    <cfRule type="expression" dxfId="60" priority="2">
      <formula>$G$1="no"</formula>
    </cfRule>
  </conditionalFormatting>
  <conditionalFormatting sqref="G47">
    <cfRule type="expression" dxfId="59" priority="3">
      <formula>$G$1="no"</formula>
    </cfRule>
  </conditionalFormatting>
  <conditionalFormatting sqref="M17:S23">
    <cfRule type="cellIs" dxfId="58" priority="6" operator="lessThan">
      <formula>0</formula>
    </cfRule>
  </conditionalFormatting>
  <conditionalFormatting sqref="M29:S35">
    <cfRule type="cellIs" dxfId="57" priority="5" operator="lessThan">
      <formula>0</formula>
    </cfRule>
  </conditionalFormatting>
  <pageMargins left="0.7" right="0.7" top="0.75" bottom="0.75" header="0.3" footer="0.3"/>
  <pageSetup scale="81" orientation="portrait" r:id="rId1"/>
  <ignoredErrors>
    <ignoredError sqref="P16 L20 E5:E6" unlockedFormula="1"/>
    <ignoredError sqref="M32 O32:S32" formula="1"/>
    <ignoredError sqref="C21"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CA3D9-05A2-4BB2-966F-D8A4B0F65FF2}">
  <dimension ref="A1:U61"/>
  <sheetViews>
    <sheetView showGridLines="0" topLeftCell="A28" zoomScale="120" zoomScaleNormal="120" workbookViewId="0">
      <selection activeCell="B51" sqref="B51"/>
    </sheetView>
  </sheetViews>
  <sheetFormatPr defaultRowHeight="15"/>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9" width="3.125" customWidth="1"/>
    <col min="11" max="19" width="10.625" customWidth="1"/>
    <col min="20" max="20" width="3.125" customWidth="1"/>
  </cols>
  <sheetData>
    <row r="1" spans="1:21" ht="16.5">
      <c r="A1" s="4"/>
      <c r="B1" s="4"/>
      <c r="C1" s="5"/>
      <c r="H1" s="4"/>
      <c r="I1" s="4"/>
    </row>
    <row r="2" spans="1:21" ht="21">
      <c r="A2" s="4"/>
      <c r="B2" s="221" t="s">
        <v>148</v>
      </c>
      <c r="C2" s="222"/>
      <c r="D2" s="222"/>
      <c r="E2" s="222"/>
      <c r="F2" s="222"/>
      <c r="G2" s="222"/>
      <c r="H2" s="4"/>
      <c r="I2" s="1"/>
      <c r="T2" s="1"/>
    </row>
    <row r="3" spans="1:21" ht="16.5" customHeight="1">
      <c r="A3" s="4"/>
      <c r="B3" s="4"/>
      <c r="C3" s="6"/>
      <c r="D3" s="6"/>
      <c r="E3" s="223"/>
      <c r="F3" s="223"/>
      <c r="G3" s="223"/>
      <c r="H3" s="4"/>
      <c r="I3" s="1"/>
      <c r="T3" s="1"/>
    </row>
    <row r="4" spans="1:21" ht="16.5" customHeight="1">
      <c r="A4" s="7"/>
      <c r="B4" s="36" t="s">
        <v>40</v>
      </c>
      <c r="C4" s="36"/>
      <c r="D4" s="36" t="s">
        <v>4</v>
      </c>
      <c r="E4" s="9" t="s">
        <v>41</v>
      </c>
      <c r="F4" s="9" t="s">
        <v>42</v>
      </c>
      <c r="G4" s="9" t="s">
        <v>43</v>
      </c>
      <c r="H4" s="4"/>
      <c r="I4" s="1"/>
      <c r="J4" s="71" t="s">
        <v>44</v>
      </c>
      <c r="T4" s="1"/>
      <c r="U4" s="162" t="s">
        <v>39</v>
      </c>
    </row>
    <row r="5" spans="1:21" ht="16.5" customHeight="1">
      <c r="A5" s="7"/>
      <c r="B5" s="2" t="s">
        <v>149</v>
      </c>
      <c r="C5" s="2"/>
      <c r="D5" s="3" t="s">
        <v>46</v>
      </c>
      <c r="E5" s="159">
        <f>M7*M8*M9</f>
        <v>3780</v>
      </c>
      <c r="F5" s="78">
        <v>3.1</v>
      </c>
      <c r="G5" s="14">
        <f>E5*F5</f>
        <v>11718</v>
      </c>
      <c r="H5" s="4"/>
      <c r="I5" s="1"/>
      <c r="J5" s="153" t="s">
        <v>47</v>
      </c>
      <c r="K5" s="148"/>
      <c r="L5" s="148"/>
      <c r="M5" s="161" t="s">
        <v>48</v>
      </c>
      <c r="N5" s="160" t="s">
        <v>4</v>
      </c>
      <c r="O5" s="148"/>
      <c r="T5" s="1"/>
      <c r="U5" t="s">
        <v>150</v>
      </c>
    </row>
    <row r="6" spans="1:21" ht="16.5" customHeight="1">
      <c r="A6" s="7"/>
      <c r="B6" s="2" t="s">
        <v>151</v>
      </c>
      <c r="C6" s="2"/>
      <c r="D6" s="3" t="s">
        <v>46</v>
      </c>
      <c r="E6" s="159">
        <f>M7*M8*M10</f>
        <v>1260</v>
      </c>
      <c r="F6" s="78">
        <v>0.7</v>
      </c>
      <c r="G6" s="14">
        <f>E6*F6</f>
        <v>882</v>
      </c>
      <c r="H6" s="4"/>
      <c r="I6" s="1"/>
      <c r="J6" s="136" t="s">
        <v>51</v>
      </c>
      <c r="M6" s="79">
        <v>2000</v>
      </c>
      <c r="N6" s="3" t="s">
        <v>52</v>
      </c>
      <c r="T6" s="1"/>
      <c r="U6" t="s">
        <v>152</v>
      </c>
    </row>
    <row r="7" spans="1:21" ht="16.5" customHeight="1">
      <c r="A7" s="7"/>
      <c r="B7" s="2" t="s">
        <v>54</v>
      </c>
      <c r="C7" s="2"/>
      <c r="D7" s="3" t="s">
        <v>55</v>
      </c>
      <c r="E7" s="21"/>
      <c r="F7" s="14"/>
      <c r="G7" s="129">
        <v>0</v>
      </c>
      <c r="H7" s="4"/>
      <c r="I7" s="1"/>
      <c r="J7" s="136" t="s">
        <v>56</v>
      </c>
      <c r="M7" s="79">
        <v>504</v>
      </c>
      <c r="N7" s="3" t="s">
        <v>57</v>
      </c>
      <c r="T7" s="1"/>
      <c r="U7" t="s">
        <v>153</v>
      </c>
    </row>
    <row r="8" spans="1:21" ht="16.5" customHeight="1">
      <c r="A8" s="7"/>
      <c r="B8" s="7"/>
      <c r="C8" s="13" t="s">
        <v>59</v>
      </c>
      <c r="E8" s="2"/>
      <c r="F8" s="2"/>
      <c r="G8" s="14">
        <f>SUM(G5:G7)</f>
        <v>12600</v>
      </c>
      <c r="H8" s="4"/>
      <c r="I8" s="1"/>
      <c r="J8" s="136" t="s">
        <v>60</v>
      </c>
      <c r="M8" s="76">
        <v>10</v>
      </c>
      <c r="N8" s="3" t="s">
        <v>61</v>
      </c>
      <c r="T8" s="1"/>
      <c r="U8" t="s">
        <v>154</v>
      </c>
    </row>
    <row r="9" spans="1:21" ht="16.5" customHeight="1">
      <c r="A9" s="7"/>
      <c r="B9" s="7"/>
      <c r="C9" s="13"/>
      <c r="E9" s="2"/>
      <c r="F9" s="2"/>
      <c r="G9" s="14"/>
      <c r="H9" s="4"/>
      <c r="I9" s="1"/>
      <c r="J9" s="136" t="s">
        <v>62</v>
      </c>
      <c r="M9" s="157">
        <v>0.75</v>
      </c>
      <c r="N9" s="3" t="s">
        <v>63</v>
      </c>
      <c r="T9" s="1"/>
    </row>
    <row r="10" spans="1:21" ht="16.5" customHeight="1">
      <c r="A10" s="7"/>
      <c r="B10" s="15" t="s">
        <v>64</v>
      </c>
      <c r="C10" s="15"/>
      <c r="D10" s="36" t="s">
        <v>4</v>
      </c>
      <c r="E10" s="9" t="s">
        <v>41</v>
      </c>
      <c r="F10" s="9" t="s">
        <v>42</v>
      </c>
      <c r="G10" s="9" t="s">
        <v>43</v>
      </c>
      <c r="H10" s="4"/>
      <c r="I10" s="1"/>
      <c r="J10" s="156" t="s">
        <v>65</v>
      </c>
      <c r="K10" s="154"/>
      <c r="L10" s="154"/>
      <c r="M10" s="158">
        <v>0.25</v>
      </c>
      <c r="N10" s="155" t="s">
        <v>63</v>
      </c>
      <c r="O10" s="154"/>
      <c r="T10" s="1"/>
    </row>
    <row r="11" spans="1:21" ht="16.5" customHeight="1">
      <c r="A11" s="7"/>
      <c r="B11" s="2" t="s">
        <v>66</v>
      </c>
      <c r="C11" s="2"/>
      <c r="D11" s="3" t="s">
        <v>67</v>
      </c>
      <c r="E11" s="16">
        <f>M7</f>
        <v>504</v>
      </c>
      <c r="F11" s="85">
        <v>0.35</v>
      </c>
      <c r="G11" s="14">
        <f>E11*F11</f>
        <v>176.39999999999998</v>
      </c>
      <c r="H11" s="4"/>
      <c r="I11" s="1"/>
      <c r="T11" s="1"/>
      <c r="U11" t="s">
        <v>155</v>
      </c>
    </row>
    <row r="12" spans="1:21" ht="16.5" customHeight="1">
      <c r="A12" s="7"/>
      <c r="B12" s="2" t="s">
        <v>69</v>
      </c>
      <c r="C12" s="2"/>
      <c r="D12" s="3" t="s">
        <v>67</v>
      </c>
      <c r="E12" s="80">
        <v>1</v>
      </c>
      <c r="F12" s="85">
        <v>25</v>
      </c>
      <c r="G12" s="14">
        <f t="shared" ref="G12:G31" si="0">E12*F12</f>
        <v>25</v>
      </c>
      <c r="H12" s="4"/>
      <c r="I12" s="1"/>
      <c r="J12" s="71" t="s">
        <v>70</v>
      </c>
      <c r="K12" s="71"/>
      <c r="L12" s="71"/>
      <c r="M12" s="71"/>
      <c r="N12" s="71"/>
      <c r="O12" s="71"/>
      <c r="P12" s="71"/>
      <c r="Q12" s="71"/>
      <c r="R12" s="71"/>
      <c r="S12" s="71"/>
      <c r="T12" s="1"/>
      <c r="U12" t="s">
        <v>71</v>
      </c>
    </row>
    <row r="13" spans="1:21" ht="16.5" customHeight="1">
      <c r="A13" s="7"/>
      <c r="B13" s="2" t="s">
        <v>72</v>
      </c>
      <c r="C13" s="2"/>
      <c r="D13" s="3" t="s">
        <v>67</v>
      </c>
      <c r="E13" s="10">
        <v>3</v>
      </c>
      <c r="F13" s="11">
        <v>40</v>
      </c>
      <c r="G13" s="14">
        <f t="shared" si="0"/>
        <v>120</v>
      </c>
      <c r="H13" s="4"/>
      <c r="I13" s="1"/>
      <c r="J13" s="28" t="s">
        <v>73</v>
      </c>
      <c r="K13" s="106"/>
      <c r="L13" s="106"/>
      <c r="M13" s="106"/>
      <c r="N13" s="106"/>
      <c r="O13" s="106"/>
      <c r="P13" s="106"/>
      <c r="Q13" s="106"/>
      <c r="R13" s="106"/>
      <c r="S13" s="106"/>
      <c r="T13" s="1"/>
      <c r="U13" t="s">
        <v>74</v>
      </c>
    </row>
    <row r="14" spans="1:21" ht="16.5" customHeight="1">
      <c r="A14" s="7"/>
      <c r="B14" s="2" t="s">
        <v>75</v>
      </c>
      <c r="C14" s="2"/>
      <c r="D14" s="3" t="s">
        <v>55</v>
      </c>
      <c r="E14" s="128"/>
      <c r="F14" s="64"/>
      <c r="G14" s="14">
        <f>SUMPRODUCT(E15:E17,F15:F17)</f>
        <v>0</v>
      </c>
      <c r="H14" s="4"/>
      <c r="I14" s="1"/>
      <c r="J14" s="33"/>
      <c r="K14" s="43"/>
      <c r="L14" s="44"/>
      <c r="M14" s="104"/>
      <c r="N14" s="104"/>
      <c r="O14" s="104"/>
      <c r="P14" s="104" t="s">
        <v>76</v>
      </c>
      <c r="Q14" s="104"/>
      <c r="R14" s="104"/>
      <c r="S14" s="105"/>
      <c r="T14" s="1"/>
    </row>
    <row r="15" spans="1:21" ht="16.5" customHeight="1">
      <c r="A15" s="7"/>
      <c r="B15" s="2"/>
      <c r="C15" s="82" t="s">
        <v>77</v>
      </c>
      <c r="D15" s="151" t="s">
        <v>46</v>
      </c>
      <c r="E15" s="10">
        <v>0</v>
      </c>
      <c r="F15" s="11">
        <v>0</v>
      </c>
      <c r="G15" s="14"/>
      <c r="H15" s="4"/>
      <c r="I15" s="1"/>
      <c r="J15" s="224" t="s">
        <v>156</v>
      </c>
      <c r="K15" s="46"/>
      <c r="L15" s="47"/>
      <c r="M15" s="48" t="s">
        <v>78</v>
      </c>
      <c r="N15" s="48" t="s">
        <v>79</v>
      </c>
      <c r="O15" s="48" t="s">
        <v>80</v>
      </c>
      <c r="P15" s="48" t="s">
        <v>81</v>
      </c>
      <c r="Q15" s="48" t="s">
        <v>82</v>
      </c>
      <c r="R15" s="48" t="s">
        <v>83</v>
      </c>
      <c r="S15" s="49" t="s">
        <v>84</v>
      </c>
      <c r="T15" s="1"/>
    </row>
    <row r="16" spans="1:21" ht="16.5" customHeight="1">
      <c r="A16" s="7"/>
      <c r="B16" s="2"/>
      <c r="C16" s="82" t="s">
        <v>85</v>
      </c>
      <c r="D16" s="151" t="s">
        <v>46</v>
      </c>
      <c r="E16" s="10">
        <v>0</v>
      </c>
      <c r="F16" s="11">
        <v>0</v>
      </c>
      <c r="G16" s="14"/>
      <c r="H16" s="4"/>
      <c r="I16" s="1"/>
      <c r="J16" s="224"/>
      <c r="K16" s="51"/>
      <c r="L16" s="52"/>
      <c r="M16" s="40">
        <f>P16*70%</f>
        <v>3528</v>
      </c>
      <c r="N16" s="40">
        <f>P16*80%</f>
        <v>4032</v>
      </c>
      <c r="O16" s="40">
        <f>P16*90%</f>
        <v>4536</v>
      </c>
      <c r="P16" s="41">
        <f>E5+E6</f>
        <v>5040</v>
      </c>
      <c r="Q16" s="40">
        <f>P16*110%</f>
        <v>5544</v>
      </c>
      <c r="R16" s="40">
        <f>P16*120%</f>
        <v>6048</v>
      </c>
      <c r="S16" s="42">
        <f>P16*130%</f>
        <v>6552</v>
      </c>
      <c r="T16" s="1"/>
    </row>
    <row r="17" spans="1:21" ht="16.5" customHeight="1">
      <c r="A17" s="7"/>
      <c r="B17" s="2"/>
      <c r="C17" s="82" t="s">
        <v>86</v>
      </c>
      <c r="D17" s="151" t="s">
        <v>46</v>
      </c>
      <c r="E17" s="10">
        <v>0</v>
      </c>
      <c r="F17" s="11">
        <v>0</v>
      </c>
      <c r="G17" s="14"/>
      <c r="H17" s="4"/>
      <c r="I17" s="1"/>
      <c r="J17" s="224"/>
      <c r="K17" s="101" t="s">
        <v>88</v>
      </c>
      <c r="L17" s="54">
        <f>L20*85%</f>
        <v>2.125</v>
      </c>
      <c r="M17" s="111">
        <f t="shared" ref="M17:M23" si="1">(L17*$M$16)+$G$7-$G$55</f>
        <v>1551.6679847222222</v>
      </c>
      <c r="N17" s="112">
        <f t="shared" ref="N17:N23" si="2">(L17*$N$16)+$G$7-$G$55</f>
        <v>2622.6679847222222</v>
      </c>
      <c r="O17" s="112">
        <f t="shared" ref="O17:O23" si="3">(L17*$O$16)+$G$7-$G$55</f>
        <v>3693.6679847222222</v>
      </c>
      <c r="P17" s="112">
        <f t="shared" ref="P17:P23" si="4">(L17*$P$16)+$G$7-$G$55</f>
        <v>4764.6679847222222</v>
      </c>
      <c r="Q17" s="112">
        <f t="shared" ref="Q17:Q23" si="5">(L17*$Q$16)+$G$7-$G$55</f>
        <v>5835.6679847222222</v>
      </c>
      <c r="R17" s="112">
        <f t="shared" ref="R17:R23" si="6">(L17*$R$16)+$G$7-$G$55</f>
        <v>6906.6679847222222</v>
      </c>
      <c r="S17" s="113">
        <f t="shared" ref="S17:S23" si="7">(L17*$S$16)+$G$7-$G$55</f>
        <v>7977.6679847222222</v>
      </c>
      <c r="T17" s="1"/>
    </row>
    <row r="18" spans="1:21" ht="16.5" customHeight="1">
      <c r="A18" s="7"/>
      <c r="B18" s="2" t="s">
        <v>89</v>
      </c>
      <c r="C18" s="2"/>
      <c r="D18" s="3" t="s">
        <v>55</v>
      </c>
      <c r="E18" s="66"/>
      <c r="F18" s="14"/>
      <c r="G18" s="14">
        <f>SUMPRODUCT(E19:E21,F19:F21)</f>
        <v>0</v>
      </c>
      <c r="H18" s="4"/>
      <c r="I18" s="1"/>
      <c r="J18" s="224"/>
      <c r="K18" s="101" t="s">
        <v>80</v>
      </c>
      <c r="L18" s="54">
        <f>L20*90%</f>
        <v>2.25</v>
      </c>
      <c r="M18" s="114">
        <f t="shared" si="1"/>
        <v>1992.6679847222222</v>
      </c>
      <c r="N18" s="115">
        <f t="shared" si="2"/>
        <v>3126.6679847222222</v>
      </c>
      <c r="O18" s="115">
        <f t="shared" si="3"/>
        <v>4260.6679847222222</v>
      </c>
      <c r="P18" s="115">
        <f t="shared" si="4"/>
        <v>5394.6679847222222</v>
      </c>
      <c r="Q18" s="115">
        <f t="shared" si="5"/>
        <v>6528.6679847222222</v>
      </c>
      <c r="R18" s="115">
        <f t="shared" si="6"/>
        <v>7662.6679847222222</v>
      </c>
      <c r="S18" s="116">
        <f t="shared" si="7"/>
        <v>8796.6679847222222</v>
      </c>
      <c r="T18" s="1"/>
    </row>
    <row r="19" spans="1:21" ht="16.5" customHeight="1">
      <c r="A19" s="7"/>
      <c r="B19" s="2"/>
      <c r="C19" s="152" t="s">
        <v>77</v>
      </c>
      <c r="D19" s="17" t="s">
        <v>46</v>
      </c>
      <c r="E19" s="76">
        <v>0</v>
      </c>
      <c r="F19" s="78">
        <v>0</v>
      </c>
      <c r="G19" s="14"/>
      <c r="H19" s="4"/>
      <c r="I19" s="1"/>
      <c r="J19" s="224"/>
      <c r="K19" s="102" t="s">
        <v>90</v>
      </c>
      <c r="L19" s="54">
        <f>L20*0.95</f>
        <v>2.375</v>
      </c>
      <c r="M19" s="114">
        <f t="shared" si="1"/>
        <v>2433.6679847222222</v>
      </c>
      <c r="N19" s="115">
        <f t="shared" si="2"/>
        <v>3630.6679847222222</v>
      </c>
      <c r="O19" s="115">
        <f t="shared" si="3"/>
        <v>4827.6679847222222</v>
      </c>
      <c r="P19" s="115">
        <f t="shared" si="4"/>
        <v>6024.6679847222222</v>
      </c>
      <c r="Q19" s="115">
        <f t="shared" si="5"/>
        <v>7221.6679847222222</v>
      </c>
      <c r="R19" s="115">
        <f t="shared" si="6"/>
        <v>8418.6679847222222</v>
      </c>
      <c r="S19" s="116">
        <f t="shared" si="7"/>
        <v>9615.6679847222222</v>
      </c>
      <c r="T19" s="1"/>
    </row>
    <row r="20" spans="1:21" ht="16.5" customHeight="1">
      <c r="A20" s="7"/>
      <c r="B20" s="2"/>
      <c r="C20" s="152" t="s">
        <v>91</v>
      </c>
      <c r="D20" s="17" t="s">
        <v>46</v>
      </c>
      <c r="E20" s="76">
        <v>0</v>
      </c>
      <c r="F20" s="78">
        <v>0</v>
      </c>
      <c r="G20" s="14"/>
      <c r="H20" s="4"/>
      <c r="I20" s="1"/>
      <c r="J20" s="224"/>
      <c r="K20" s="101" t="s">
        <v>81</v>
      </c>
      <c r="L20" s="32">
        <f>SUMPRODUCT(F5:F6,E5:E6)/SUM(E5:E6)</f>
        <v>2.5</v>
      </c>
      <c r="M20" s="114">
        <f t="shared" si="1"/>
        <v>2874.6679847222222</v>
      </c>
      <c r="N20" s="115">
        <f t="shared" si="2"/>
        <v>4134.6679847222222</v>
      </c>
      <c r="O20" s="115">
        <f t="shared" si="3"/>
        <v>5394.6679847222222</v>
      </c>
      <c r="P20" s="117">
        <f t="shared" si="4"/>
        <v>6654.6679847222222</v>
      </c>
      <c r="Q20" s="115">
        <f t="shared" si="5"/>
        <v>7914.6679847222222</v>
      </c>
      <c r="R20" s="115">
        <f t="shared" si="6"/>
        <v>9174.6679847222222</v>
      </c>
      <c r="S20" s="116">
        <f t="shared" si="7"/>
        <v>10434.667984722222</v>
      </c>
      <c r="T20" s="1"/>
    </row>
    <row r="21" spans="1:21" ht="16.5" customHeight="1">
      <c r="A21" s="7"/>
      <c r="B21" s="2"/>
      <c r="C21" s="152" t="s">
        <v>92</v>
      </c>
      <c r="D21" s="17" t="s">
        <v>46</v>
      </c>
      <c r="E21" s="76">
        <v>0</v>
      </c>
      <c r="F21" s="78">
        <v>0</v>
      </c>
      <c r="G21" s="14"/>
      <c r="H21" s="4"/>
      <c r="I21" s="1"/>
      <c r="J21" s="224"/>
      <c r="K21" s="101" t="s">
        <v>93</v>
      </c>
      <c r="L21" s="54">
        <f>L20*105%</f>
        <v>2.625</v>
      </c>
      <c r="M21" s="114">
        <f t="shared" si="1"/>
        <v>3315.6679847222222</v>
      </c>
      <c r="N21" s="115">
        <f t="shared" si="2"/>
        <v>4638.6679847222222</v>
      </c>
      <c r="O21" s="115">
        <f t="shared" si="3"/>
        <v>5961.6679847222222</v>
      </c>
      <c r="P21" s="115">
        <f t="shared" si="4"/>
        <v>7284.6679847222222</v>
      </c>
      <c r="Q21" s="115">
        <f t="shared" si="5"/>
        <v>8607.6679847222222</v>
      </c>
      <c r="R21" s="115">
        <f t="shared" si="6"/>
        <v>9930.6679847222222</v>
      </c>
      <c r="S21" s="116">
        <f t="shared" si="7"/>
        <v>11253.667984722222</v>
      </c>
      <c r="T21" s="1"/>
    </row>
    <row r="22" spans="1:21" ht="16.5" customHeight="1">
      <c r="A22" s="7"/>
      <c r="B22" s="2" t="s">
        <v>94</v>
      </c>
      <c r="D22" s="3" t="s">
        <v>55</v>
      </c>
      <c r="E22" s="66"/>
      <c r="F22" s="14"/>
      <c r="G22" s="14">
        <f>SUMPRODUCT(E23:E25,F23:F25)</f>
        <v>0</v>
      </c>
      <c r="H22" s="4"/>
      <c r="I22" s="1"/>
      <c r="J22" s="224"/>
      <c r="K22" s="101" t="s">
        <v>82</v>
      </c>
      <c r="L22" s="54">
        <f>L20*110%</f>
        <v>2.75</v>
      </c>
      <c r="M22" s="114">
        <f t="shared" si="1"/>
        <v>3756.6679847222222</v>
      </c>
      <c r="N22" s="115">
        <f t="shared" si="2"/>
        <v>5142.6679847222222</v>
      </c>
      <c r="O22" s="115">
        <f t="shared" si="3"/>
        <v>6528.6679847222222</v>
      </c>
      <c r="P22" s="115">
        <f t="shared" si="4"/>
        <v>7914.6679847222222</v>
      </c>
      <c r="Q22" s="115">
        <f t="shared" si="5"/>
        <v>9300.6679847222222</v>
      </c>
      <c r="R22" s="115">
        <f t="shared" si="6"/>
        <v>10686.667984722222</v>
      </c>
      <c r="S22" s="116">
        <f t="shared" si="7"/>
        <v>12072.667984722222</v>
      </c>
      <c r="T22" s="1"/>
    </row>
    <row r="23" spans="1:21" ht="16.5" customHeight="1">
      <c r="A23" s="7"/>
      <c r="B23" s="2"/>
      <c r="C23" s="152" t="s">
        <v>95</v>
      </c>
      <c r="D23" s="17" t="s">
        <v>46</v>
      </c>
      <c r="E23" s="76">
        <v>0</v>
      </c>
      <c r="F23" s="78">
        <v>0.17</v>
      </c>
      <c r="G23" s="14"/>
      <c r="H23" s="4"/>
      <c r="I23" s="1"/>
      <c r="J23" s="225"/>
      <c r="K23" s="103" t="s">
        <v>96</v>
      </c>
      <c r="L23" s="57">
        <f>L20*115%</f>
        <v>2.875</v>
      </c>
      <c r="M23" s="118">
        <f t="shared" si="1"/>
        <v>4197.6679847222222</v>
      </c>
      <c r="N23" s="119">
        <f t="shared" si="2"/>
        <v>5646.6679847222222</v>
      </c>
      <c r="O23" s="119">
        <f t="shared" si="3"/>
        <v>7095.6679847222222</v>
      </c>
      <c r="P23" s="119">
        <f t="shared" si="4"/>
        <v>8544.6679847222222</v>
      </c>
      <c r="Q23" s="119">
        <f t="shared" si="5"/>
        <v>9993.6679847222222</v>
      </c>
      <c r="R23" s="119">
        <f t="shared" si="6"/>
        <v>11442.667984722222</v>
      </c>
      <c r="S23" s="120">
        <f t="shared" si="7"/>
        <v>12891.667984722222</v>
      </c>
      <c r="T23" s="1"/>
    </row>
    <row r="24" spans="1:21" ht="16.5" customHeight="1">
      <c r="A24" s="7"/>
      <c r="B24" s="2"/>
      <c r="C24" s="152" t="s">
        <v>97</v>
      </c>
      <c r="D24" s="17" t="s">
        <v>46</v>
      </c>
      <c r="E24" s="76">
        <v>0</v>
      </c>
      <c r="F24" s="78">
        <v>0.75</v>
      </c>
      <c r="G24" s="14"/>
      <c r="H24" s="4"/>
      <c r="I24" s="1"/>
      <c r="J24" s="28"/>
      <c r="K24" s="28"/>
      <c r="L24" s="28"/>
      <c r="M24" s="28"/>
      <c r="N24" s="28"/>
      <c r="O24" s="28"/>
      <c r="P24" s="28"/>
      <c r="Q24" s="28"/>
      <c r="R24" s="28"/>
      <c r="S24" s="28"/>
      <c r="T24" s="1"/>
    </row>
    <row r="25" spans="1:21" ht="16.5" customHeight="1">
      <c r="A25" s="7"/>
      <c r="B25" s="2"/>
      <c r="C25" s="152" t="s">
        <v>98</v>
      </c>
      <c r="D25" s="17" t="s">
        <v>99</v>
      </c>
      <c r="E25" s="76">
        <v>0</v>
      </c>
      <c r="F25" s="78">
        <v>30</v>
      </c>
      <c r="G25" s="14"/>
      <c r="H25" s="4"/>
      <c r="I25" s="1"/>
      <c r="J25" s="81" t="s">
        <v>100</v>
      </c>
      <c r="K25" s="71"/>
      <c r="L25" s="71"/>
      <c r="M25" s="71"/>
      <c r="N25" s="71"/>
      <c r="O25" s="71"/>
      <c r="P25" s="71"/>
      <c r="Q25" s="71"/>
      <c r="R25" s="71"/>
      <c r="S25" s="71"/>
      <c r="T25" s="1"/>
    </row>
    <row r="26" spans="1:21" ht="16.5" customHeight="1">
      <c r="A26" s="7"/>
      <c r="B26" s="2" t="s">
        <v>101</v>
      </c>
      <c r="C26" s="2"/>
      <c r="D26" s="38"/>
      <c r="E26" s="66"/>
      <c r="F26" s="14"/>
      <c r="G26" s="14"/>
      <c r="H26" s="4"/>
      <c r="I26" s="4"/>
      <c r="J26" s="28" t="s">
        <v>102</v>
      </c>
      <c r="K26" s="106"/>
      <c r="L26" s="106"/>
      <c r="M26" s="106"/>
      <c r="N26" s="106"/>
      <c r="O26" s="106"/>
      <c r="P26" s="106"/>
      <c r="Q26" s="106"/>
      <c r="R26" s="106"/>
      <c r="S26" s="106"/>
    </row>
    <row r="27" spans="1:21" ht="16.5" customHeight="1">
      <c r="A27" s="7"/>
      <c r="B27" s="2" t="s">
        <v>103</v>
      </c>
      <c r="C27" s="2" t="s">
        <v>104</v>
      </c>
      <c r="D27" s="38" t="s">
        <v>55</v>
      </c>
      <c r="E27" s="66"/>
      <c r="F27" s="14"/>
      <c r="G27" s="78">
        <v>10.1</v>
      </c>
      <c r="H27" s="4"/>
      <c r="I27" s="4"/>
      <c r="J27" s="33"/>
      <c r="K27" s="34"/>
      <c r="L27" s="34"/>
      <c r="M27" s="228" t="s">
        <v>105</v>
      </c>
      <c r="N27" s="229"/>
      <c r="O27" s="229"/>
      <c r="P27" s="229"/>
      <c r="Q27" s="229"/>
      <c r="R27" s="229"/>
      <c r="S27" s="230"/>
      <c r="U27" t="s">
        <v>107</v>
      </c>
    </row>
    <row r="28" spans="1:21" ht="16.5" customHeight="1">
      <c r="A28" s="7"/>
      <c r="B28" s="2"/>
      <c r="C28" s="2" t="s">
        <v>106</v>
      </c>
      <c r="D28" s="38" t="s">
        <v>55</v>
      </c>
      <c r="E28" s="66"/>
      <c r="F28" s="14"/>
      <c r="G28" s="78">
        <v>11.21</v>
      </c>
      <c r="H28" s="4"/>
      <c r="I28" s="4"/>
      <c r="J28" s="31"/>
      <c r="K28" s="58"/>
      <c r="L28" s="35"/>
      <c r="M28" s="63" t="s">
        <v>88</v>
      </c>
      <c r="N28" s="61" t="s">
        <v>80</v>
      </c>
      <c r="O28" s="61" t="s">
        <v>90</v>
      </c>
      <c r="P28" s="61" t="s">
        <v>81</v>
      </c>
      <c r="Q28" s="61" t="s">
        <v>93</v>
      </c>
      <c r="R28" s="61" t="s">
        <v>82</v>
      </c>
      <c r="S28" s="62" t="s">
        <v>96</v>
      </c>
      <c r="U28" t="s">
        <v>107</v>
      </c>
    </row>
    <row r="29" spans="1:21" ht="16.5" customHeight="1">
      <c r="A29" s="7"/>
      <c r="C29" s="2" t="s">
        <v>108</v>
      </c>
      <c r="D29" s="38" t="s">
        <v>55</v>
      </c>
      <c r="E29" s="66"/>
      <c r="F29" s="14"/>
      <c r="G29" s="78">
        <v>0</v>
      </c>
      <c r="H29" s="4"/>
      <c r="I29" s="4"/>
      <c r="J29" s="224" t="s">
        <v>64</v>
      </c>
      <c r="K29" s="59"/>
      <c r="L29" s="121" t="s">
        <v>96</v>
      </c>
      <c r="M29" s="111">
        <f>($G$8*0.85)-($G$44*1.15)-$G$52</f>
        <v>4129.2534740972224</v>
      </c>
      <c r="N29" s="112">
        <f>($G$8*0.9)-($G$44*1.15)-$G$52</f>
        <v>4759.2534740972224</v>
      </c>
      <c r="O29" s="112">
        <f>($G$8*0.95)-($G$44*1.15)-$G$52</f>
        <v>5389.2534740972224</v>
      </c>
      <c r="P29" s="112">
        <f>($G$8)-($G$44*1.15)-$G$52</f>
        <v>6019.2534740972224</v>
      </c>
      <c r="Q29" s="112">
        <f>($G$8*1.05)-($G$44*1.15)-$G$52</f>
        <v>6649.2534740972224</v>
      </c>
      <c r="R29" s="112">
        <f>($G$8*1.1)-($G$44*1.15)-$G$52</f>
        <v>7279.2534740972242</v>
      </c>
      <c r="S29" s="113">
        <f>($G$8*1.15)-($G$44*1.15)-$G$52</f>
        <v>7909.2534740972205</v>
      </c>
    </row>
    <row r="30" spans="1:21" ht="16.5" customHeight="1">
      <c r="A30" s="7"/>
      <c r="C30" s="2" t="s">
        <v>109</v>
      </c>
      <c r="D30" s="38" t="s">
        <v>55</v>
      </c>
      <c r="E30" s="66"/>
      <c r="F30" s="14"/>
      <c r="G30" s="78">
        <v>0</v>
      </c>
      <c r="H30" s="4"/>
      <c r="I30" s="18"/>
      <c r="J30" s="224"/>
      <c r="K30" s="59"/>
      <c r="L30" s="122" t="s">
        <v>82</v>
      </c>
      <c r="M30" s="114">
        <f>($G$8*0.85)-($G$44*1.1)-$G$52</f>
        <v>4341.058310972222</v>
      </c>
      <c r="N30" s="115">
        <f>($G$8*0.9)-($G$44*1.1)-$G$52</f>
        <v>4971.058310972222</v>
      </c>
      <c r="O30" s="115">
        <f>($G$8*0.95)-($G$44*1.1)-$G$52</f>
        <v>5601.058310972222</v>
      </c>
      <c r="P30" s="115">
        <f>($G$8)-($G$44*1.1)-$G$52</f>
        <v>6231.058310972222</v>
      </c>
      <c r="Q30" s="115">
        <f>($G$8*1.05)-($G$44*1.1)-$G$52</f>
        <v>6861.0583109722211</v>
      </c>
      <c r="R30" s="115">
        <f>($G$8*1.1)-($G$44*1.1)-$G$52</f>
        <v>7491.0583109722247</v>
      </c>
      <c r="S30" s="116">
        <f>($G$8*1.15)-($G$44*1.1)-$G$52</f>
        <v>8121.0583109722211</v>
      </c>
    </row>
    <row r="31" spans="1:21" ht="16.5" customHeight="1">
      <c r="A31" s="7"/>
      <c r="B31" s="2" t="s">
        <v>157</v>
      </c>
      <c r="C31" s="2"/>
      <c r="D31" s="3" t="s">
        <v>158</v>
      </c>
      <c r="E31" s="80">
        <v>555</v>
      </c>
      <c r="F31" s="78">
        <v>0.16</v>
      </c>
      <c r="G31" s="14">
        <f t="shared" si="0"/>
        <v>88.8</v>
      </c>
      <c r="H31" s="4"/>
      <c r="I31" s="18"/>
      <c r="J31" s="224"/>
      <c r="K31" s="59"/>
      <c r="L31" s="122" t="s">
        <v>93</v>
      </c>
      <c r="M31" s="114">
        <f>($G$8*0.85)-($G$44*1.05)-$G$52</f>
        <v>4552.8631478472216</v>
      </c>
      <c r="N31" s="115">
        <f>($G$8*0.9)-($G$44*1.05)-$G$52</f>
        <v>5182.8631478472216</v>
      </c>
      <c r="O31" s="115">
        <f>($G$8*0.95)-($G$44*1.05)-$G$52</f>
        <v>5812.8631478472216</v>
      </c>
      <c r="P31" s="115">
        <f>($G$8)-($G$44*1.05)-$G$52</f>
        <v>6442.8631478472216</v>
      </c>
      <c r="Q31" s="115">
        <f>($G$8*1.05)-($G$44*1.05)-$G$52</f>
        <v>7072.8631478472216</v>
      </c>
      <c r="R31" s="115">
        <f>($G$8*1.1)-($G$44*1.05)-$G$52</f>
        <v>7702.8631478472234</v>
      </c>
      <c r="S31" s="116">
        <f>($G$8*1.15)-($G$44*1.05)-$G$52</f>
        <v>8332.8631478472198</v>
      </c>
      <c r="U31" t="s">
        <v>159</v>
      </c>
    </row>
    <row r="32" spans="1:21" ht="16.5" customHeight="1">
      <c r="A32" s="7"/>
      <c r="B32" s="2" t="s">
        <v>115</v>
      </c>
      <c r="C32" s="2"/>
      <c r="D32" s="3" t="s">
        <v>55</v>
      </c>
      <c r="E32" s="16">
        <f>SUM(E33:E37)</f>
        <v>120</v>
      </c>
      <c r="F32" s="2"/>
      <c r="G32" s="14">
        <f>SUMPRODUCT(E33:E37,F33:F37)</f>
        <v>2232</v>
      </c>
      <c r="H32" s="4"/>
      <c r="I32" s="18"/>
      <c r="J32" s="224"/>
      <c r="K32" s="59"/>
      <c r="L32" s="122" t="s">
        <v>81</v>
      </c>
      <c r="M32" s="114">
        <f>($G$8*0.85)-($G$44)-$G$52</f>
        <v>4764.6679847222222</v>
      </c>
      <c r="N32" s="115">
        <f>($G$8*0.9)-($G$44)-$G$52</f>
        <v>5394.6679847222222</v>
      </c>
      <c r="O32" s="115">
        <f>($G$8*0.95)-($G$44)-$G$52</f>
        <v>6024.6679847222222</v>
      </c>
      <c r="P32" s="117">
        <f>($G$8)-($G$44)-$G$52</f>
        <v>6654.6679847222222</v>
      </c>
      <c r="Q32" s="115">
        <f>($G$8*1.05)-($G$44)-$G$52</f>
        <v>7284.6679847222222</v>
      </c>
      <c r="R32" s="115">
        <f>($G$8*1.1)-($G$44)-$G$52</f>
        <v>7914.667984722224</v>
      </c>
      <c r="S32" s="116">
        <f>($G$8*1.15)-($G$44)-$G$52</f>
        <v>8544.6679847222204</v>
      </c>
    </row>
    <row r="33" spans="1:21" ht="16.5" customHeight="1">
      <c r="A33" s="7"/>
      <c r="B33" s="7"/>
      <c r="C33" s="2" t="s">
        <v>116</v>
      </c>
      <c r="D33" s="3" t="s">
        <v>117</v>
      </c>
      <c r="E33" s="76">
        <v>10</v>
      </c>
      <c r="F33" s="11">
        <v>18.600000000000001</v>
      </c>
      <c r="G33" s="14"/>
      <c r="H33" s="4"/>
      <c r="I33" s="18"/>
      <c r="J33" s="224"/>
      <c r="K33" s="59"/>
      <c r="L33" s="122" t="s">
        <v>90</v>
      </c>
      <c r="M33" s="114">
        <f>($G$8*0.85)-($G$44*0.95)-$G$52</f>
        <v>4976.4728215972227</v>
      </c>
      <c r="N33" s="115">
        <f>($G$8*0.9)-($G$44*0.95)-$G$52</f>
        <v>5606.4728215972227</v>
      </c>
      <c r="O33" s="115">
        <f>($G$8*0.95)-($G$44*0.95)-$G$52</f>
        <v>6236.4728215972227</v>
      </c>
      <c r="P33" s="115">
        <f>($G$8)-($G$44*0.95)-$G$52</f>
        <v>6866.4728215972227</v>
      </c>
      <c r="Q33" s="115">
        <f>($G$8*1.05)-($G$44*0.95)-$G$52</f>
        <v>7496.4728215972227</v>
      </c>
      <c r="R33" s="115">
        <f>($G$8*1.1)-($G$44*0.95)-$G$52</f>
        <v>8126.4728215972245</v>
      </c>
      <c r="S33" s="116">
        <f>($G$8*1.15)-($G$44*0.95)-$G$52</f>
        <v>8756.4728215972209</v>
      </c>
      <c r="U33" t="s">
        <v>118</v>
      </c>
    </row>
    <row r="34" spans="1:21" ht="16.5" customHeight="1">
      <c r="A34" s="7"/>
      <c r="B34" s="7"/>
      <c r="C34" s="2" t="s">
        <v>119</v>
      </c>
      <c r="D34" s="3" t="s">
        <v>117</v>
      </c>
      <c r="E34" s="76">
        <v>8</v>
      </c>
      <c r="F34" s="11">
        <v>18.600000000000001</v>
      </c>
      <c r="G34" s="14"/>
      <c r="H34" s="4"/>
      <c r="I34" s="18"/>
      <c r="J34" s="224"/>
      <c r="K34" s="59"/>
      <c r="L34" s="122" t="s">
        <v>80</v>
      </c>
      <c r="M34" s="114">
        <f>($G$8*0.85)-($G$44*0.9)-$G$52</f>
        <v>5188.2776584722214</v>
      </c>
      <c r="N34" s="115">
        <f>($G$8*0.9)-($G$44*0.9)-$G$52</f>
        <v>5818.2776584722214</v>
      </c>
      <c r="O34" s="115">
        <f>($G$8*0.95)-($G$44*0.9)-$G$52</f>
        <v>6448.2776584722214</v>
      </c>
      <c r="P34" s="115">
        <f>($G$8)-($G$44*0.9)-$G$52</f>
        <v>7078.2776584722214</v>
      </c>
      <c r="Q34" s="115">
        <f>($G$8*1.05)-($G$44*0.9)-$G$52</f>
        <v>7708.2776584722214</v>
      </c>
      <c r="R34" s="115">
        <f>($G$8*1.1)-($G$44*0.9)-$G$52</f>
        <v>8338.2776584722233</v>
      </c>
      <c r="S34" s="116">
        <f>($G$8*1.15)-($G$44*0.9)-$G$52</f>
        <v>8968.2776584722196</v>
      </c>
      <c r="U34" t="s">
        <v>118</v>
      </c>
    </row>
    <row r="35" spans="1:21" ht="16.5" customHeight="1">
      <c r="A35" s="7"/>
      <c r="B35" s="7"/>
      <c r="C35" s="2" t="s">
        <v>120</v>
      </c>
      <c r="D35" s="3" t="s">
        <v>117</v>
      </c>
      <c r="E35" s="76">
        <v>22</v>
      </c>
      <c r="F35" s="11">
        <v>18.600000000000001</v>
      </c>
      <c r="G35" s="14"/>
      <c r="H35" s="4"/>
      <c r="I35" s="18"/>
      <c r="J35" s="225"/>
      <c r="K35" s="60"/>
      <c r="L35" s="123" t="s">
        <v>88</v>
      </c>
      <c r="M35" s="118">
        <f>($G$8*0.85)-($G$44*0.85)-$G$52</f>
        <v>5400.082495347222</v>
      </c>
      <c r="N35" s="119">
        <f>($G$8*0.9)-($G$44*0.85)-$G$52</f>
        <v>6030.082495347222</v>
      </c>
      <c r="O35" s="119">
        <f>($G$8*0.95)-($G$44*0.85)-$G$52</f>
        <v>6660.082495347222</v>
      </c>
      <c r="P35" s="119">
        <f>($G$8)-($G$44*0.85)-$G$52</f>
        <v>7290.082495347222</v>
      </c>
      <c r="Q35" s="119">
        <f>($G$8*1.05)-($G$44*0.85)-$G$52</f>
        <v>7920.082495347222</v>
      </c>
      <c r="R35" s="119">
        <f>($G$8*1.1)-($G$44*0.85)-$G$52</f>
        <v>8550.0824953472238</v>
      </c>
      <c r="S35" s="120">
        <f>($G$8*1.15)-($G$44*0.85)-$G$52</f>
        <v>9180.0824953472202</v>
      </c>
      <c r="U35" t="s">
        <v>118</v>
      </c>
    </row>
    <row r="36" spans="1:21" ht="16.5" customHeight="1">
      <c r="A36" s="7"/>
      <c r="B36" s="7"/>
      <c r="C36" s="2" t="s">
        <v>121</v>
      </c>
      <c r="D36" s="3" t="s">
        <v>117</v>
      </c>
      <c r="E36" s="76">
        <v>65</v>
      </c>
      <c r="F36" s="11">
        <v>18.600000000000001</v>
      </c>
      <c r="G36" s="14"/>
      <c r="H36" s="4"/>
      <c r="I36" s="4"/>
      <c r="U36" t="s">
        <v>118</v>
      </c>
    </row>
    <row r="37" spans="1:21" ht="16.5" customHeight="1">
      <c r="A37" s="7"/>
      <c r="B37" s="7"/>
      <c r="C37" s="2" t="s">
        <v>122</v>
      </c>
      <c r="D37" s="3" t="s">
        <v>117</v>
      </c>
      <c r="E37" s="76">
        <v>15</v>
      </c>
      <c r="F37" s="11">
        <v>18.600000000000001</v>
      </c>
      <c r="G37" s="14"/>
      <c r="H37" s="4"/>
      <c r="I37" s="4"/>
      <c r="U37" t="s">
        <v>118</v>
      </c>
    </row>
    <row r="38" spans="1:21" ht="16.5" customHeight="1">
      <c r="A38" s="4"/>
      <c r="B38" s="2" t="s">
        <v>123</v>
      </c>
      <c r="C38" s="2"/>
      <c r="D38" s="3"/>
      <c r="E38" s="66"/>
      <c r="F38" s="64"/>
      <c r="G38" s="14"/>
      <c r="H38" s="4"/>
      <c r="I38" s="4"/>
    </row>
    <row r="39" spans="1:21" ht="16.5" customHeight="1">
      <c r="A39" s="4"/>
      <c r="B39" s="7"/>
      <c r="C39" s="82" t="s">
        <v>124</v>
      </c>
      <c r="D39" s="151" t="s">
        <v>67</v>
      </c>
      <c r="E39" s="76">
        <v>53</v>
      </c>
      <c r="F39" s="11">
        <v>2.2000000000000002</v>
      </c>
      <c r="G39" s="14">
        <f t="shared" ref="G39:G40" si="8">E39*F39</f>
        <v>116.60000000000001</v>
      </c>
      <c r="H39" s="4"/>
      <c r="I39" s="4"/>
      <c r="L39" s="84"/>
      <c r="U39" t="s">
        <v>160</v>
      </c>
    </row>
    <row r="40" spans="1:21" ht="16.5" customHeight="1">
      <c r="A40" s="4"/>
      <c r="B40" s="7"/>
      <c r="C40" s="82" t="s">
        <v>302</v>
      </c>
      <c r="D40" s="151" t="s">
        <v>67</v>
      </c>
      <c r="E40" s="10">
        <v>1260</v>
      </c>
      <c r="F40" s="11">
        <v>0.03</v>
      </c>
      <c r="G40" s="14">
        <f t="shared" si="8"/>
        <v>37.799999999999997</v>
      </c>
      <c r="H40" s="4"/>
      <c r="I40" s="4"/>
      <c r="U40" t="s">
        <v>126</v>
      </c>
    </row>
    <row r="41" spans="1:21" ht="16.5" customHeight="1">
      <c r="A41" s="4"/>
      <c r="B41" s="2" t="s">
        <v>127</v>
      </c>
      <c r="C41" s="2"/>
      <c r="D41" s="19" t="s">
        <v>128</v>
      </c>
      <c r="E41" s="14"/>
      <c r="F41" s="135">
        <v>0.1</v>
      </c>
      <c r="G41" s="14">
        <f>G8*F41</f>
        <v>1260</v>
      </c>
      <c r="H41" s="4"/>
      <c r="I41" s="4"/>
    </row>
    <row r="42" spans="1:21" ht="16.5" customHeight="1">
      <c r="A42" s="4"/>
      <c r="B42" s="2" t="s">
        <v>129</v>
      </c>
      <c r="C42" s="4"/>
      <c r="D42" s="3" t="s">
        <v>55</v>
      </c>
      <c r="E42" s="4"/>
      <c r="F42" s="4"/>
      <c r="G42" s="20">
        <v>10</v>
      </c>
      <c r="H42" s="4"/>
      <c r="I42" s="4"/>
    </row>
    <row r="43" spans="1:21" ht="16.5" customHeight="1">
      <c r="A43" s="4"/>
      <c r="B43" s="2" t="s">
        <v>130</v>
      </c>
      <c r="C43" s="4"/>
      <c r="D43" s="3" t="s">
        <v>7</v>
      </c>
      <c r="F43" s="94">
        <v>7.2499999999999995E-2</v>
      </c>
      <c r="G43" s="12">
        <f>SUM(G9:G42)/2*F43</f>
        <v>148.18673749999999</v>
      </c>
      <c r="H43" s="4"/>
      <c r="I43" s="4"/>
    </row>
    <row r="44" spans="1:21" ht="16.5" customHeight="1">
      <c r="A44" s="4"/>
      <c r="B44" s="4"/>
      <c r="C44" s="13" t="s">
        <v>131</v>
      </c>
      <c r="D44" s="3"/>
      <c r="E44" s="21"/>
      <c r="F44" s="2"/>
      <c r="G44" s="14">
        <f>SUM(G11:G43)</f>
        <v>4236.0967375</v>
      </c>
      <c r="H44" s="4"/>
      <c r="I44" s="4"/>
    </row>
    <row r="45" spans="1:21" ht="16.5" customHeight="1">
      <c r="A45" s="4"/>
      <c r="B45" s="4"/>
      <c r="C45" s="13"/>
      <c r="D45" s="3"/>
      <c r="E45" s="21"/>
      <c r="F45" s="2"/>
      <c r="G45" s="14"/>
      <c r="H45" s="4"/>
      <c r="I45" s="4"/>
    </row>
    <row r="46" spans="1:21" ht="16.5" customHeight="1">
      <c r="A46" s="4"/>
      <c r="B46" s="15" t="s">
        <v>132</v>
      </c>
      <c r="C46" s="15"/>
      <c r="D46" s="22" t="s">
        <v>4</v>
      </c>
      <c r="E46" s="9" t="s">
        <v>41</v>
      </c>
      <c r="F46" s="9" t="s">
        <v>42</v>
      </c>
      <c r="G46" s="9" t="s">
        <v>43</v>
      </c>
      <c r="H46" s="4"/>
      <c r="I46" s="4"/>
    </row>
    <row r="47" spans="1:21" ht="16.5">
      <c r="B47" s="2" t="s">
        <v>133</v>
      </c>
      <c r="C47" s="2"/>
      <c r="D47" s="3" t="s">
        <v>134</v>
      </c>
      <c r="E47" s="23">
        <v>7</v>
      </c>
      <c r="F47" s="14">
        <f>Investment!G32/12</f>
        <v>137.56230158730159</v>
      </c>
      <c r="G47" s="26">
        <f>E47*F47</f>
        <v>962.93611111111113</v>
      </c>
      <c r="H47" s="4"/>
      <c r="I47" s="4"/>
    </row>
    <row r="48" spans="1:21" ht="16.5">
      <c r="B48" s="2" t="s">
        <v>135</v>
      </c>
      <c r="C48" s="2"/>
      <c r="D48" s="3" t="s">
        <v>136</v>
      </c>
      <c r="E48" s="96"/>
      <c r="F48" s="14"/>
      <c r="G48" s="14">
        <f>Investment!H32*($E$47/12)</f>
        <v>446.14500000000004</v>
      </c>
      <c r="H48" s="4"/>
      <c r="I48" s="4"/>
    </row>
    <row r="49" spans="2:7" ht="15.75">
      <c r="B49" s="2" t="s">
        <v>137</v>
      </c>
      <c r="C49" s="2"/>
      <c r="D49" s="3" t="s">
        <v>138</v>
      </c>
      <c r="E49" s="96"/>
      <c r="F49" s="94">
        <v>1.4999999999999999E-2</v>
      </c>
      <c r="G49" s="14">
        <f>Investment!D32*F49*($E$47/12)</f>
        <v>183.48750000000001</v>
      </c>
    </row>
    <row r="50" spans="2:7" ht="15.75">
      <c r="B50" s="2" t="s">
        <v>314</v>
      </c>
      <c r="C50" s="2"/>
      <c r="D50" s="3" t="s">
        <v>136</v>
      </c>
      <c r="E50" s="96"/>
      <c r="F50" s="14"/>
      <c r="G50" s="14">
        <f>Investment!E8*(E47/12)</f>
        <v>116.66666666666667</v>
      </c>
    </row>
    <row r="51" spans="2:7" ht="15.75">
      <c r="B51" s="2" t="s">
        <v>139</v>
      </c>
      <c r="C51" s="2"/>
      <c r="D51" s="3" t="s">
        <v>136</v>
      </c>
      <c r="E51" s="96"/>
      <c r="F51" s="14"/>
      <c r="G51" s="129">
        <v>0</v>
      </c>
    </row>
    <row r="52" spans="2:7" ht="16.5">
      <c r="B52" s="4"/>
      <c r="C52" s="13" t="s">
        <v>140</v>
      </c>
      <c r="E52" s="2"/>
      <c r="F52" s="2"/>
      <c r="G52" s="14">
        <f>SUM(G47:G51)</f>
        <v>1709.2352777777778</v>
      </c>
    </row>
    <row r="53" spans="2:7" ht="16.5">
      <c r="B53" s="4"/>
      <c r="C53" s="13"/>
      <c r="E53" s="2"/>
      <c r="F53" s="2"/>
      <c r="G53" s="14"/>
    </row>
    <row r="54" spans="2:7" ht="16.5">
      <c r="B54" s="147"/>
      <c r="C54" s="77"/>
      <c r="D54" s="148"/>
      <c r="E54" s="9" t="s">
        <v>141</v>
      </c>
      <c r="F54" s="9" t="s">
        <v>142</v>
      </c>
      <c r="G54" s="9" t="s">
        <v>43</v>
      </c>
    </row>
    <row r="55" spans="2:7" ht="15.75">
      <c r="B55" s="5" t="s">
        <v>36</v>
      </c>
      <c r="C55" s="13"/>
      <c r="E55" s="141">
        <f>(G44+G52)/M6</f>
        <v>2.9726660076388889</v>
      </c>
      <c r="F55" s="141">
        <f>G55/SUM(E5:E6)</f>
        <v>1.1796293681106702</v>
      </c>
      <c r="G55" s="141">
        <f>G44+G52</f>
        <v>5945.3320152777778</v>
      </c>
    </row>
    <row r="56" spans="2:7" ht="16.5">
      <c r="B56" s="25" t="s">
        <v>143</v>
      </c>
      <c r="C56" s="150"/>
      <c r="D56" s="4"/>
      <c r="E56" s="141">
        <f>(G8-G44)/M6</f>
        <v>4.1819516312499996</v>
      </c>
      <c r="F56" s="141">
        <f>G56/SUM(E5:E6)</f>
        <v>1.6595046155753967</v>
      </c>
      <c r="G56" s="141">
        <f>G8-G44</f>
        <v>8363.9032625</v>
      </c>
    </row>
    <row r="57" spans="2:7" ht="16.5">
      <c r="B57" s="133" t="s">
        <v>144</v>
      </c>
      <c r="C57" s="133"/>
      <c r="D57" s="24"/>
      <c r="E57" s="142">
        <f>(G8-G55)/M6</f>
        <v>3.3273339923611109</v>
      </c>
      <c r="F57" s="142">
        <f>G57/SUM(E5:E6)</f>
        <v>1.3203706318893298</v>
      </c>
      <c r="G57" s="142">
        <f>G8-G55</f>
        <v>6654.6679847222222</v>
      </c>
    </row>
    <row r="58" spans="2:7">
      <c r="B58" s="168" t="s">
        <v>145</v>
      </c>
      <c r="C58" s="169"/>
      <c r="D58" s="169"/>
      <c r="E58" s="169"/>
      <c r="F58" s="169"/>
      <c r="G58" s="169"/>
    </row>
    <row r="59" spans="2:7">
      <c r="B59" s="168" t="s">
        <v>146</v>
      </c>
      <c r="C59" s="168"/>
      <c r="D59" s="168"/>
      <c r="E59" s="168"/>
      <c r="F59" s="168"/>
      <c r="G59" s="168"/>
    </row>
    <row r="60" spans="2:7">
      <c r="B60" s="168" t="s">
        <v>147</v>
      </c>
      <c r="C60" s="168"/>
      <c r="D60" s="168"/>
      <c r="E60" s="168"/>
      <c r="F60" s="168"/>
      <c r="G60" s="168"/>
    </row>
    <row r="61" spans="2:7">
      <c r="B61" s="168" t="s">
        <v>161</v>
      </c>
      <c r="C61" s="168"/>
      <c r="D61" s="168"/>
      <c r="E61" s="168"/>
      <c r="F61" s="168"/>
      <c r="G61" s="168"/>
    </row>
  </sheetData>
  <protectedRanges>
    <protectedRange sqref="E11:F21" name="Edit cells"/>
  </protectedRanges>
  <mergeCells count="5">
    <mergeCell ref="B2:G2"/>
    <mergeCell ref="E3:G3"/>
    <mergeCell ref="M27:S27"/>
    <mergeCell ref="J29:J35"/>
    <mergeCell ref="J15:J23"/>
  </mergeCells>
  <conditionalFormatting sqref="E54">
    <cfRule type="expression" dxfId="56" priority="1">
      <formula>$G$1="no"</formula>
    </cfRule>
  </conditionalFormatting>
  <conditionalFormatting sqref="E4:G4">
    <cfRule type="expression" dxfId="55" priority="5">
      <formula>$G$1="no"</formula>
    </cfRule>
  </conditionalFormatting>
  <conditionalFormatting sqref="E10:G10">
    <cfRule type="expression" dxfId="54" priority="4">
      <formula>$G$1="no"</formula>
    </cfRule>
  </conditionalFormatting>
  <conditionalFormatting sqref="E46:G46">
    <cfRule type="expression" dxfId="53" priority="3">
      <formula>$G$1="no"</formula>
    </cfRule>
  </conditionalFormatting>
  <conditionalFormatting sqref="G54">
    <cfRule type="expression" dxfId="52" priority="2">
      <formula>$G$1="no"</formula>
    </cfRule>
  </conditionalFormatting>
  <conditionalFormatting sqref="M17:S23">
    <cfRule type="cellIs" dxfId="51" priority="7" operator="lessThan">
      <formula>0</formula>
    </cfRule>
  </conditionalFormatting>
  <conditionalFormatting sqref="M29:S35">
    <cfRule type="cellIs" dxfId="50" priority="6" operator="lessThan">
      <formula>0</formula>
    </cfRule>
  </conditionalFormatting>
  <pageMargins left="0.7" right="0.7" top="0.75" bottom="0.75" header="0.3" footer="0.3"/>
  <ignoredErrors>
    <ignoredError sqref="L20 P16 E5:E6" unlockedFormula="1"/>
    <ignoredError sqref="N32:S32 P20" formula="1"/>
    <ignoredError sqref="C21"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44D66-7744-482D-9F1A-B80ABD237146}">
  <dimension ref="A1:V64"/>
  <sheetViews>
    <sheetView showGridLines="0" topLeftCell="A33" zoomScale="120" zoomScaleNormal="120" workbookViewId="0">
      <selection activeCell="B54" sqref="B54"/>
    </sheetView>
  </sheetViews>
  <sheetFormatPr defaultRowHeight="15"/>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9" width="3.125" customWidth="1"/>
    <col min="11" max="19" width="10.625" customWidth="1"/>
    <col min="20" max="20" width="3.125" customWidth="1"/>
  </cols>
  <sheetData>
    <row r="1" spans="1:22" ht="16.5">
      <c r="A1" s="4"/>
      <c r="B1" s="4"/>
      <c r="C1" s="5"/>
      <c r="H1" s="4"/>
      <c r="I1" s="4"/>
    </row>
    <row r="2" spans="1:22" ht="21">
      <c r="A2" s="4"/>
      <c r="B2" s="221" t="s">
        <v>162</v>
      </c>
      <c r="C2" s="222"/>
      <c r="D2" s="222"/>
      <c r="E2" s="222"/>
      <c r="F2" s="222"/>
      <c r="G2" s="222"/>
      <c r="H2" s="4"/>
      <c r="I2" s="1"/>
      <c r="T2" s="1"/>
    </row>
    <row r="3" spans="1:22" ht="16.5" customHeight="1">
      <c r="A3" s="4"/>
      <c r="B3" s="4"/>
      <c r="C3" s="6"/>
      <c r="D3" s="6"/>
      <c r="E3" s="223"/>
      <c r="F3" s="223"/>
      <c r="G3" s="223"/>
      <c r="H3" s="4"/>
      <c r="I3" s="1"/>
      <c r="T3" s="1"/>
      <c r="V3" s="162" t="s">
        <v>39</v>
      </c>
    </row>
    <row r="4" spans="1:22" ht="16.5" customHeight="1">
      <c r="A4" s="7"/>
      <c r="B4" s="8" t="s">
        <v>40</v>
      </c>
      <c r="C4" s="8"/>
      <c r="D4" s="8" t="s">
        <v>4</v>
      </c>
      <c r="E4" s="9" t="s">
        <v>41</v>
      </c>
      <c r="F4" s="9" t="s">
        <v>42</v>
      </c>
      <c r="G4" s="9" t="s">
        <v>43</v>
      </c>
      <c r="H4" s="4"/>
      <c r="I4" s="1"/>
      <c r="J4" s="71" t="s">
        <v>44</v>
      </c>
      <c r="T4" s="1"/>
    </row>
    <row r="5" spans="1:22" ht="16.5" customHeight="1">
      <c r="A5" s="7"/>
      <c r="B5" s="2" t="s">
        <v>163</v>
      </c>
      <c r="C5" s="2"/>
      <c r="D5" s="3" t="s">
        <v>164</v>
      </c>
      <c r="E5" s="159">
        <f>M7*M8*M9</f>
        <v>997.5</v>
      </c>
      <c r="F5" s="78">
        <v>4.2</v>
      </c>
      <c r="G5" s="14">
        <f>E5*F5</f>
        <v>4189.5</v>
      </c>
      <c r="H5" s="4"/>
      <c r="I5" s="1"/>
      <c r="J5" s="153" t="s">
        <v>47</v>
      </c>
      <c r="K5" s="148"/>
      <c r="L5" s="148"/>
      <c r="M5" s="161" t="s">
        <v>48</v>
      </c>
      <c r="N5" s="160" t="s">
        <v>4</v>
      </c>
      <c r="O5" s="148"/>
      <c r="T5" s="1"/>
      <c r="V5" t="s">
        <v>165</v>
      </c>
    </row>
    <row r="6" spans="1:22" ht="16.5" customHeight="1">
      <c r="A6" s="7"/>
      <c r="B6" s="2" t="s">
        <v>166</v>
      </c>
      <c r="C6" s="2"/>
      <c r="D6" s="3" t="s">
        <v>164</v>
      </c>
      <c r="E6" s="159">
        <f>M7*M8*M10</f>
        <v>332.5</v>
      </c>
      <c r="F6" s="78">
        <v>0.5</v>
      </c>
      <c r="G6" s="14">
        <f>E6*F6</f>
        <v>166.25</v>
      </c>
      <c r="H6" s="4"/>
      <c r="I6" s="1"/>
      <c r="J6" s="136" t="s">
        <v>51</v>
      </c>
      <c r="M6" s="79">
        <v>2000</v>
      </c>
      <c r="N6" s="3" t="s">
        <v>52</v>
      </c>
      <c r="T6" s="1"/>
      <c r="V6" t="s">
        <v>167</v>
      </c>
    </row>
    <row r="7" spans="1:22" ht="16.5" customHeight="1">
      <c r="A7" s="7"/>
      <c r="B7" s="2" t="s">
        <v>54</v>
      </c>
      <c r="C7" s="2"/>
      <c r="D7" s="3" t="s">
        <v>55</v>
      </c>
      <c r="E7" s="132"/>
      <c r="F7" s="131"/>
      <c r="G7" s="129">
        <v>0</v>
      </c>
      <c r="H7" s="4"/>
      <c r="I7" s="1"/>
      <c r="J7" s="136" t="s">
        <v>56</v>
      </c>
      <c r="M7" s="79">
        <v>1400</v>
      </c>
      <c r="N7" s="3" t="s">
        <v>57</v>
      </c>
      <c r="T7" s="1"/>
      <c r="V7" t="s">
        <v>168</v>
      </c>
    </row>
    <row r="8" spans="1:22" ht="16.5" customHeight="1">
      <c r="A8" s="7"/>
      <c r="B8" s="7"/>
      <c r="C8" s="13" t="s">
        <v>59</v>
      </c>
      <c r="E8" s="2"/>
      <c r="F8" s="2"/>
      <c r="G8" s="14">
        <f>SUM(G5:G7)</f>
        <v>4355.75</v>
      </c>
      <c r="H8" s="4"/>
      <c r="I8" s="1"/>
      <c r="J8" s="136" t="s">
        <v>169</v>
      </c>
      <c r="M8" s="165">
        <v>0.95</v>
      </c>
      <c r="N8" s="3" t="s">
        <v>170</v>
      </c>
      <c r="T8" s="1"/>
      <c r="V8" t="s">
        <v>171</v>
      </c>
    </row>
    <row r="9" spans="1:22" ht="16.5" customHeight="1">
      <c r="A9" s="7"/>
      <c r="B9" s="7"/>
      <c r="C9" s="13"/>
      <c r="E9" s="2"/>
      <c r="F9" s="2"/>
      <c r="G9" s="14"/>
      <c r="H9" s="4"/>
      <c r="I9" s="1"/>
      <c r="J9" s="136" t="s">
        <v>62</v>
      </c>
      <c r="M9" s="157">
        <v>0.75</v>
      </c>
      <c r="N9" s="3" t="s">
        <v>63</v>
      </c>
      <c r="T9" s="1"/>
    </row>
    <row r="10" spans="1:22" ht="16.5" customHeight="1">
      <c r="A10" s="7"/>
      <c r="B10" s="15" t="s">
        <v>64</v>
      </c>
      <c r="C10" s="15"/>
      <c r="D10" s="8" t="s">
        <v>4</v>
      </c>
      <c r="E10" s="9" t="s">
        <v>41</v>
      </c>
      <c r="F10" s="9" t="s">
        <v>42</v>
      </c>
      <c r="G10" s="9" t="s">
        <v>43</v>
      </c>
      <c r="H10" s="4"/>
      <c r="I10" s="1"/>
      <c r="J10" s="156" t="s">
        <v>65</v>
      </c>
      <c r="K10" s="154"/>
      <c r="L10" s="154"/>
      <c r="M10" s="158">
        <v>0.25</v>
      </c>
      <c r="N10" s="155" t="s">
        <v>63</v>
      </c>
      <c r="O10" s="154"/>
      <c r="T10" s="1"/>
    </row>
    <row r="11" spans="1:22" ht="16.5" customHeight="1">
      <c r="A11" s="7"/>
      <c r="B11" s="2" t="s">
        <v>172</v>
      </c>
      <c r="C11" s="2"/>
      <c r="D11" s="3" t="s">
        <v>173</v>
      </c>
      <c r="E11" s="10">
        <v>1.5</v>
      </c>
      <c r="F11" s="11">
        <v>7.25</v>
      </c>
      <c r="G11" s="14">
        <f t="shared" ref="G11:G15" si="0">E11*F11</f>
        <v>10.875</v>
      </c>
      <c r="H11" s="4"/>
      <c r="I11" s="1"/>
      <c r="T11" s="1"/>
      <c r="V11" t="s">
        <v>174</v>
      </c>
    </row>
    <row r="12" spans="1:22" ht="16.5" customHeight="1">
      <c r="A12" s="7"/>
      <c r="B12" s="2" t="s">
        <v>175</v>
      </c>
      <c r="C12" s="2"/>
      <c r="D12" s="3" t="s">
        <v>176</v>
      </c>
      <c r="E12" s="10">
        <v>1.56</v>
      </c>
      <c r="F12" s="11">
        <v>10.15</v>
      </c>
      <c r="G12" s="14">
        <f t="shared" si="0"/>
        <v>15.834000000000001</v>
      </c>
      <c r="H12" s="4"/>
      <c r="I12" s="1"/>
      <c r="J12" s="71" t="s">
        <v>70</v>
      </c>
      <c r="K12" s="71"/>
      <c r="L12" s="71"/>
      <c r="M12" s="71"/>
      <c r="N12" s="71"/>
      <c r="O12" s="71"/>
      <c r="P12" s="71"/>
      <c r="Q12" s="71"/>
      <c r="R12" s="71"/>
      <c r="S12" s="71"/>
      <c r="T12" s="1"/>
      <c r="V12" t="s">
        <v>177</v>
      </c>
    </row>
    <row r="13" spans="1:22" ht="16.5" customHeight="1">
      <c r="A13" s="7"/>
      <c r="B13" s="2" t="s">
        <v>178</v>
      </c>
      <c r="C13" s="2"/>
      <c r="D13" s="3" t="s">
        <v>67</v>
      </c>
      <c r="E13" s="10">
        <v>13</v>
      </c>
      <c r="F13" s="11">
        <v>3</v>
      </c>
      <c r="G13" s="14">
        <f t="shared" si="0"/>
        <v>39</v>
      </c>
      <c r="H13" s="4"/>
      <c r="I13" s="1"/>
      <c r="J13" s="28" t="s">
        <v>73</v>
      </c>
      <c r="K13" s="106"/>
      <c r="L13" s="106"/>
      <c r="M13" s="106"/>
      <c r="N13" s="106"/>
      <c r="O13" s="106"/>
      <c r="P13" s="106"/>
      <c r="Q13" s="106"/>
      <c r="R13" s="106"/>
      <c r="S13" s="106"/>
      <c r="T13" s="1"/>
      <c r="V13" t="s">
        <v>179</v>
      </c>
    </row>
    <row r="14" spans="1:22" ht="16.5" customHeight="1">
      <c r="A14" s="7"/>
      <c r="B14" s="2" t="s">
        <v>69</v>
      </c>
      <c r="C14" s="2"/>
      <c r="D14" s="3" t="s">
        <v>67</v>
      </c>
      <c r="E14" s="10">
        <v>1</v>
      </c>
      <c r="F14" s="11">
        <v>25</v>
      </c>
      <c r="G14" s="14">
        <f t="shared" si="0"/>
        <v>25</v>
      </c>
      <c r="H14" s="4"/>
      <c r="I14" s="1"/>
      <c r="J14" s="33"/>
      <c r="K14" s="43"/>
      <c r="L14" s="44"/>
      <c r="M14" s="104"/>
      <c r="N14" s="104"/>
      <c r="O14" s="104"/>
      <c r="P14" s="104" t="s">
        <v>180</v>
      </c>
      <c r="Q14" s="104"/>
      <c r="R14" s="104"/>
      <c r="S14" s="105"/>
      <c r="T14" s="1"/>
      <c r="V14" t="s">
        <v>71</v>
      </c>
    </row>
    <row r="15" spans="1:22" ht="16.5" customHeight="1">
      <c r="A15" s="7"/>
      <c r="B15" s="2" t="s">
        <v>72</v>
      </c>
      <c r="C15" s="2"/>
      <c r="D15" s="3" t="s">
        <v>67</v>
      </c>
      <c r="E15" s="10">
        <v>1</v>
      </c>
      <c r="F15" s="11">
        <v>40</v>
      </c>
      <c r="G15" s="14">
        <f t="shared" si="0"/>
        <v>40</v>
      </c>
      <c r="H15" s="4"/>
      <c r="I15" s="1"/>
      <c r="J15" s="45"/>
      <c r="K15" s="46"/>
      <c r="L15" s="47"/>
      <c r="M15" s="48" t="s">
        <v>78</v>
      </c>
      <c r="N15" s="48" t="s">
        <v>79</v>
      </c>
      <c r="O15" s="48" t="s">
        <v>80</v>
      </c>
      <c r="P15" s="48" t="s">
        <v>81</v>
      </c>
      <c r="Q15" s="48" t="s">
        <v>82</v>
      </c>
      <c r="R15" s="48" t="s">
        <v>83</v>
      </c>
      <c r="S15" s="49" t="s">
        <v>84</v>
      </c>
      <c r="T15" s="1"/>
      <c r="V15" t="s">
        <v>74</v>
      </c>
    </row>
    <row r="16" spans="1:22" ht="16.5" customHeight="1">
      <c r="A16" s="7"/>
      <c r="B16" s="2" t="s">
        <v>75</v>
      </c>
      <c r="C16" s="2"/>
      <c r="D16" s="3" t="s">
        <v>55</v>
      </c>
      <c r="E16" s="128"/>
      <c r="F16" s="64"/>
      <c r="G16" s="14">
        <f>SUMPRODUCT(E17:E19,F17:F19)</f>
        <v>0</v>
      </c>
      <c r="H16" s="4"/>
      <c r="I16" s="1"/>
      <c r="J16" s="224" t="s">
        <v>181</v>
      </c>
      <c r="K16" s="51"/>
      <c r="L16" s="52"/>
      <c r="M16" s="40">
        <f>P16*70%</f>
        <v>930.99999999999989</v>
      </c>
      <c r="N16" s="40">
        <f>P16*80%</f>
        <v>1064</v>
      </c>
      <c r="O16" s="40">
        <f>P16*90%</f>
        <v>1197</v>
      </c>
      <c r="P16" s="41">
        <f>E5+E6</f>
        <v>1330</v>
      </c>
      <c r="Q16" s="40">
        <f>P16*110%</f>
        <v>1463.0000000000002</v>
      </c>
      <c r="R16" s="40">
        <f>P16*120%</f>
        <v>1596</v>
      </c>
      <c r="S16" s="42">
        <f>P16*130%</f>
        <v>1729</v>
      </c>
      <c r="T16" s="1"/>
    </row>
    <row r="17" spans="1:22" ht="16.5" customHeight="1">
      <c r="A17" s="7"/>
      <c r="B17" s="2"/>
      <c r="C17" s="82" t="s">
        <v>77</v>
      </c>
      <c r="D17" s="151" t="s">
        <v>46</v>
      </c>
      <c r="E17" s="10">
        <v>0</v>
      </c>
      <c r="F17" s="11">
        <v>0</v>
      </c>
      <c r="G17" s="14"/>
      <c r="H17" s="4"/>
      <c r="I17" s="1"/>
      <c r="J17" s="224"/>
      <c r="K17" s="101" t="s">
        <v>88</v>
      </c>
      <c r="L17" s="54">
        <f>L20*85%</f>
        <v>2.7837499999999999</v>
      </c>
      <c r="M17" s="111">
        <f t="shared" ref="M17:M23" si="1">(L17*$M$16)+$G$7-$G$58</f>
        <v>-14.609106011905624</v>
      </c>
      <c r="N17" s="112">
        <f t="shared" ref="N17:N23" si="2">(L17*$N$16)+$G$7-$G$58</f>
        <v>355.62964398809481</v>
      </c>
      <c r="O17" s="112">
        <f t="shared" ref="O17:O23" si="3">(L17*$O$16)+$G$7-$G$58</f>
        <v>725.86839398809479</v>
      </c>
      <c r="P17" s="112">
        <f t="shared" ref="P17:P23" si="4">(L17*$P$16)+$G$7-$G$58</f>
        <v>1096.1071439880948</v>
      </c>
      <c r="Q17" s="112">
        <f t="shared" ref="Q17:Q23" si="5">(L17*$Q$16)+$G$7-$G$58</f>
        <v>1466.3458939880957</v>
      </c>
      <c r="R17" s="112">
        <f t="shared" ref="R17:R23" si="6">(L17*$R$16)+$G$7-$G$58</f>
        <v>1836.5846439880947</v>
      </c>
      <c r="S17" s="113">
        <f t="shared" ref="S17:S23" si="7">(L17*$S$16)+$G$7-$G$58</f>
        <v>2206.8233939880952</v>
      </c>
      <c r="T17" s="1"/>
    </row>
    <row r="18" spans="1:22" ht="16.5" customHeight="1">
      <c r="A18" s="7"/>
      <c r="B18" s="2"/>
      <c r="C18" s="82" t="s">
        <v>85</v>
      </c>
      <c r="D18" s="151" t="s">
        <v>46</v>
      </c>
      <c r="E18" s="10">
        <v>0</v>
      </c>
      <c r="F18" s="11">
        <v>0</v>
      </c>
      <c r="G18" s="14"/>
      <c r="H18" s="4"/>
      <c r="I18" s="1"/>
      <c r="J18" s="224"/>
      <c r="K18" s="101" t="s">
        <v>80</v>
      </c>
      <c r="L18" s="54">
        <f>L20*90%</f>
        <v>2.9474999999999998</v>
      </c>
      <c r="M18" s="114">
        <f t="shared" si="1"/>
        <v>137.84214398809445</v>
      </c>
      <c r="N18" s="115">
        <f t="shared" si="2"/>
        <v>529.85964398809483</v>
      </c>
      <c r="O18" s="115">
        <f t="shared" si="3"/>
        <v>921.87714398809476</v>
      </c>
      <c r="P18" s="115">
        <f t="shared" si="4"/>
        <v>1313.8946439880947</v>
      </c>
      <c r="Q18" s="115">
        <f t="shared" si="5"/>
        <v>1705.9121439880951</v>
      </c>
      <c r="R18" s="115">
        <f t="shared" si="6"/>
        <v>2097.929643988095</v>
      </c>
      <c r="S18" s="116">
        <f t="shared" si="7"/>
        <v>2489.9471439880949</v>
      </c>
      <c r="T18" s="1"/>
    </row>
    <row r="19" spans="1:22" ht="16.5" customHeight="1">
      <c r="A19" s="7"/>
      <c r="B19" s="2"/>
      <c r="C19" s="82" t="s">
        <v>86</v>
      </c>
      <c r="D19" s="151" t="s">
        <v>46</v>
      </c>
      <c r="E19" s="10">
        <v>0</v>
      </c>
      <c r="F19" s="11">
        <v>0</v>
      </c>
      <c r="G19" s="14"/>
      <c r="H19" s="4"/>
      <c r="I19" s="1"/>
      <c r="J19" s="224"/>
      <c r="K19" s="102" t="s">
        <v>90</v>
      </c>
      <c r="L19" s="54">
        <f>L20*0.95</f>
        <v>3.1112499999999996</v>
      </c>
      <c r="M19" s="114">
        <f t="shared" si="1"/>
        <v>290.29339398809407</v>
      </c>
      <c r="N19" s="115">
        <f t="shared" si="2"/>
        <v>704.08964398809439</v>
      </c>
      <c r="O19" s="115">
        <f t="shared" si="3"/>
        <v>1117.8858939880947</v>
      </c>
      <c r="P19" s="115">
        <f t="shared" si="4"/>
        <v>1531.6821439880946</v>
      </c>
      <c r="Q19" s="115">
        <f t="shared" si="5"/>
        <v>1945.4783939880949</v>
      </c>
      <c r="R19" s="115">
        <f t="shared" si="6"/>
        <v>2359.2746439880943</v>
      </c>
      <c r="S19" s="116">
        <f t="shared" si="7"/>
        <v>2773.0708939880947</v>
      </c>
      <c r="T19" s="1"/>
    </row>
    <row r="20" spans="1:22" ht="16.5" customHeight="1">
      <c r="A20" s="7"/>
      <c r="B20" s="2" t="s">
        <v>89</v>
      </c>
      <c r="C20" s="2"/>
      <c r="D20" s="3" t="s">
        <v>55</v>
      </c>
      <c r="E20" s="66"/>
      <c r="F20" s="14"/>
      <c r="G20" s="14">
        <f>SUMPRODUCT(E21:E23,F21:F23)</f>
        <v>0</v>
      </c>
      <c r="H20" s="4"/>
      <c r="I20" s="1"/>
      <c r="J20" s="224"/>
      <c r="K20" s="101" t="s">
        <v>81</v>
      </c>
      <c r="L20" s="32">
        <f>SUMPRODUCT(F5:F6,E5:E6)/SUM(E5:E6)</f>
        <v>3.2749999999999999</v>
      </c>
      <c r="M20" s="114">
        <f t="shared" si="1"/>
        <v>442.74464398809459</v>
      </c>
      <c r="N20" s="115">
        <f t="shared" si="2"/>
        <v>878.31964398809487</v>
      </c>
      <c r="O20" s="115">
        <f t="shared" si="3"/>
        <v>1313.8946439880947</v>
      </c>
      <c r="P20" s="117">
        <f t="shared" si="4"/>
        <v>1749.469643988095</v>
      </c>
      <c r="Q20" s="115">
        <f t="shared" si="5"/>
        <v>2185.0446439880957</v>
      </c>
      <c r="R20" s="115">
        <f t="shared" si="6"/>
        <v>2620.6196439880946</v>
      </c>
      <c r="S20" s="116">
        <f t="shared" si="7"/>
        <v>3056.1946439880944</v>
      </c>
      <c r="T20" s="1"/>
    </row>
    <row r="21" spans="1:22" ht="16.5" customHeight="1">
      <c r="A21" s="7"/>
      <c r="B21" s="2"/>
      <c r="C21" s="152" t="s">
        <v>77</v>
      </c>
      <c r="D21" s="17" t="s">
        <v>46</v>
      </c>
      <c r="E21" s="76">
        <v>0</v>
      </c>
      <c r="F21" s="78">
        <v>0</v>
      </c>
      <c r="G21" s="14"/>
      <c r="H21" s="4"/>
      <c r="I21" s="1"/>
      <c r="J21" s="224"/>
      <c r="K21" s="101" t="s">
        <v>93</v>
      </c>
      <c r="L21" s="54">
        <f>L20*105%</f>
        <v>3.4387500000000002</v>
      </c>
      <c r="M21" s="114">
        <f t="shared" si="1"/>
        <v>595.19589398809467</v>
      </c>
      <c r="N21" s="115">
        <f t="shared" si="2"/>
        <v>1052.5496439880953</v>
      </c>
      <c r="O21" s="115">
        <f t="shared" si="3"/>
        <v>1509.9033939880951</v>
      </c>
      <c r="P21" s="115">
        <f t="shared" si="4"/>
        <v>1967.2571439880953</v>
      </c>
      <c r="Q21" s="115">
        <f t="shared" si="5"/>
        <v>2424.6108939880964</v>
      </c>
      <c r="R21" s="115">
        <f t="shared" si="6"/>
        <v>2881.9646439880948</v>
      </c>
      <c r="S21" s="116">
        <f t="shared" si="7"/>
        <v>3339.3183939880951</v>
      </c>
      <c r="T21" s="1"/>
    </row>
    <row r="22" spans="1:22" ht="16.5" customHeight="1">
      <c r="A22" s="7"/>
      <c r="B22" s="2"/>
      <c r="C22" s="152" t="s">
        <v>91</v>
      </c>
      <c r="D22" s="17" t="s">
        <v>46</v>
      </c>
      <c r="E22" s="76">
        <v>0</v>
      </c>
      <c r="F22" s="78">
        <v>0</v>
      </c>
      <c r="G22" s="14"/>
      <c r="H22" s="4"/>
      <c r="I22" s="1"/>
      <c r="J22" s="224"/>
      <c r="K22" s="101" t="s">
        <v>82</v>
      </c>
      <c r="L22" s="54">
        <f>L20*110%</f>
        <v>3.6025</v>
      </c>
      <c r="M22" s="114">
        <f t="shared" si="1"/>
        <v>747.64714398809474</v>
      </c>
      <c r="N22" s="115">
        <f t="shared" si="2"/>
        <v>1226.7796439880949</v>
      </c>
      <c r="O22" s="115">
        <f t="shared" si="3"/>
        <v>1705.9121439880951</v>
      </c>
      <c r="P22" s="115">
        <f t="shared" si="4"/>
        <v>2185.0446439880948</v>
      </c>
      <c r="Q22" s="115">
        <f t="shared" si="5"/>
        <v>2664.1771439880954</v>
      </c>
      <c r="R22" s="115">
        <f t="shared" si="6"/>
        <v>3143.3096439880951</v>
      </c>
      <c r="S22" s="116">
        <f t="shared" si="7"/>
        <v>3622.4421439880948</v>
      </c>
      <c r="T22" s="1"/>
    </row>
    <row r="23" spans="1:22" ht="16.5" customHeight="1">
      <c r="A23" s="7"/>
      <c r="B23" s="2"/>
      <c r="C23" s="152" t="s">
        <v>92</v>
      </c>
      <c r="D23" s="17" t="s">
        <v>46</v>
      </c>
      <c r="E23" s="76">
        <v>0</v>
      </c>
      <c r="F23" s="78">
        <v>0</v>
      </c>
      <c r="G23" s="14"/>
      <c r="H23" s="4"/>
      <c r="I23" s="1"/>
      <c r="J23" s="225"/>
      <c r="K23" s="103" t="s">
        <v>96</v>
      </c>
      <c r="L23" s="57">
        <f>L20*115%</f>
        <v>3.7662499999999994</v>
      </c>
      <c r="M23" s="118">
        <f t="shared" si="1"/>
        <v>900.0983939880939</v>
      </c>
      <c r="N23" s="119">
        <f t="shared" si="2"/>
        <v>1401.0096439880945</v>
      </c>
      <c r="O23" s="119">
        <f t="shared" si="3"/>
        <v>1901.9208939880941</v>
      </c>
      <c r="P23" s="119">
        <f t="shared" si="4"/>
        <v>2402.8321439880942</v>
      </c>
      <c r="Q23" s="119">
        <f t="shared" si="5"/>
        <v>2903.7433939880952</v>
      </c>
      <c r="R23" s="119">
        <f t="shared" si="6"/>
        <v>3404.6546439880944</v>
      </c>
      <c r="S23" s="120">
        <f t="shared" si="7"/>
        <v>3905.5658939880936</v>
      </c>
      <c r="T23" s="1"/>
    </row>
    <row r="24" spans="1:22" ht="16.5" customHeight="1">
      <c r="A24" s="7"/>
      <c r="B24" s="2" t="s">
        <v>94</v>
      </c>
      <c r="D24" s="3" t="s">
        <v>55</v>
      </c>
      <c r="E24" s="66"/>
      <c r="F24" s="14"/>
      <c r="G24" s="14">
        <f>SUMPRODUCT(E25:E27,F25:F27)</f>
        <v>0</v>
      </c>
      <c r="H24" s="4"/>
      <c r="I24" s="1"/>
      <c r="J24" s="28"/>
      <c r="K24" s="28"/>
      <c r="L24" s="28"/>
      <c r="M24" s="28"/>
      <c r="N24" s="28"/>
      <c r="O24" s="28"/>
      <c r="P24" s="28"/>
      <c r="Q24" s="28"/>
      <c r="R24" s="28"/>
      <c r="S24" s="28"/>
      <c r="T24" s="1"/>
    </row>
    <row r="25" spans="1:22" ht="16.5" customHeight="1">
      <c r="A25" s="7"/>
      <c r="B25" s="2"/>
      <c r="C25" s="152" t="s">
        <v>95</v>
      </c>
      <c r="D25" s="17" t="s">
        <v>46</v>
      </c>
      <c r="E25" s="76">
        <v>0</v>
      </c>
      <c r="F25" s="78">
        <v>0.17</v>
      </c>
      <c r="G25" s="14"/>
      <c r="H25" s="4"/>
      <c r="I25" s="1"/>
      <c r="J25" s="81" t="s">
        <v>100</v>
      </c>
      <c r="K25" s="81"/>
      <c r="L25" s="81"/>
      <c r="M25" s="81"/>
      <c r="N25" s="81"/>
      <c r="O25" s="81"/>
      <c r="P25" s="81"/>
      <c r="Q25" s="81"/>
      <c r="R25" s="81"/>
      <c r="S25" s="81"/>
      <c r="T25" s="1"/>
    </row>
    <row r="26" spans="1:22" ht="16.5" customHeight="1">
      <c r="A26" s="7"/>
      <c r="B26" s="2"/>
      <c r="C26" s="152" t="s">
        <v>97</v>
      </c>
      <c r="D26" s="17" t="s">
        <v>46</v>
      </c>
      <c r="E26" s="76">
        <v>0</v>
      </c>
      <c r="F26" s="78">
        <v>0.75</v>
      </c>
      <c r="G26" s="14"/>
      <c r="H26" s="4"/>
      <c r="I26" s="4"/>
      <c r="J26" s="28" t="s">
        <v>102</v>
      </c>
      <c r="K26" s="28"/>
      <c r="L26" s="28"/>
      <c r="M26" s="28"/>
      <c r="N26" s="28"/>
      <c r="O26" s="28"/>
      <c r="P26" s="28"/>
      <c r="Q26" s="28"/>
      <c r="R26" s="28"/>
      <c r="S26" s="28"/>
    </row>
    <row r="27" spans="1:22" ht="16.5" customHeight="1">
      <c r="A27" s="7"/>
      <c r="B27" s="2"/>
      <c r="C27" s="152" t="s">
        <v>98</v>
      </c>
      <c r="D27" s="17" t="s">
        <v>99</v>
      </c>
      <c r="E27" s="76">
        <v>0</v>
      </c>
      <c r="F27" s="78">
        <v>30</v>
      </c>
      <c r="G27" s="14"/>
      <c r="H27" s="4"/>
      <c r="I27" s="4"/>
      <c r="J27" s="33"/>
      <c r="K27" s="34"/>
      <c r="L27" s="34"/>
      <c r="M27" s="228" t="s">
        <v>105</v>
      </c>
      <c r="N27" s="229"/>
      <c r="O27" s="229"/>
      <c r="P27" s="229"/>
      <c r="Q27" s="229"/>
      <c r="R27" s="229"/>
      <c r="S27" s="230"/>
    </row>
    <row r="28" spans="1:22" ht="16.5" customHeight="1">
      <c r="A28" s="7"/>
      <c r="B28" s="2" t="s">
        <v>182</v>
      </c>
      <c r="C28" s="2"/>
      <c r="D28" s="38"/>
      <c r="E28" s="66"/>
      <c r="F28" s="14"/>
      <c r="G28" s="14"/>
      <c r="H28" s="4"/>
      <c r="I28" s="4"/>
      <c r="J28" s="31"/>
      <c r="K28" s="58"/>
      <c r="L28" s="35"/>
      <c r="M28" s="63" t="s">
        <v>88</v>
      </c>
      <c r="N28" s="61" t="s">
        <v>80</v>
      </c>
      <c r="O28" s="61" t="s">
        <v>90</v>
      </c>
      <c r="P28" s="61" t="s">
        <v>81</v>
      </c>
      <c r="Q28" s="61" t="s">
        <v>93</v>
      </c>
      <c r="R28" s="61" t="s">
        <v>82</v>
      </c>
      <c r="S28" s="62" t="s">
        <v>96</v>
      </c>
    </row>
    <row r="29" spans="1:22" ht="16.5" customHeight="1">
      <c r="A29" s="7"/>
      <c r="B29" s="2" t="s">
        <v>103</v>
      </c>
      <c r="C29" s="2" t="s">
        <v>104</v>
      </c>
      <c r="D29" s="38" t="s">
        <v>55</v>
      </c>
      <c r="E29" s="66"/>
      <c r="F29" s="14"/>
      <c r="G29" s="78">
        <v>3.75</v>
      </c>
      <c r="H29" s="4"/>
      <c r="I29" s="4"/>
      <c r="J29" s="224" t="s">
        <v>64</v>
      </c>
      <c r="K29" s="59"/>
      <c r="L29" s="121" t="s">
        <v>96</v>
      </c>
      <c r="M29" s="111">
        <f>($G$8*0.85)-($G$47*1.15)-$G$55</f>
        <v>815.04450130059524</v>
      </c>
      <c r="N29" s="112">
        <f>($G$8*0.9)-($G$47*1.15)-$G$55</f>
        <v>1032.8320013005955</v>
      </c>
      <c r="O29" s="112">
        <f>($G$8*0.95)-($G$47*1.15)-$G$55</f>
        <v>1250.6195013005949</v>
      </c>
      <c r="P29" s="112">
        <f>($G$8)-($G$47*1.15)-$G$55</f>
        <v>1468.4070013005953</v>
      </c>
      <c r="Q29" s="112">
        <f>($G$8*1.05)-($G$47*1.15)-$G$55</f>
        <v>1686.1945013005957</v>
      </c>
      <c r="R29" s="112">
        <f>($G$8*1.1)-($G$47*1.15)-$G$55</f>
        <v>1903.982001300596</v>
      </c>
      <c r="S29" s="113">
        <f>($G$8*1.15)-($G$47*1.15)-$G$55</f>
        <v>2121.7695013005946</v>
      </c>
      <c r="V29" t="s">
        <v>107</v>
      </c>
    </row>
    <row r="30" spans="1:22" ht="16.5" customHeight="1">
      <c r="A30" s="7"/>
      <c r="B30" s="2"/>
      <c r="C30" s="2" t="s">
        <v>106</v>
      </c>
      <c r="D30" s="38" t="s">
        <v>55</v>
      </c>
      <c r="E30" s="66"/>
      <c r="F30" s="14"/>
      <c r="G30" s="78">
        <v>1.01</v>
      </c>
      <c r="H30" s="4"/>
      <c r="I30" s="4"/>
      <c r="J30" s="224"/>
      <c r="K30" s="59"/>
      <c r="L30" s="122" t="s">
        <v>82</v>
      </c>
      <c r="M30" s="114">
        <f>($G$8*0.85)-($G$47*1.1)-$G$55</f>
        <v>908.73204886309452</v>
      </c>
      <c r="N30" s="115">
        <f>($G$8*0.9)-($G$47*1.1)-$G$55</f>
        <v>1126.5195488630948</v>
      </c>
      <c r="O30" s="115">
        <f>($G$8*0.95)-($G$47*1.1)-$G$55</f>
        <v>1344.3070488630942</v>
      </c>
      <c r="P30" s="115">
        <f>($G$8)-($G$47*1.1)-$G$55</f>
        <v>1562.0945488630946</v>
      </c>
      <c r="Q30" s="115">
        <f>($G$8*1.05)-($G$47*1.1)-$G$55</f>
        <v>1779.882048863095</v>
      </c>
      <c r="R30" s="115">
        <f>($G$8*1.1)-($G$47*1.1)-$G$55</f>
        <v>1997.6695488630953</v>
      </c>
      <c r="S30" s="116">
        <f>($G$8*1.15)-($G$47*1.1)-$G$55</f>
        <v>2215.4570488630939</v>
      </c>
      <c r="V30" t="s">
        <v>107</v>
      </c>
    </row>
    <row r="31" spans="1:22" ht="16.5" customHeight="1">
      <c r="A31" s="7"/>
      <c r="C31" s="2" t="s">
        <v>108</v>
      </c>
      <c r="D31" s="38" t="s">
        <v>55</v>
      </c>
      <c r="E31" s="66"/>
      <c r="F31" s="14"/>
      <c r="G31" s="78">
        <v>0</v>
      </c>
      <c r="H31" s="4"/>
      <c r="I31" s="18"/>
      <c r="J31" s="224"/>
      <c r="K31" s="59"/>
      <c r="L31" s="122" t="s">
        <v>93</v>
      </c>
      <c r="M31" s="114">
        <f>($G$8*0.85)-($G$47*1.05)-$G$55</f>
        <v>1002.4195964255947</v>
      </c>
      <c r="N31" s="115">
        <f>($G$8*0.9)-($G$47*1.05)-$G$55</f>
        <v>1220.207096425595</v>
      </c>
      <c r="O31" s="115">
        <f>($G$8*0.95)-($G$47*1.05)-$G$55</f>
        <v>1437.9945964255944</v>
      </c>
      <c r="P31" s="115">
        <f>($G$8)-($G$47*1.05)-$G$55</f>
        <v>1655.7820964255948</v>
      </c>
      <c r="Q31" s="115">
        <f>($G$8*1.05)-($G$47*1.05)-$G$55</f>
        <v>1873.5695964255951</v>
      </c>
      <c r="R31" s="115">
        <f>($G$8*1.1)-($G$47*1.05)-$G$55</f>
        <v>2091.3570964255955</v>
      </c>
      <c r="S31" s="116">
        <f>($G$8*1.15)-($G$47*1.05)-$G$55</f>
        <v>2309.144596425594</v>
      </c>
    </row>
    <row r="32" spans="1:22" ht="16.5" customHeight="1">
      <c r="A32" s="7"/>
      <c r="C32" s="2" t="s">
        <v>109</v>
      </c>
      <c r="D32" s="38" t="s">
        <v>55</v>
      </c>
      <c r="E32" s="66"/>
      <c r="F32" s="14"/>
      <c r="G32" s="78">
        <v>0</v>
      </c>
      <c r="H32" s="4"/>
      <c r="I32" s="18"/>
      <c r="J32" s="224"/>
      <c r="K32" s="59"/>
      <c r="L32" s="122" t="s">
        <v>81</v>
      </c>
      <c r="M32" s="114">
        <f>($G$8*0.85)-($G$47)-$G$55</f>
        <v>1096.1071439880948</v>
      </c>
      <c r="N32" s="115">
        <f>($G$8*0.9)-($G$47)-$G$55</f>
        <v>1313.8946439880951</v>
      </c>
      <c r="O32" s="115">
        <f>($G$8*0.95)-($G$47)-$G$55</f>
        <v>1531.6821439880946</v>
      </c>
      <c r="P32" s="117">
        <f>($G$8)-($G$47)-$G$55</f>
        <v>1749.469643988095</v>
      </c>
      <c r="Q32" s="115">
        <f>($G$8*1.05)-($G$47)-$G$55</f>
        <v>1967.2571439880953</v>
      </c>
      <c r="R32" s="115">
        <f>($G$8*1.1)-($G$47)-$G$55</f>
        <v>2185.0446439880957</v>
      </c>
      <c r="S32" s="116">
        <f>($G$8*1.15)-($G$47)-$G$55</f>
        <v>2402.8321439880942</v>
      </c>
    </row>
    <row r="33" spans="1:22" ht="16.5" customHeight="1">
      <c r="A33" s="7"/>
      <c r="B33" s="2" t="s">
        <v>183</v>
      </c>
      <c r="C33" s="2"/>
      <c r="D33" s="3" t="s">
        <v>184</v>
      </c>
      <c r="E33" s="76">
        <v>400</v>
      </c>
      <c r="F33" s="78">
        <v>0.35</v>
      </c>
      <c r="G33" s="14">
        <f t="shared" ref="G33:G34" si="8">E33*F33</f>
        <v>140</v>
      </c>
      <c r="H33" s="4"/>
      <c r="I33" s="18"/>
      <c r="J33" s="224"/>
      <c r="K33" s="59"/>
      <c r="L33" s="122" t="s">
        <v>90</v>
      </c>
      <c r="M33" s="114">
        <f>($G$8*0.85)-($G$47*0.95)-$G$55</f>
        <v>1189.794691550595</v>
      </c>
      <c r="N33" s="115">
        <f>($G$8*0.9)-($G$47*0.95)-$G$55</f>
        <v>1407.5821915505953</v>
      </c>
      <c r="O33" s="115">
        <f>($G$8*0.95)-($G$47*0.95)-$G$55</f>
        <v>1625.3696915505948</v>
      </c>
      <c r="P33" s="115">
        <f>($G$8)-($G$47*0.95)-$G$55</f>
        <v>1843.1571915505951</v>
      </c>
      <c r="Q33" s="115">
        <f>($G$8*1.05)-($G$47*0.95)-$G$55</f>
        <v>2060.9446915505955</v>
      </c>
      <c r="R33" s="115">
        <f>($G$8*1.1)-($G$47*0.95)-$G$55</f>
        <v>2278.7321915505959</v>
      </c>
      <c r="S33" s="116">
        <f>($G$8*1.15)-($G$47*0.95)-$G$55</f>
        <v>2496.5196915505944</v>
      </c>
      <c r="V33" t="s">
        <v>185</v>
      </c>
    </row>
    <row r="34" spans="1:22" ht="16.5" customHeight="1">
      <c r="A34" s="7"/>
      <c r="B34" s="2" t="s">
        <v>186</v>
      </c>
      <c r="C34" s="2"/>
      <c r="D34" s="3" t="s">
        <v>67</v>
      </c>
      <c r="E34" s="76">
        <v>80</v>
      </c>
      <c r="F34" s="78">
        <v>1</v>
      </c>
      <c r="G34" s="14">
        <f t="shared" si="8"/>
        <v>80</v>
      </c>
      <c r="H34" s="4"/>
      <c r="I34" s="18"/>
      <c r="J34" s="224"/>
      <c r="K34" s="59"/>
      <c r="L34" s="122" t="s">
        <v>80</v>
      </c>
      <c r="M34" s="114">
        <f>($G$8*0.85)-($G$47*0.9)-$G$55</f>
        <v>1283.4822391130947</v>
      </c>
      <c r="N34" s="115">
        <f>($G$8*0.9)-($G$47*0.9)-$G$55</f>
        <v>1501.2697391130951</v>
      </c>
      <c r="O34" s="115">
        <f>($G$8*0.95)-($G$47*0.9)-$G$55</f>
        <v>1719.0572391130945</v>
      </c>
      <c r="P34" s="115">
        <f>($G$8)-($G$47*0.9)-$G$55</f>
        <v>1936.8447391130949</v>
      </c>
      <c r="Q34" s="115">
        <f>($G$8*1.05)-($G$47*0.9)-$G$55</f>
        <v>2154.6322391130952</v>
      </c>
      <c r="R34" s="115">
        <f>($G$8*1.1)-($G$47*0.9)-$G$55</f>
        <v>2372.4197391130956</v>
      </c>
      <c r="S34" s="116">
        <f>($G$8*1.15)-($G$47*0.9)-$G$55</f>
        <v>2590.2072391130941</v>
      </c>
      <c r="V34" t="s">
        <v>187</v>
      </c>
    </row>
    <row r="35" spans="1:22" ht="16.5" customHeight="1">
      <c r="A35" s="7"/>
      <c r="B35" s="2" t="s">
        <v>115</v>
      </c>
      <c r="C35" s="2"/>
      <c r="D35" s="3" t="s">
        <v>55</v>
      </c>
      <c r="E35" s="16">
        <f>SUM(E36:E40)</f>
        <v>50</v>
      </c>
      <c r="F35" s="2"/>
      <c r="G35" s="14">
        <f>SUMPRODUCT(E36:E40,F36:F40)</f>
        <v>930.00000000000011</v>
      </c>
      <c r="H35" s="4"/>
      <c r="I35" s="18"/>
      <c r="J35" s="225"/>
      <c r="K35" s="60"/>
      <c r="L35" s="123" t="s">
        <v>88</v>
      </c>
      <c r="M35" s="118">
        <f>($G$8*0.85)-($G$47*0.85)-$G$55</f>
        <v>1377.1697866755949</v>
      </c>
      <c r="N35" s="119">
        <f>($G$8*0.9)-($G$47*0.85)-$G$55</f>
        <v>1594.9572866755952</v>
      </c>
      <c r="O35" s="119">
        <f>($G$8*0.95)-($G$47*0.85)-$G$55</f>
        <v>1812.7447866755947</v>
      </c>
      <c r="P35" s="119">
        <f>($G$8)-($G$47*0.85)-$G$55</f>
        <v>2030.5322866755951</v>
      </c>
      <c r="Q35" s="119">
        <f>($G$8*1.05)-($G$47*0.85)-$G$55</f>
        <v>2248.3197866755954</v>
      </c>
      <c r="R35" s="119">
        <f>($G$8*1.1)-($G$47*0.85)-$G$55</f>
        <v>2466.1072866755958</v>
      </c>
      <c r="S35" s="120">
        <f>($G$8*1.15)-($G$47*0.85)-$G$55</f>
        <v>2683.8947866755943</v>
      </c>
    </row>
    <row r="36" spans="1:22" ht="16.5" customHeight="1">
      <c r="A36" s="7"/>
      <c r="B36" s="7"/>
      <c r="C36" s="2" t="s">
        <v>116</v>
      </c>
      <c r="D36" s="3" t="s">
        <v>117</v>
      </c>
      <c r="E36" s="76">
        <v>10</v>
      </c>
      <c r="F36" s="11">
        <v>18.600000000000001</v>
      </c>
      <c r="G36" s="14"/>
      <c r="H36" s="4"/>
      <c r="I36" s="4"/>
      <c r="V36" t="s">
        <v>118</v>
      </c>
    </row>
    <row r="37" spans="1:22" ht="16.5" customHeight="1">
      <c r="A37" s="7"/>
      <c r="B37" s="7"/>
      <c r="C37" s="2" t="s">
        <v>119</v>
      </c>
      <c r="D37" s="3" t="s">
        <v>117</v>
      </c>
      <c r="E37" s="76">
        <v>8</v>
      </c>
      <c r="F37" s="11">
        <v>18.600000000000001</v>
      </c>
      <c r="G37" s="14"/>
      <c r="H37" s="4"/>
      <c r="I37" s="4"/>
      <c r="V37" t="s">
        <v>118</v>
      </c>
    </row>
    <row r="38" spans="1:22" ht="16.5" customHeight="1">
      <c r="A38" s="4"/>
      <c r="B38" s="7"/>
      <c r="C38" s="2" t="s">
        <v>120</v>
      </c>
      <c r="D38" s="3" t="s">
        <v>117</v>
      </c>
      <c r="E38" s="76">
        <v>7</v>
      </c>
      <c r="F38" s="11">
        <v>18.600000000000001</v>
      </c>
      <c r="G38" s="14"/>
      <c r="H38" s="4"/>
      <c r="I38" s="4"/>
      <c r="V38" t="s">
        <v>118</v>
      </c>
    </row>
    <row r="39" spans="1:22" ht="16.5" customHeight="1">
      <c r="A39" s="4"/>
      <c r="B39" s="7"/>
      <c r="C39" s="2" t="s">
        <v>121</v>
      </c>
      <c r="D39" s="3" t="s">
        <v>117</v>
      </c>
      <c r="E39" s="76">
        <v>19</v>
      </c>
      <c r="F39" s="11">
        <v>18.600000000000001</v>
      </c>
      <c r="G39" s="14"/>
      <c r="H39" s="4"/>
      <c r="I39" s="4"/>
      <c r="V39" t="s">
        <v>118</v>
      </c>
    </row>
    <row r="40" spans="1:22" ht="16.5" customHeight="1">
      <c r="A40" s="4"/>
      <c r="B40" s="7"/>
      <c r="C40" s="2" t="s">
        <v>122</v>
      </c>
      <c r="D40" s="3" t="s">
        <v>117</v>
      </c>
      <c r="E40" s="76">
        <v>6</v>
      </c>
      <c r="F40" s="11">
        <v>18.600000000000001</v>
      </c>
      <c r="G40" s="14"/>
      <c r="H40" s="4"/>
      <c r="I40" s="4"/>
      <c r="V40" t="s">
        <v>118</v>
      </c>
    </row>
    <row r="41" spans="1:22" ht="16.5" customHeight="1">
      <c r="A41" s="4"/>
      <c r="B41" s="2" t="s">
        <v>123</v>
      </c>
      <c r="C41" s="2"/>
      <c r="D41" s="3"/>
      <c r="E41" s="66"/>
      <c r="F41" s="64"/>
      <c r="G41" s="14"/>
      <c r="H41" s="4"/>
      <c r="I41" s="4"/>
    </row>
    <row r="42" spans="1:22" ht="16.5" customHeight="1">
      <c r="A42" s="4"/>
      <c r="B42" s="2"/>
      <c r="C42" s="82" t="s">
        <v>302</v>
      </c>
      <c r="D42" s="151" t="s">
        <v>67</v>
      </c>
      <c r="E42" s="10">
        <v>998</v>
      </c>
      <c r="F42" s="11">
        <v>0.03</v>
      </c>
      <c r="G42" s="14">
        <f t="shared" ref="G42" si="9">E42*F42</f>
        <v>29.939999999999998</v>
      </c>
      <c r="H42" s="4"/>
      <c r="I42" s="4"/>
      <c r="V42" t="s">
        <v>188</v>
      </c>
    </row>
    <row r="43" spans="1:22" ht="16.5" customHeight="1">
      <c r="A43" s="4"/>
      <c r="B43" s="7"/>
      <c r="C43" s="82" t="s">
        <v>124</v>
      </c>
      <c r="D43" s="151" t="s">
        <v>67</v>
      </c>
      <c r="E43" s="76">
        <v>14</v>
      </c>
      <c r="F43" s="11">
        <v>3.4</v>
      </c>
      <c r="G43" s="14">
        <f t="shared" ref="G43" si="10">E43*F43</f>
        <v>47.6</v>
      </c>
      <c r="H43" s="4"/>
      <c r="I43" s="4"/>
      <c r="V43" t="s">
        <v>189</v>
      </c>
    </row>
    <row r="44" spans="1:22" ht="16.5" customHeight="1">
      <c r="A44" s="4"/>
      <c r="B44" s="2" t="s">
        <v>127</v>
      </c>
      <c r="C44" s="2"/>
      <c r="D44" s="19" t="s">
        <v>128</v>
      </c>
      <c r="E44" s="39"/>
      <c r="F44" s="135">
        <v>0.1</v>
      </c>
      <c r="G44" s="14">
        <f>G8*F44</f>
        <v>435.57500000000005</v>
      </c>
      <c r="H44" s="4"/>
      <c r="I44" s="4"/>
    </row>
    <row r="45" spans="1:22" ht="16.5" customHeight="1">
      <c r="A45" s="4"/>
      <c r="B45" s="2" t="s">
        <v>129</v>
      </c>
      <c r="C45" s="4"/>
      <c r="D45" s="3" t="s">
        <v>55</v>
      </c>
      <c r="E45" s="4"/>
      <c r="F45" s="4"/>
      <c r="G45" s="20">
        <v>10</v>
      </c>
      <c r="H45" s="4"/>
      <c r="I45" s="4"/>
    </row>
    <row r="46" spans="1:22" ht="16.5" customHeight="1">
      <c r="A46" s="4"/>
      <c r="B46" s="2" t="s">
        <v>130</v>
      </c>
      <c r="C46" s="4"/>
      <c r="D46" s="3" t="s">
        <v>7</v>
      </c>
      <c r="F46" s="94">
        <v>7.2499999999999995E-2</v>
      </c>
      <c r="G46" s="12">
        <f>SUM(G12:G45)/2*F46</f>
        <v>65.166951249999997</v>
      </c>
      <c r="H46" s="4"/>
      <c r="I46" s="4"/>
    </row>
    <row r="47" spans="1:22" ht="16.5" customHeight="1">
      <c r="A47" s="4"/>
      <c r="B47" s="4"/>
      <c r="C47" s="13" t="s">
        <v>131</v>
      </c>
      <c r="D47" s="3"/>
      <c r="E47" s="21"/>
      <c r="F47" s="2"/>
      <c r="G47" s="14">
        <f>SUM(G11:G46)</f>
        <v>1873.7509512500001</v>
      </c>
      <c r="H47" s="4"/>
      <c r="I47" s="4"/>
    </row>
    <row r="48" spans="1:22" ht="16.5" customHeight="1">
      <c r="A48" s="4"/>
      <c r="B48" s="4"/>
      <c r="C48" s="13"/>
      <c r="D48" s="3"/>
      <c r="E48" s="21"/>
      <c r="F48" s="2"/>
      <c r="G48" s="14"/>
      <c r="H48" s="4"/>
      <c r="I48" s="4"/>
    </row>
    <row r="49" spans="1:9" ht="16.5" customHeight="1">
      <c r="A49" s="4"/>
      <c r="B49" s="15" t="s">
        <v>132</v>
      </c>
      <c r="C49" s="15"/>
      <c r="D49" s="22" t="s">
        <v>4</v>
      </c>
      <c r="E49" s="9" t="s">
        <v>41</v>
      </c>
      <c r="F49" s="9" t="s">
        <v>42</v>
      </c>
      <c r="G49" s="9" t="s">
        <v>43</v>
      </c>
      <c r="H49" s="4"/>
      <c r="I49" s="4"/>
    </row>
    <row r="50" spans="1:9" ht="16.5" customHeight="1">
      <c r="B50" s="2" t="s">
        <v>133</v>
      </c>
      <c r="C50" s="2"/>
      <c r="D50" s="3" t="s">
        <v>134</v>
      </c>
      <c r="E50" s="23">
        <v>3</v>
      </c>
      <c r="F50" s="14">
        <f>Investment!G32/12</f>
        <v>137.56230158730159</v>
      </c>
      <c r="G50" s="26">
        <f>E50*F50</f>
        <v>412.68690476190477</v>
      </c>
    </row>
    <row r="51" spans="1:9" ht="15.75">
      <c r="B51" s="2" t="s">
        <v>135</v>
      </c>
      <c r="C51" s="2"/>
      <c r="D51" s="3" t="s">
        <v>136</v>
      </c>
      <c r="E51" s="96"/>
      <c r="F51" s="14"/>
      <c r="G51" s="14">
        <f>Investment!H32*($E$50/12)</f>
        <v>191.20500000000001</v>
      </c>
    </row>
    <row r="52" spans="1:9" ht="15.75">
      <c r="B52" s="2" t="s">
        <v>137</v>
      </c>
      <c r="C52" s="2"/>
      <c r="D52" s="3" t="s">
        <v>138</v>
      </c>
      <c r="E52" s="96"/>
      <c r="F52" s="94">
        <v>1.4999999999999999E-2</v>
      </c>
      <c r="G52" s="14">
        <f>Investment!D32*F52*($E$50/12)</f>
        <v>78.637500000000003</v>
      </c>
    </row>
    <row r="53" spans="1:9" ht="15.75">
      <c r="B53" s="2" t="s">
        <v>314</v>
      </c>
      <c r="C53" s="2"/>
      <c r="D53" s="3" t="s">
        <v>136</v>
      </c>
      <c r="E53" s="96"/>
      <c r="F53" s="14"/>
      <c r="G53" s="14">
        <f>Investment!E8*(E50/12)</f>
        <v>50</v>
      </c>
    </row>
    <row r="54" spans="1:9" ht="15.75">
      <c r="B54" s="2" t="s">
        <v>139</v>
      </c>
      <c r="C54" s="2"/>
      <c r="D54" s="3" t="s">
        <v>136</v>
      </c>
      <c r="E54" s="96"/>
      <c r="F54" s="14"/>
      <c r="G54" s="129">
        <v>0</v>
      </c>
    </row>
    <row r="55" spans="1:9" ht="16.5">
      <c r="B55" s="4"/>
      <c r="C55" s="13" t="s">
        <v>140</v>
      </c>
      <c r="E55" s="2"/>
      <c r="F55" s="2"/>
      <c r="G55" s="14">
        <f>SUM(G50:G54)</f>
        <v>732.52940476190486</v>
      </c>
    </row>
    <row r="56" spans="1:9" ht="16.5">
      <c r="B56" s="4"/>
      <c r="C56" s="13"/>
      <c r="E56" s="2"/>
      <c r="F56" s="2"/>
      <c r="G56" s="14"/>
    </row>
    <row r="57" spans="1:9" ht="16.5">
      <c r="B57" s="147"/>
      <c r="C57" s="77"/>
      <c r="D57" s="148"/>
      <c r="E57" s="9" t="s">
        <v>141</v>
      </c>
      <c r="F57" s="9" t="s">
        <v>190</v>
      </c>
      <c r="G57" s="9" t="s">
        <v>43</v>
      </c>
    </row>
    <row r="58" spans="1:9" ht="15.75">
      <c r="B58" s="5" t="s">
        <v>36</v>
      </c>
      <c r="C58" s="13"/>
      <c r="E58" s="141">
        <f>(G47+G55)/M6</f>
        <v>1.3031401780059526</v>
      </c>
      <c r="F58" s="141">
        <f>G58/SUM(E5:E6)</f>
        <v>1.959609290234515</v>
      </c>
      <c r="G58" s="141">
        <f>G47+G55</f>
        <v>2606.280356011905</v>
      </c>
    </row>
    <row r="59" spans="1:9" ht="16.5">
      <c r="B59" s="25" t="s">
        <v>143</v>
      </c>
      <c r="C59" s="150"/>
      <c r="D59" s="4"/>
      <c r="E59" s="141">
        <f>(G8-G47)/M6</f>
        <v>1.2409995243750001</v>
      </c>
      <c r="F59" s="141">
        <f>G59/SUM(E5:E6)</f>
        <v>1.8661646983082707</v>
      </c>
      <c r="G59" s="141">
        <f>G8-G47</f>
        <v>2481.9990487499999</v>
      </c>
    </row>
    <row r="60" spans="1:9" ht="16.5">
      <c r="B60" s="133" t="s">
        <v>144</v>
      </c>
      <c r="C60" s="133"/>
      <c r="D60" s="24"/>
      <c r="E60" s="142">
        <f>(G8-G58)/M6</f>
        <v>0.87473482199404751</v>
      </c>
      <c r="F60" s="142">
        <f>G60/SUM(E5:E6)</f>
        <v>1.3153907097654849</v>
      </c>
      <c r="G60" s="142">
        <f>G8-G58</f>
        <v>1749.469643988095</v>
      </c>
    </row>
    <row r="61" spans="1:9">
      <c r="B61" s="168" t="s">
        <v>191</v>
      </c>
      <c r="C61" s="168"/>
      <c r="D61" s="168"/>
      <c r="E61" s="168"/>
      <c r="F61" s="168"/>
      <c r="G61" s="168"/>
    </row>
    <row r="62" spans="1:9">
      <c r="B62" s="168" t="s">
        <v>192</v>
      </c>
      <c r="C62" s="168"/>
      <c r="D62" s="168"/>
      <c r="E62" s="168"/>
      <c r="F62" s="168"/>
      <c r="G62" s="168"/>
    </row>
    <row r="63" spans="1:9">
      <c r="B63" s="168" t="s">
        <v>146</v>
      </c>
      <c r="C63" s="168"/>
      <c r="D63" s="168"/>
      <c r="E63" s="168"/>
      <c r="F63" s="168"/>
      <c r="G63" s="168"/>
    </row>
    <row r="64" spans="1:9">
      <c r="B64" s="168" t="s">
        <v>147</v>
      </c>
      <c r="C64" s="168"/>
      <c r="D64" s="168"/>
      <c r="E64" s="168"/>
      <c r="F64" s="168"/>
      <c r="G64" s="168"/>
    </row>
  </sheetData>
  <mergeCells count="5">
    <mergeCell ref="B2:G2"/>
    <mergeCell ref="E3:G3"/>
    <mergeCell ref="M27:S27"/>
    <mergeCell ref="J29:J35"/>
    <mergeCell ref="J16:J23"/>
  </mergeCells>
  <phoneticPr fontId="30" type="noConversion"/>
  <conditionalFormatting sqref="E10">
    <cfRule type="expression" dxfId="49" priority="9">
      <formula>$G$1="no"</formula>
    </cfRule>
  </conditionalFormatting>
  <conditionalFormatting sqref="E49">
    <cfRule type="expression" dxfId="48" priority="8">
      <formula>$G$1="no"</formula>
    </cfRule>
  </conditionalFormatting>
  <conditionalFormatting sqref="E57">
    <cfRule type="expression" dxfId="47" priority="1">
      <formula>$G$1="no"</formula>
    </cfRule>
  </conditionalFormatting>
  <conditionalFormatting sqref="E4:G4">
    <cfRule type="expression" dxfId="46" priority="5">
      <formula>$G$1="no"</formula>
    </cfRule>
  </conditionalFormatting>
  <conditionalFormatting sqref="G10">
    <cfRule type="expression" dxfId="45" priority="4">
      <formula>$G$1="no"</formula>
    </cfRule>
  </conditionalFormatting>
  <conditionalFormatting sqref="G49">
    <cfRule type="expression" dxfId="44" priority="3">
      <formula>$G$1="no"</formula>
    </cfRule>
  </conditionalFormatting>
  <conditionalFormatting sqref="G57">
    <cfRule type="expression" dxfId="43" priority="2">
      <formula>$G$1="no"</formula>
    </cfRule>
  </conditionalFormatting>
  <conditionalFormatting sqref="M17:S23">
    <cfRule type="cellIs" dxfId="42" priority="7" operator="lessThan">
      <formula>0</formula>
    </cfRule>
  </conditionalFormatting>
  <conditionalFormatting sqref="M29:S35">
    <cfRule type="cellIs" dxfId="41" priority="6" operator="lessThan">
      <formula>0</formula>
    </cfRule>
  </conditionalFormatting>
  <pageMargins left="0.7" right="0.7" top="0.75" bottom="0.75" header="0.3" footer="0.3"/>
  <ignoredErrors>
    <ignoredError sqref="L20 P16 E5:E6" unlockedFormula="1"/>
    <ignoredError sqref="M32:S32" formula="1"/>
    <ignoredError sqref="F59" evalError="1"/>
    <ignoredError sqref="C23"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85F7A-8EE5-4EA6-9A78-C16DD31680ED}">
  <dimension ref="A1:V66"/>
  <sheetViews>
    <sheetView showGridLines="0" topLeftCell="A39" zoomScale="120" zoomScaleNormal="120" workbookViewId="0">
      <selection activeCell="B56" sqref="B56"/>
    </sheetView>
  </sheetViews>
  <sheetFormatPr defaultRowHeight="16.5" customHeight="1"/>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9" width="3.125" customWidth="1"/>
    <col min="11" max="19" width="10.625" customWidth="1"/>
    <col min="20" max="20" width="3.125" customWidth="1"/>
  </cols>
  <sheetData>
    <row r="1" spans="1:22">
      <c r="A1" s="4"/>
      <c r="B1" s="4"/>
      <c r="C1" s="5"/>
      <c r="H1" s="4"/>
      <c r="I1" s="4"/>
    </row>
    <row r="2" spans="1:22" ht="21">
      <c r="A2" s="4"/>
      <c r="B2" s="221" t="s">
        <v>193</v>
      </c>
      <c r="C2" s="222"/>
      <c r="D2" s="222"/>
      <c r="E2" s="222"/>
      <c r="F2" s="222"/>
      <c r="G2" s="222"/>
      <c r="H2" s="4"/>
      <c r="I2" s="1"/>
      <c r="T2" s="1"/>
    </row>
    <row r="3" spans="1:22" ht="16.5" customHeight="1">
      <c r="A3" s="4"/>
      <c r="B3" s="97"/>
      <c r="C3" s="97"/>
      <c r="D3" s="97"/>
      <c r="E3" s="97"/>
      <c r="F3" s="97"/>
      <c r="G3" s="97"/>
      <c r="H3" s="4"/>
      <c r="I3" s="1"/>
      <c r="T3" s="1"/>
    </row>
    <row r="4" spans="1:22" ht="16.5" customHeight="1">
      <c r="A4" s="7"/>
      <c r="B4" s="170" t="s">
        <v>194</v>
      </c>
      <c r="C4" s="99"/>
      <c r="D4" s="97"/>
      <c r="E4" s="97"/>
      <c r="F4" s="97"/>
      <c r="G4" s="97"/>
      <c r="H4" s="4"/>
      <c r="I4" s="1"/>
      <c r="T4" s="1"/>
    </row>
    <row r="5" spans="1:22" ht="16.5" customHeight="1">
      <c r="A5" s="7"/>
      <c r="B5" s="4"/>
      <c r="C5" s="6"/>
      <c r="D5" s="6"/>
      <c r="E5" s="223"/>
      <c r="F5" s="223"/>
      <c r="G5" s="223"/>
      <c r="H5" s="4"/>
      <c r="I5" s="1"/>
      <c r="T5" s="1"/>
      <c r="V5" s="162" t="s">
        <v>39</v>
      </c>
    </row>
    <row r="6" spans="1:22" ht="16.5" customHeight="1">
      <c r="A6" s="7"/>
      <c r="B6" s="8" t="s">
        <v>40</v>
      </c>
      <c r="C6" s="8"/>
      <c r="D6" s="8" t="s">
        <v>4</v>
      </c>
      <c r="E6" s="9" t="s">
        <v>41</v>
      </c>
      <c r="F6" s="9" t="s">
        <v>42</v>
      </c>
      <c r="G6" s="9" t="s">
        <v>43</v>
      </c>
      <c r="H6" s="4"/>
      <c r="I6" s="1"/>
      <c r="J6" s="71" t="s">
        <v>44</v>
      </c>
      <c r="T6" s="1"/>
    </row>
    <row r="7" spans="1:22" ht="16.5" customHeight="1">
      <c r="A7" s="7"/>
      <c r="B7" s="82" t="s">
        <v>195</v>
      </c>
      <c r="C7" s="82"/>
      <c r="D7" s="3" t="s">
        <v>46</v>
      </c>
      <c r="E7" s="159">
        <f>M9*M10*M11*M12</f>
        <v>822.9375</v>
      </c>
      <c r="F7" s="78">
        <v>5.2</v>
      </c>
      <c r="G7" s="14">
        <f>E7*F7</f>
        <v>4279.2750000000005</v>
      </c>
      <c r="H7" s="4"/>
      <c r="I7" s="1"/>
      <c r="J7" s="153" t="s">
        <v>47</v>
      </c>
      <c r="K7" s="148"/>
      <c r="L7" s="148"/>
      <c r="M7" s="161" t="s">
        <v>48</v>
      </c>
      <c r="N7" s="160" t="s">
        <v>4</v>
      </c>
      <c r="O7" s="148"/>
      <c r="T7" s="1"/>
      <c r="V7" t="s">
        <v>196</v>
      </c>
    </row>
    <row r="8" spans="1:22" ht="16.5" customHeight="1">
      <c r="A8" s="7"/>
      <c r="B8" s="82" t="s">
        <v>197</v>
      </c>
      <c r="C8" s="82"/>
      <c r="D8" s="3" t="s">
        <v>46</v>
      </c>
      <c r="E8" s="159">
        <f>M9*M10*M11*M13</f>
        <v>274.3125</v>
      </c>
      <c r="F8" s="78">
        <v>1.7</v>
      </c>
      <c r="G8" s="14">
        <f>E8*F8</f>
        <v>466.33125000000001</v>
      </c>
      <c r="H8" s="4"/>
      <c r="I8" s="1"/>
      <c r="J8" s="136" t="s">
        <v>51</v>
      </c>
      <c r="M8" s="79">
        <v>2000</v>
      </c>
      <c r="N8" s="3" t="s">
        <v>52</v>
      </c>
      <c r="T8" s="1"/>
      <c r="V8" t="s">
        <v>198</v>
      </c>
    </row>
    <row r="9" spans="1:22" ht="16.5" customHeight="1">
      <c r="A9" s="7"/>
      <c r="B9" s="2" t="s">
        <v>54</v>
      </c>
      <c r="C9" s="2"/>
      <c r="D9" s="3" t="s">
        <v>55</v>
      </c>
      <c r="E9" s="130"/>
      <c r="F9" s="131"/>
      <c r="G9" s="129">
        <v>0</v>
      </c>
      <c r="H9" s="4"/>
      <c r="I9" s="1"/>
      <c r="J9" s="136" t="s">
        <v>56</v>
      </c>
      <c r="M9" s="79">
        <v>1050</v>
      </c>
      <c r="N9" s="3" t="s">
        <v>57</v>
      </c>
      <c r="T9" s="1"/>
      <c r="V9" t="s">
        <v>199</v>
      </c>
    </row>
    <row r="10" spans="1:22" ht="16.5" customHeight="1">
      <c r="A10" s="7"/>
      <c r="B10" s="7"/>
      <c r="C10" s="13" t="s">
        <v>59</v>
      </c>
      <c r="E10" s="2"/>
      <c r="F10" s="2"/>
      <c r="G10" s="14">
        <f>SUM(G7:G9)</f>
        <v>4745.6062500000007</v>
      </c>
      <c r="H10" s="4"/>
      <c r="I10" s="1"/>
      <c r="J10" s="136" t="s">
        <v>200</v>
      </c>
      <c r="M10" s="80">
        <v>1.1000000000000001</v>
      </c>
      <c r="N10" s="3" t="s">
        <v>61</v>
      </c>
      <c r="T10" s="1"/>
      <c r="V10" t="s">
        <v>201</v>
      </c>
    </row>
    <row r="11" spans="1:22" ht="16.5" customHeight="1">
      <c r="A11" s="7"/>
      <c r="B11" s="7"/>
      <c r="C11" s="13"/>
      <c r="E11" s="2"/>
      <c r="F11" s="2"/>
      <c r="G11" s="14"/>
      <c r="H11" s="4"/>
      <c r="I11" s="1"/>
      <c r="J11" s="136" t="s">
        <v>169</v>
      </c>
      <c r="M11" s="165">
        <v>0.95</v>
      </c>
      <c r="N11" s="3" t="s">
        <v>170</v>
      </c>
      <c r="T11" s="1"/>
      <c r="V11" t="s">
        <v>171</v>
      </c>
    </row>
    <row r="12" spans="1:22" ht="16.5" customHeight="1">
      <c r="A12" s="7"/>
      <c r="B12" s="15" t="s">
        <v>64</v>
      </c>
      <c r="C12" s="15"/>
      <c r="D12" s="8" t="s">
        <v>4</v>
      </c>
      <c r="E12" s="9" t="s">
        <v>41</v>
      </c>
      <c r="F12" s="9" t="s">
        <v>42</v>
      </c>
      <c r="G12" s="9" t="s">
        <v>43</v>
      </c>
      <c r="H12" s="4"/>
      <c r="I12" s="1"/>
      <c r="J12" s="136" t="s">
        <v>62</v>
      </c>
      <c r="M12" s="157">
        <v>0.75</v>
      </c>
      <c r="N12" s="3" t="s">
        <v>63</v>
      </c>
      <c r="T12" s="1"/>
    </row>
    <row r="13" spans="1:22" ht="16.5" customHeight="1">
      <c r="A13" s="7"/>
      <c r="B13" s="2" t="s">
        <v>172</v>
      </c>
      <c r="C13" s="2"/>
      <c r="D13" s="3" t="s">
        <v>173</v>
      </c>
      <c r="E13" s="10">
        <v>1.2</v>
      </c>
      <c r="F13" s="11">
        <v>7.25</v>
      </c>
      <c r="G13" s="14">
        <f t="shared" ref="G13:G15" si="0">E13*F13</f>
        <v>8.6999999999999993</v>
      </c>
      <c r="H13" s="4"/>
      <c r="I13" s="1"/>
      <c r="J13" s="156" t="s">
        <v>65</v>
      </c>
      <c r="K13" s="154"/>
      <c r="L13" s="154"/>
      <c r="M13" s="158">
        <v>0.25</v>
      </c>
      <c r="N13" s="155" t="s">
        <v>63</v>
      </c>
      <c r="O13" s="154"/>
      <c r="T13" s="1"/>
    </row>
    <row r="14" spans="1:22" ht="16.5" customHeight="1">
      <c r="A14" s="7"/>
      <c r="B14" s="2" t="s">
        <v>175</v>
      </c>
      <c r="C14" s="2"/>
      <c r="D14" s="3" t="s">
        <v>176</v>
      </c>
      <c r="E14" s="10">
        <v>1.2</v>
      </c>
      <c r="F14" s="11">
        <v>10.15</v>
      </c>
      <c r="G14" s="14">
        <f t="shared" si="0"/>
        <v>12.18</v>
      </c>
      <c r="H14" s="4"/>
      <c r="I14" s="1"/>
      <c r="T14" s="1"/>
      <c r="V14" t="s">
        <v>202</v>
      </c>
    </row>
    <row r="15" spans="1:22" ht="16.5" customHeight="1">
      <c r="A15" s="7"/>
      <c r="B15" s="2" t="s">
        <v>178</v>
      </c>
      <c r="C15" s="2"/>
      <c r="D15" s="3" t="s">
        <v>67</v>
      </c>
      <c r="E15" s="10">
        <v>9</v>
      </c>
      <c r="F15" s="11">
        <v>3</v>
      </c>
      <c r="G15" s="14">
        <f t="shared" si="0"/>
        <v>27</v>
      </c>
      <c r="H15" s="4"/>
      <c r="I15" s="1"/>
      <c r="J15" s="71" t="s">
        <v>70</v>
      </c>
      <c r="K15" s="71"/>
      <c r="L15" s="71"/>
      <c r="M15" s="71"/>
      <c r="N15" s="71"/>
      <c r="O15" s="71"/>
      <c r="P15" s="71"/>
      <c r="Q15" s="71"/>
      <c r="R15" s="71"/>
      <c r="S15" s="71"/>
      <c r="T15" s="1"/>
      <c r="V15" t="s">
        <v>203</v>
      </c>
    </row>
    <row r="16" spans="1:22" ht="16.5" customHeight="1">
      <c r="A16" s="7"/>
      <c r="B16" s="2" t="s">
        <v>69</v>
      </c>
      <c r="C16" s="2"/>
      <c r="D16" s="3" t="s">
        <v>67</v>
      </c>
      <c r="E16" s="67">
        <v>1</v>
      </c>
      <c r="F16" s="11">
        <v>25</v>
      </c>
      <c r="G16" s="14">
        <f t="shared" ref="G16:G17" si="1">E16*F16</f>
        <v>25</v>
      </c>
      <c r="H16" s="4"/>
      <c r="I16" s="1"/>
      <c r="J16" s="28" t="s">
        <v>73</v>
      </c>
      <c r="K16" s="106"/>
      <c r="L16" s="106"/>
      <c r="M16" s="106"/>
      <c r="N16" s="106"/>
      <c r="O16" s="106"/>
      <c r="P16" s="106"/>
      <c r="Q16" s="106"/>
      <c r="R16" s="106"/>
      <c r="S16" s="106"/>
      <c r="T16" s="1"/>
      <c r="V16" t="s">
        <v>204</v>
      </c>
    </row>
    <row r="17" spans="1:22" ht="16.5" customHeight="1">
      <c r="A17" s="7"/>
      <c r="B17" s="2" t="s">
        <v>72</v>
      </c>
      <c r="C17" s="2"/>
      <c r="D17" s="3" t="s">
        <v>67</v>
      </c>
      <c r="E17" s="67">
        <v>1</v>
      </c>
      <c r="F17" s="11">
        <v>40</v>
      </c>
      <c r="G17" s="14">
        <f t="shared" si="1"/>
        <v>40</v>
      </c>
      <c r="H17" s="4"/>
      <c r="I17" s="1"/>
      <c r="J17" s="29"/>
      <c r="K17" s="30"/>
      <c r="L17" s="108"/>
      <c r="M17" s="109"/>
      <c r="N17" s="104"/>
      <c r="O17" s="104"/>
      <c r="P17" s="107" t="s">
        <v>205</v>
      </c>
      <c r="Q17" s="104"/>
      <c r="R17" s="104"/>
      <c r="S17" s="105"/>
      <c r="T17" s="1"/>
      <c r="V17" t="s">
        <v>71</v>
      </c>
    </row>
    <row r="18" spans="1:22" ht="16.5" customHeight="1">
      <c r="A18" s="7"/>
      <c r="B18" s="2" t="s">
        <v>75</v>
      </c>
      <c r="C18" s="2"/>
      <c r="D18" s="3" t="s">
        <v>55</v>
      </c>
      <c r="E18" s="128"/>
      <c r="F18" s="64"/>
      <c r="G18" s="14">
        <f>SUMPRODUCT(E19:E21,F19:F21)</f>
        <v>0</v>
      </c>
      <c r="H18" s="4"/>
      <c r="I18" s="1"/>
      <c r="J18" s="231" t="s">
        <v>206</v>
      </c>
      <c r="K18" s="46"/>
      <c r="L18" s="47"/>
      <c r="M18" s="48" t="s">
        <v>78</v>
      </c>
      <c r="N18" s="48" t="s">
        <v>79</v>
      </c>
      <c r="O18" s="48" t="s">
        <v>80</v>
      </c>
      <c r="P18" s="48" t="s">
        <v>81</v>
      </c>
      <c r="Q18" s="48" t="s">
        <v>82</v>
      </c>
      <c r="R18" s="48" t="s">
        <v>83</v>
      </c>
      <c r="S18" s="49" t="s">
        <v>84</v>
      </c>
      <c r="T18" s="1"/>
      <c r="V18" t="s">
        <v>74</v>
      </c>
    </row>
    <row r="19" spans="1:22" ht="16.5" customHeight="1">
      <c r="A19" s="7"/>
      <c r="B19" s="2"/>
      <c r="C19" s="82" t="s">
        <v>77</v>
      </c>
      <c r="D19" s="151" t="s">
        <v>46</v>
      </c>
      <c r="E19" s="10">
        <v>0</v>
      </c>
      <c r="F19" s="11">
        <v>0</v>
      </c>
      <c r="G19" s="14"/>
      <c r="H19" s="4"/>
      <c r="I19" s="1"/>
      <c r="J19" s="224"/>
      <c r="K19" s="51"/>
      <c r="L19" s="52"/>
      <c r="M19" s="40">
        <f>P19*70%</f>
        <v>768.07499999999993</v>
      </c>
      <c r="N19" s="40">
        <f>P19*80%</f>
        <v>877.80000000000007</v>
      </c>
      <c r="O19" s="40">
        <f>P19*90%</f>
        <v>987.52499999999998</v>
      </c>
      <c r="P19" s="41">
        <f>E7+E8</f>
        <v>1097.25</v>
      </c>
      <c r="Q19" s="40">
        <f>P19*110%</f>
        <v>1206.9750000000001</v>
      </c>
      <c r="R19" s="40">
        <f>P19*120%</f>
        <v>1316.7</v>
      </c>
      <c r="S19" s="42">
        <f>P19*130%</f>
        <v>1426.425</v>
      </c>
      <c r="T19" s="1"/>
    </row>
    <row r="20" spans="1:22" ht="16.5" customHeight="1">
      <c r="A20" s="7"/>
      <c r="B20" s="2"/>
      <c r="C20" s="82" t="s">
        <v>85</v>
      </c>
      <c r="D20" s="151" t="s">
        <v>46</v>
      </c>
      <c r="E20" s="10">
        <v>0</v>
      </c>
      <c r="F20" s="11">
        <v>0</v>
      </c>
      <c r="G20" s="14"/>
      <c r="H20" s="4"/>
      <c r="I20" s="1"/>
      <c r="J20" s="224"/>
      <c r="K20" s="101" t="s">
        <v>88</v>
      </c>
      <c r="L20" s="54">
        <f>L23*85%</f>
        <v>3.6762500000000009</v>
      </c>
      <c r="M20" s="111">
        <f t="shared" ref="M20:M26" si="2">(L20*$M$19)+$G$9-$G$60</f>
        <v>-184.6917211681548</v>
      </c>
      <c r="N20" s="112">
        <f t="shared" ref="N20:N26" si="3">(L20*$N$19)+$G$9-$G$60</f>
        <v>218.68481008184608</v>
      </c>
      <c r="O20" s="112">
        <f t="shared" ref="O20:O26" si="4">(L20*$O$19)+$G$9-$G$60</f>
        <v>622.0613413318456</v>
      </c>
      <c r="P20" s="112">
        <f t="shared" ref="P20:P26" si="5">(L20*$P$19)+$G$9-$G$60</f>
        <v>1025.437872581846</v>
      </c>
      <c r="Q20" s="112">
        <f t="shared" ref="Q20:Q26" si="6">(L20*$Q$19)+$G$9-$G$60</f>
        <v>1428.8144038318464</v>
      </c>
      <c r="R20" s="112">
        <f t="shared" ref="R20:R26" si="7">(L20*$R$19)+$G$9-$G$60</f>
        <v>1832.1909350818464</v>
      </c>
      <c r="S20" s="113">
        <f t="shared" ref="S20:S26" si="8">(L20*$S$19)+$G$9-$G$60</f>
        <v>2235.5674663318464</v>
      </c>
      <c r="T20" s="1"/>
    </row>
    <row r="21" spans="1:22" ht="16.5" customHeight="1">
      <c r="A21" s="7"/>
      <c r="B21" s="2"/>
      <c r="C21" s="82" t="s">
        <v>86</v>
      </c>
      <c r="D21" s="151" t="s">
        <v>46</v>
      </c>
      <c r="E21" s="10">
        <v>0</v>
      </c>
      <c r="F21" s="11">
        <v>0</v>
      </c>
      <c r="G21" s="14"/>
      <c r="H21" s="4"/>
      <c r="I21" s="1"/>
      <c r="J21" s="224"/>
      <c r="K21" s="101" t="s">
        <v>80</v>
      </c>
      <c r="L21" s="54">
        <f>L23*90%</f>
        <v>3.892500000000001</v>
      </c>
      <c r="M21" s="114">
        <f t="shared" si="2"/>
        <v>-18.59550241815441</v>
      </c>
      <c r="N21" s="115">
        <f t="shared" si="3"/>
        <v>408.5090600818462</v>
      </c>
      <c r="O21" s="115">
        <f t="shared" si="4"/>
        <v>835.6136225818459</v>
      </c>
      <c r="P21" s="115">
        <f t="shared" si="5"/>
        <v>1262.7181850818456</v>
      </c>
      <c r="Q21" s="115">
        <f t="shared" si="6"/>
        <v>1689.8227475818462</v>
      </c>
      <c r="R21" s="115">
        <f t="shared" si="7"/>
        <v>2116.9273100818468</v>
      </c>
      <c r="S21" s="116">
        <f t="shared" si="8"/>
        <v>2544.0318725818465</v>
      </c>
      <c r="T21" s="1"/>
    </row>
    <row r="22" spans="1:22" ht="16.5" customHeight="1">
      <c r="A22" s="7"/>
      <c r="B22" s="2" t="s">
        <v>89</v>
      </c>
      <c r="C22" s="2"/>
      <c r="D22" s="3" t="s">
        <v>55</v>
      </c>
      <c r="E22" s="66"/>
      <c r="F22" s="14"/>
      <c r="G22" s="14">
        <f>SUMPRODUCT(E23:E25,F23:F25)</f>
        <v>0</v>
      </c>
      <c r="H22" s="4"/>
      <c r="I22" s="1"/>
      <c r="J22" s="224"/>
      <c r="K22" s="102" t="s">
        <v>90</v>
      </c>
      <c r="L22" s="54">
        <f>L23*0.95</f>
        <v>4.1087500000000006</v>
      </c>
      <c r="M22" s="114">
        <f t="shared" si="2"/>
        <v>147.50071633184507</v>
      </c>
      <c r="N22" s="115">
        <f t="shared" si="3"/>
        <v>598.33331008184587</v>
      </c>
      <c r="O22" s="115">
        <f t="shared" si="4"/>
        <v>1049.1659038318453</v>
      </c>
      <c r="P22" s="115">
        <f t="shared" si="5"/>
        <v>1499.9984975818456</v>
      </c>
      <c r="Q22" s="115">
        <f t="shared" si="6"/>
        <v>1950.831091331846</v>
      </c>
      <c r="R22" s="115">
        <f t="shared" si="7"/>
        <v>2401.6636850818463</v>
      </c>
      <c r="S22" s="116">
        <f t="shared" si="8"/>
        <v>2852.4962788318458</v>
      </c>
      <c r="T22" s="1"/>
    </row>
    <row r="23" spans="1:22" ht="16.5" customHeight="1">
      <c r="A23" s="7"/>
      <c r="B23" s="2"/>
      <c r="C23" s="152" t="s">
        <v>77</v>
      </c>
      <c r="D23" s="17" t="s">
        <v>46</v>
      </c>
      <c r="E23" s="76">
        <v>0</v>
      </c>
      <c r="F23" s="78">
        <v>0</v>
      </c>
      <c r="G23" s="14"/>
      <c r="H23" s="4"/>
      <c r="I23" s="1"/>
      <c r="J23" s="224"/>
      <c r="K23" s="101" t="s">
        <v>81</v>
      </c>
      <c r="L23" s="32">
        <f>SUMPRODUCT(F7:F8,E7:E8)/SUM(E7:E8)</f>
        <v>4.3250000000000011</v>
      </c>
      <c r="M23" s="114">
        <f t="shared" si="2"/>
        <v>313.59693508184546</v>
      </c>
      <c r="N23" s="115">
        <f t="shared" si="3"/>
        <v>788.15756008184599</v>
      </c>
      <c r="O23" s="115">
        <f t="shared" si="4"/>
        <v>1262.7181850818456</v>
      </c>
      <c r="P23" s="117">
        <f t="shared" si="5"/>
        <v>1737.2788100818457</v>
      </c>
      <c r="Q23" s="115">
        <f t="shared" si="6"/>
        <v>2211.8394350818467</v>
      </c>
      <c r="R23" s="115">
        <f t="shared" si="7"/>
        <v>2686.4000600818467</v>
      </c>
      <c r="S23" s="116">
        <f t="shared" si="8"/>
        <v>3160.9606850818459</v>
      </c>
      <c r="T23" s="1"/>
    </row>
    <row r="24" spans="1:22" ht="16.5" customHeight="1">
      <c r="A24" s="7"/>
      <c r="B24" s="2"/>
      <c r="C24" s="152" t="s">
        <v>91</v>
      </c>
      <c r="D24" s="17" t="s">
        <v>46</v>
      </c>
      <c r="E24" s="76">
        <v>0</v>
      </c>
      <c r="F24" s="78">
        <v>0</v>
      </c>
      <c r="G24" s="14"/>
      <c r="H24" s="4"/>
      <c r="I24" s="1"/>
      <c r="J24" s="224"/>
      <c r="K24" s="101" t="s">
        <v>93</v>
      </c>
      <c r="L24" s="54">
        <f>L23*105%</f>
        <v>4.5412500000000016</v>
      </c>
      <c r="M24" s="114">
        <f t="shared" si="2"/>
        <v>479.69315383184585</v>
      </c>
      <c r="N24" s="115">
        <f t="shared" si="3"/>
        <v>977.98181008184656</v>
      </c>
      <c r="O24" s="115">
        <f t="shared" si="4"/>
        <v>1476.2704663318468</v>
      </c>
      <c r="P24" s="115">
        <f t="shared" si="5"/>
        <v>1974.5591225818466</v>
      </c>
      <c r="Q24" s="115">
        <f t="shared" si="6"/>
        <v>2472.8477788318473</v>
      </c>
      <c r="R24" s="115">
        <f t="shared" si="7"/>
        <v>2971.1364350818471</v>
      </c>
      <c r="S24" s="116">
        <f t="shared" si="8"/>
        <v>3469.4250913318469</v>
      </c>
      <c r="T24" s="1"/>
    </row>
    <row r="25" spans="1:22" ht="16.5" customHeight="1">
      <c r="A25" s="7"/>
      <c r="B25" s="2"/>
      <c r="C25" s="152" t="s">
        <v>92</v>
      </c>
      <c r="D25" s="17" t="s">
        <v>46</v>
      </c>
      <c r="E25" s="76">
        <v>0</v>
      </c>
      <c r="F25" s="78">
        <v>0</v>
      </c>
      <c r="G25" s="14"/>
      <c r="H25" s="4"/>
      <c r="I25" s="1"/>
      <c r="J25" s="224"/>
      <c r="K25" s="101" t="s">
        <v>82</v>
      </c>
      <c r="L25" s="54">
        <f>L23*110%</f>
        <v>4.7575000000000012</v>
      </c>
      <c r="M25" s="114">
        <f t="shared" si="2"/>
        <v>645.78937258184533</v>
      </c>
      <c r="N25" s="115">
        <f t="shared" si="3"/>
        <v>1167.8060600818467</v>
      </c>
      <c r="O25" s="115">
        <f t="shared" si="4"/>
        <v>1689.8227475818462</v>
      </c>
      <c r="P25" s="115">
        <f t="shared" si="5"/>
        <v>2211.8394350818467</v>
      </c>
      <c r="Q25" s="115">
        <f t="shared" si="6"/>
        <v>2733.8561225818471</v>
      </c>
      <c r="R25" s="115">
        <f t="shared" si="7"/>
        <v>3255.8728100818466</v>
      </c>
      <c r="S25" s="116">
        <f t="shared" si="8"/>
        <v>3777.8894975818462</v>
      </c>
      <c r="T25" s="1"/>
    </row>
    <row r="26" spans="1:22" ht="16.5" customHeight="1">
      <c r="A26" s="7"/>
      <c r="B26" s="2" t="s">
        <v>94</v>
      </c>
      <c r="D26" s="3" t="s">
        <v>55</v>
      </c>
      <c r="E26" s="66"/>
      <c r="F26" s="14"/>
      <c r="G26" s="14">
        <f>SUMPRODUCT(E27:E29,F27:F29)</f>
        <v>0</v>
      </c>
      <c r="H26" s="4"/>
      <c r="I26" s="4"/>
      <c r="J26" s="225"/>
      <c r="K26" s="103" t="s">
        <v>96</v>
      </c>
      <c r="L26" s="57">
        <f>L23*115%</f>
        <v>4.9737500000000008</v>
      </c>
      <c r="M26" s="118">
        <f t="shared" si="2"/>
        <v>811.88559133184526</v>
      </c>
      <c r="N26" s="119">
        <f t="shared" si="3"/>
        <v>1357.6303100818463</v>
      </c>
      <c r="O26" s="119">
        <f t="shared" si="4"/>
        <v>1903.3750288318456</v>
      </c>
      <c r="P26" s="119">
        <f t="shared" si="5"/>
        <v>2449.1197475818458</v>
      </c>
      <c r="Q26" s="119">
        <f t="shared" si="6"/>
        <v>2994.8644663318469</v>
      </c>
      <c r="R26" s="119">
        <f t="shared" si="7"/>
        <v>3540.6091850818461</v>
      </c>
      <c r="S26" s="120">
        <f t="shared" si="8"/>
        <v>4086.3539038318454</v>
      </c>
      <c r="T26" s="1"/>
    </row>
    <row r="27" spans="1:22" ht="16.5" customHeight="1">
      <c r="A27" s="7"/>
      <c r="B27" s="2"/>
      <c r="C27" s="152" t="s">
        <v>95</v>
      </c>
      <c r="D27" s="17" t="s">
        <v>46</v>
      </c>
      <c r="E27" s="76">
        <v>0</v>
      </c>
      <c r="F27" s="78">
        <v>0.17</v>
      </c>
      <c r="G27" s="14"/>
      <c r="H27" s="4"/>
      <c r="I27" s="4"/>
      <c r="J27" s="28"/>
      <c r="K27" s="28"/>
      <c r="L27" s="28"/>
      <c r="M27" s="28"/>
      <c r="N27" s="28"/>
      <c r="O27" s="28"/>
      <c r="P27" s="28"/>
      <c r="Q27" s="28"/>
      <c r="R27" s="28"/>
      <c r="S27" s="28"/>
    </row>
    <row r="28" spans="1:22" ht="16.5" customHeight="1">
      <c r="A28" s="7"/>
      <c r="B28" s="2"/>
      <c r="C28" s="152" t="s">
        <v>97</v>
      </c>
      <c r="D28" s="17" t="s">
        <v>46</v>
      </c>
      <c r="E28" s="76">
        <v>0</v>
      </c>
      <c r="F28" s="78">
        <v>0.75</v>
      </c>
      <c r="G28" s="14"/>
      <c r="H28" s="4"/>
      <c r="I28" s="18"/>
      <c r="J28" s="81" t="s">
        <v>100</v>
      </c>
      <c r="K28" s="81"/>
      <c r="L28" s="81"/>
      <c r="M28" s="81"/>
      <c r="N28" s="81"/>
      <c r="O28" s="81"/>
      <c r="P28" s="81"/>
      <c r="Q28" s="81"/>
      <c r="R28" s="81"/>
      <c r="S28" s="81"/>
    </row>
    <row r="29" spans="1:22" ht="16.5" customHeight="1">
      <c r="A29" s="7"/>
      <c r="B29" s="2"/>
      <c r="C29" s="152" t="s">
        <v>98</v>
      </c>
      <c r="D29" s="17" t="s">
        <v>99</v>
      </c>
      <c r="E29" s="76">
        <v>0</v>
      </c>
      <c r="F29" s="78">
        <v>30</v>
      </c>
      <c r="G29" s="14"/>
      <c r="H29" s="4"/>
      <c r="I29" s="18"/>
      <c r="J29" s="28" t="s">
        <v>102</v>
      </c>
      <c r="K29" s="28"/>
      <c r="L29" s="28"/>
      <c r="M29" s="28"/>
      <c r="N29" s="28"/>
      <c r="O29" s="28"/>
      <c r="P29" s="28"/>
      <c r="Q29" s="28"/>
      <c r="R29" s="28"/>
      <c r="S29" s="28"/>
    </row>
    <row r="30" spans="1:22" ht="16.5" customHeight="1">
      <c r="A30" s="7"/>
      <c r="B30" s="2" t="s">
        <v>182</v>
      </c>
      <c r="C30" s="2"/>
      <c r="D30" s="38"/>
      <c r="E30" s="66"/>
      <c r="F30" s="14"/>
      <c r="G30" s="14"/>
      <c r="H30" s="166"/>
      <c r="I30" s="18"/>
      <c r="J30" s="33"/>
      <c r="K30" s="34"/>
      <c r="L30" s="34"/>
      <c r="M30" s="228" t="s">
        <v>105</v>
      </c>
      <c r="N30" s="229"/>
      <c r="O30" s="229"/>
      <c r="P30" s="229"/>
      <c r="Q30" s="229"/>
      <c r="R30" s="229"/>
      <c r="S30" s="230"/>
      <c r="V30" t="s">
        <v>107</v>
      </c>
    </row>
    <row r="31" spans="1:22" ht="16.5" customHeight="1">
      <c r="A31" s="7"/>
      <c r="B31" s="2" t="s">
        <v>103</v>
      </c>
      <c r="C31" s="2" t="s">
        <v>104</v>
      </c>
      <c r="D31" s="38" t="s">
        <v>55</v>
      </c>
      <c r="E31" s="66"/>
      <c r="F31" s="14"/>
      <c r="G31" s="78">
        <v>3.75</v>
      </c>
      <c r="H31" s="167"/>
      <c r="I31" s="18"/>
      <c r="J31" s="31"/>
      <c r="K31" s="58"/>
      <c r="L31" s="35"/>
      <c r="M31" s="63" t="s">
        <v>88</v>
      </c>
      <c r="N31" s="61" t="s">
        <v>80</v>
      </c>
      <c r="O31" s="61" t="s">
        <v>90</v>
      </c>
      <c r="P31" s="61" t="s">
        <v>81</v>
      </c>
      <c r="Q31" s="61" t="s">
        <v>93</v>
      </c>
      <c r="R31" s="61" t="s">
        <v>82</v>
      </c>
      <c r="S31" s="62" t="s">
        <v>96</v>
      </c>
      <c r="V31" t="s">
        <v>107</v>
      </c>
    </row>
    <row r="32" spans="1:22" ht="16.5" customHeight="1">
      <c r="A32" s="7"/>
      <c r="B32" s="2"/>
      <c r="C32" s="2" t="s">
        <v>106</v>
      </c>
      <c r="D32" s="38" t="s">
        <v>55</v>
      </c>
      <c r="E32" s="66"/>
      <c r="F32" s="14"/>
      <c r="G32" s="78">
        <v>1.01</v>
      </c>
      <c r="H32" s="4"/>
      <c r="I32" s="18"/>
      <c r="J32" s="224" t="s">
        <v>64</v>
      </c>
      <c r="K32" s="59"/>
      <c r="L32" s="121" t="s">
        <v>96</v>
      </c>
      <c r="M32" s="111">
        <f>($G$10*0.85)-($G$49*1.15)-$G$57</f>
        <v>684.06816730840831</v>
      </c>
      <c r="N32" s="112">
        <f>($G$10*0.9)-($G$49*1.15)-$G$57</f>
        <v>921.34847980840834</v>
      </c>
      <c r="O32" s="112">
        <f>($G$10*0.95)-($G$49*1.15)-$G$57</f>
        <v>1158.6287923084083</v>
      </c>
      <c r="P32" s="112">
        <f>($G$10)-($G$49*1.15)-$G$57</f>
        <v>1395.9091048084083</v>
      </c>
      <c r="Q32" s="112">
        <f>($G$10*1.05)-($G$49*1.15)-$G$57</f>
        <v>1633.1894173084083</v>
      </c>
      <c r="R32" s="112">
        <f>($G$10*1.1)-($G$49*1.15)-$G$57</f>
        <v>1870.4697298084084</v>
      </c>
      <c r="S32" s="113">
        <f>($G$10*1.15)-($G$49*1.15)-$G$57</f>
        <v>2107.7500423084084</v>
      </c>
    </row>
    <row r="33" spans="1:22" ht="16.5" customHeight="1">
      <c r="A33" s="7"/>
      <c r="C33" s="2" t="s">
        <v>108</v>
      </c>
      <c r="D33" s="38" t="s">
        <v>55</v>
      </c>
      <c r="E33" s="66"/>
      <c r="F33" s="14"/>
      <c r="G33" s="78">
        <f t="shared" ref="G33:G36" si="9">E33*F33</f>
        <v>0</v>
      </c>
      <c r="H33" s="4"/>
      <c r="I33" s="18"/>
      <c r="J33" s="224"/>
      <c r="K33" s="59"/>
      <c r="L33" s="122" t="s">
        <v>82</v>
      </c>
      <c r="M33" s="114">
        <f>($G$10*0.85)-($G$49*1.1)-$G$57</f>
        <v>797.85806906622031</v>
      </c>
      <c r="N33" s="115">
        <f>($G$10*0.9)-($G$49*1.1)-$G$57</f>
        <v>1035.1383815662202</v>
      </c>
      <c r="O33" s="115">
        <f>($G$10*0.95)-($G$49*1.1)-$G$57</f>
        <v>1272.4186940662203</v>
      </c>
      <c r="P33" s="115">
        <f>($G$10)-($G$49*1.1)-$G$57</f>
        <v>1509.6990065662203</v>
      </c>
      <c r="Q33" s="115">
        <f>($G$10*1.05)-($G$49*1.1)-$G$57</f>
        <v>1746.9793190662203</v>
      </c>
      <c r="R33" s="115">
        <f>($G$10*1.1)-($G$49*1.1)-$G$57</f>
        <v>1984.2596315662204</v>
      </c>
      <c r="S33" s="116">
        <f>($G$10*1.15)-($G$49*1.1)-$G$57</f>
        <v>2221.5399440662204</v>
      </c>
    </row>
    <row r="34" spans="1:22" ht="16.5" customHeight="1">
      <c r="A34" s="7"/>
      <c r="B34" s="2" t="s">
        <v>207</v>
      </c>
      <c r="C34" s="2" t="s">
        <v>109</v>
      </c>
      <c r="D34" s="38" t="s">
        <v>55</v>
      </c>
      <c r="E34" s="66"/>
      <c r="F34" s="14"/>
      <c r="G34" s="78">
        <f t="shared" si="9"/>
        <v>0</v>
      </c>
      <c r="H34" s="4"/>
      <c r="I34" s="18"/>
      <c r="J34" s="224"/>
      <c r="K34" s="59"/>
      <c r="L34" s="122" t="s">
        <v>93</v>
      </c>
      <c r="M34" s="114">
        <f>($G$10*0.85)-($G$49*1.05)-$G$57</f>
        <v>911.64797082403322</v>
      </c>
      <c r="N34" s="115">
        <f>($G$10*0.9)-($G$49*1.05)-$G$57</f>
        <v>1148.9282833240331</v>
      </c>
      <c r="O34" s="115">
        <f>($G$10*0.95)-($G$49*1.05)-$G$57</f>
        <v>1386.2085958240332</v>
      </c>
      <c r="P34" s="115">
        <f>($G$10)-($G$49*1.05)-$G$57</f>
        <v>1623.4889083240332</v>
      </c>
      <c r="Q34" s="115">
        <f>($G$10*1.05)-($G$49*1.05)-$G$57</f>
        <v>1860.7692208240333</v>
      </c>
      <c r="R34" s="115">
        <f>($G$10*1.1)-($G$49*1.05)-$G$57</f>
        <v>2098.0495333240333</v>
      </c>
      <c r="S34" s="116">
        <f>($G$10*1.15)-($G$49*1.05)-$G$57</f>
        <v>2335.3298458240333</v>
      </c>
    </row>
    <row r="35" spans="1:22" ht="16.5" customHeight="1">
      <c r="A35" s="7"/>
      <c r="B35" s="2" t="s">
        <v>183</v>
      </c>
      <c r="C35" s="2"/>
      <c r="D35" s="3" t="s">
        <v>184</v>
      </c>
      <c r="E35" s="76">
        <v>400</v>
      </c>
      <c r="F35" s="78">
        <v>0.35</v>
      </c>
      <c r="G35" s="14">
        <f t="shared" si="9"/>
        <v>140</v>
      </c>
      <c r="H35" s="4"/>
      <c r="I35" s="18"/>
      <c r="J35" s="224"/>
      <c r="K35" s="59"/>
      <c r="L35" s="122" t="s">
        <v>81</v>
      </c>
      <c r="M35" s="114">
        <f>($G$10*0.85)-($G$49)-$G$57</f>
        <v>1025.4378725818456</v>
      </c>
      <c r="N35" s="115">
        <f>($G$10*0.9)-($G$49)-$G$57</f>
        <v>1262.7181850818456</v>
      </c>
      <c r="O35" s="115">
        <f>($G$10*0.95)-($G$49)-$G$57</f>
        <v>1499.9984975818456</v>
      </c>
      <c r="P35" s="117">
        <f>($G$10)-($G$49)-$G$57</f>
        <v>1737.2788100818457</v>
      </c>
      <c r="Q35" s="115">
        <f>($G$10*1.05)-($G$49)-$G$57</f>
        <v>1974.5591225818457</v>
      </c>
      <c r="R35" s="115">
        <f>($G$10*1.1)-($G$49)-$G$57</f>
        <v>2211.8394350818457</v>
      </c>
      <c r="S35" s="116">
        <f>($G$10*1.15)-($G$49)-$G$57</f>
        <v>2449.1197475818458</v>
      </c>
      <c r="V35" t="s">
        <v>185</v>
      </c>
    </row>
    <row r="36" spans="1:22" ht="16.5" customHeight="1">
      <c r="A36" s="7"/>
      <c r="B36" s="2" t="s">
        <v>186</v>
      </c>
      <c r="C36" s="2"/>
      <c r="D36" s="3" t="s">
        <v>67</v>
      </c>
      <c r="E36" s="76">
        <v>80</v>
      </c>
      <c r="F36" s="78">
        <v>1</v>
      </c>
      <c r="G36" s="14">
        <f t="shared" si="9"/>
        <v>80</v>
      </c>
      <c r="H36" s="4"/>
      <c r="I36" s="4"/>
      <c r="J36" s="224"/>
      <c r="K36" s="59"/>
      <c r="L36" s="122" t="s">
        <v>90</v>
      </c>
      <c r="M36" s="114">
        <f>($G$10*0.85)-($G$49*0.95)-$G$57</f>
        <v>1139.227774339658</v>
      </c>
      <c r="N36" s="115">
        <f>($G$10*0.9)-($G$49*0.95)-$G$57</f>
        <v>1376.5080868396581</v>
      </c>
      <c r="O36" s="115">
        <f>($G$10*0.95)-($G$49*0.95)-$G$57</f>
        <v>1613.7883993396581</v>
      </c>
      <c r="P36" s="115">
        <f>($G$10)-($G$49*0.95)-$G$57</f>
        <v>1851.0687118396581</v>
      </c>
      <c r="Q36" s="115">
        <f>($G$10*1.05)-($G$49*0.95)-$G$57</f>
        <v>2088.3490243396582</v>
      </c>
      <c r="R36" s="115">
        <f>($G$10*1.1)-($G$49*0.95)-$G$57</f>
        <v>2325.6293368396582</v>
      </c>
      <c r="S36" s="116">
        <f>($G$10*1.15)-($G$49*0.95)-$G$57</f>
        <v>2562.9096493396582</v>
      </c>
      <c r="V36" t="s">
        <v>187</v>
      </c>
    </row>
    <row r="37" spans="1:22" ht="16.5" customHeight="1">
      <c r="A37" s="7"/>
      <c r="B37" s="2" t="s">
        <v>115</v>
      </c>
      <c r="C37" s="2"/>
      <c r="D37" s="3" t="s">
        <v>55</v>
      </c>
      <c r="E37" s="16">
        <f>SUM(E38:E42)</f>
        <v>70</v>
      </c>
      <c r="F37" s="2"/>
      <c r="G37" s="14">
        <f>SUMPRODUCT(E38:E42,F38:F42)</f>
        <v>1302</v>
      </c>
      <c r="H37" s="4"/>
      <c r="I37" s="4"/>
      <c r="J37" s="224"/>
      <c r="K37" s="59"/>
      <c r="L37" s="122" t="s">
        <v>80</v>
      </c>
      <c r="M37" s="114">
        <f>($G$10*0.85)-($G$49*0.9)-$G$57</f>
        <v>1253.0176760974705</v>
      </c>
      <c r="N37" s="115">
        <f>($G$10*0.9)-($G$49*0.9)-$G$57</f>
        <v>1490.2979885974705</v>
      </c>
      <c r="O37" s="115">
        <f>($G$10*0.95)-($G$49*0.9)-$G$57</f>
        <v>1727.5783010974706</v>
      </c>
      <c r="P37" s="115">
        <f>($G$10)-($G$49*0.9)-$G$57</f>
        <v>1964.8586135974706</v>
      </c>
      <c r="Q37" s="115">
        <f>($G$10*1.05)-($G$49*0.9)-$G$57</f>
        <v>2202.1389260974706</v>
      </c>
      <c r="R37" s="115">
        <f>($G$10*1.1)-($G$49*0.9)-$G$57</f>
        <v>2439.4192385974707</v>
      </c>
      <c r="S37" s="116">
        <f>($G$10*1.15)-($G$49*0.9)-$G$57</f>
        <v>2676.6995510974707</v>
      </c>
    </row>
    <row r="38" spans="1:22" ht="16.5" customHeight="1">
      <c r="A38" s="4"/>
      <c r="B38" s="7"/>
      <c r="C38" s="2" t="s">
        <v>116</v>
      </c>
      <c r="D38" s="3" t="s">
        <v>117</v>
      </c>
      <c r="E38" s="76">
        <v>12</v>
      </c>
      <c r="F38" s="11">
        <v>18.600000000000001</v>
      </c>
      <c r="G38" s="14"/>
      <c r="H38" s="4"/>
      <c r="I38" s="4"/>
      <c r="J38" s="225"/>
      <c r="K38" s="60"/>
      <c r="L38" s="123" t="s">
        <v>88</v>
      </c>
      <c r="M38" s="118">
        <f>($G$10*0.85)-($G$49*0.85)-$G$57</f>
        <v>1366.8075778552834</v>
      </c>
      <c r="N38" s="119">
        <f>($G$10*0.9)-($G$49*0.85)-$G$57</f>
        <v>1604.0878903552834</v>
      </c>
      <c r="O38" s="119">
        <f>($G$10*0.95)-($G$49*0.85)-$G$57</f>
        <v>1841.3682028552835</v>
      </c>
      <c r="P38" s="119">
        <f>($G$10)-($G$49*0.85)-$G$57</f>
        <v>2078.6485153552835</v>
      </c>
      <c r="Q38" s="119">
        <f>($G$10*1.05)-($G$49*0.85)-$G$57</f>
        <v>2315.9288278552835</v>
      </c>
      <c r="R38" s="119">
        <f>($G$10*1.1)-($G$49*0.85)-$G$57</f>
        <v>2553.2091403552836</v>
      </c>
      <c r="S38" s="120">
        <f>($G$10*1.15)-($G$49*0.85)-$G$57</f>
        <v>2790.4894528552836</v>
      </c>
      <c r="V38" t="s">
        <v>118</v>
      </c>
    </row>
    <row r="39" spans="1:22" ht="16.5" customHeight="1">
      <c r="A39" s="4"/>
      <c r="B39" s="7"/>
      <c r="C39" s="2" t="s">
        <v>119</v>
      </c>
      <c r="D39" s="3" t="s">
        <v>117</v>
      </c>
      <c r="E39" s="76">
        <v>6</v>
      </c>
      <c r="F39" s="11">
        <v>18.600000000000001</v>
      </c>
      <c r="G39" s="14"/>
      <c r="H39" s="4"/>
      <c r="I39" s="4"/>
      <c r="V39" t="s">
        <v>118</v>
      </c>
    </row>
    <row r="40" spans="1:22" ht="16.5" customHeight="1">
      <c r="A40" s="4"/>
      <c r="B40" s="7"/>
      <c r="C40" s="2" t="s">
        <v>120</v>
      </c>
      <c r="D40" s="3" t="s">
        <v>117</v>
      </c>
      <c r="E40" s="76">
        <v>8</v>
      </c>
      <c r="F40" s="11">
        <v>18.600000000000001</v>
      </c>
      <c r="G40" s="14"/>
      <c r="H40" s="4"/>
      <c r="I40" s="4"/>
      <c r="V40" t="s">
        <v>118</v>
      </c>
    </row>
    <row r="41" spans="1:22" ht="16.5" customHeight="1">
      <c r="A41" s="4"/>
      <c r="B41" s="7"/>
      <c r="C41" s="2" t="s">
        <v>121</v>
      </c>
      <c r="D41" s="3" t="s">
        <v>117</v>
      </c>
      <c r="E41" s="76">
        <v>36</v>
      </c>
      <c r="F41" s="11">
        <v>18.600000000000001</v>
      </c>
      <c r="G41" s="14"/>
      <c r="H41" s="4"/>
      <c r="I41" s="4"/>
      <c r="V41" t="s">
        <v>118</v>
      </c>
    </row>
    <row r="42" spans="1:22" ht="16.5" customHeight="1">
      <c r="A42" s="4"/>
      <c r="B42" s="7"/>
      <c r="C42" s="2" t="s">
        <v>122</v>
      </c>
      <c r="D42" s="3" t="s">
        <v>117</v>
      </c>
      <c r="E42" s="76">
        <v>8</v>
      </c>
      <c r="F42" s="11">
        <v>18.600000000000001</v>
      </c>
      <c r="G42" s="14"/>
      <c r="H42" s="4"/>
      <c r="I42" s="4"/>
      <c r="V42" t="s">
        <v>118</v>
      </c>
    </row>
    <row r="43" spans="1:22" ht="16.5" customHeight="1">
      <c r="A43" s="4"/>
      <c r="B43" s="2" t="s">
        <v>123</v>
      </c>
      <c r="C43" s="2"/>
      <c r="D43" s="3"/>
      <c r="E43" s="66"/>
      <c r="F43" s="64"/>
      <c r="G43" s="14"/>
      <c r="H43" s="4"/>
      <c r="I43" s="4"/>
    </row>
    <row r="44" spans="1:22" ht="16.5" customHeight="1">
      <c r="A44" s="4"/>
      <c r="B44" s="7"/>
      <c r="C44" s="82" t="s">
        <v>302</v>
      </c>
      <c r="D44" s="151" t="s">
        <v>67</v>
      </c>
      <c r="E44" s="10">
        <v>823</v>
      </c>
      <c r="F44" s="11">
        <v>0.03</v>
      </c>
      <c r="G44" s="14">
        <f t="shared" ref="G44:G45" si="10">E44*F44</f>
        <v>24.689999999999998</v>
      </c>
      <c r="H44" s="4"/>
      <c r="I44" s="4"/>
      <c r="J44" s="65"/>
      <c r="V44" t="s">
        <v>188</v>
      </c>
    </row>
    <row r="45" spans="1:22" ht="16.5" customHeight="1">
      <c r="A45" s="4"/>
      <c r="B45" s="2"/>
      <c r="C45" s="82" t="s">
        <v>124</v>
      </c>
      <c r="D45" s="151" t="s">
        <v>67</v>
      </c>
      <c r="E45" s="76">
        <v>14</v>
      </c>
      <c r="F45" s="11">
        <v>3.4</v>
      </c>
      <c r="G45" s="14">
        <f t="shared" si="10"/>
        <v>47.6</v>
      </c>
      <c r="H45" s="4"/>
      <c r="I45" s="4"/>
      <c r="V45" t="s">
        <v>208</v>
      </c>
    </row>
    <row r="46" spans="1:22" ht="16.5" customHeight="1">
      <c r="B46" s="2" t="s">
        <v>127</v>
      </c>
      <c r="C46" s="2"/>
      <c r="D46" s="19" t="s">
        <v>128</v>
      </c>
      <c r="E46" s="16"/>
      <c r="F46" s="135">
        <v>0.1</v>
      </c>
      <c r="G46" s="14">
        <f>G10*F46</f>
        <v>474.56062500000007</v>
      </c>
    </row>
    <row r="47" spans="1:22" ht="16.5" customHeight="1">
      <c r="B47" s="2" t="s">
        <v>129</v>
      </c>
      <c r="C47" s="4"/>
      <c r="D47" s="3" t="s">
        <v>55</v>
      </c>
      <c r="E47" s="4"/>
      <c r="F47" s="4"/>
      <c r="G47" s="20">
        <v>10</v>
      </c>
    </row>
    <row r="48" spans="1:22" ht="16.5" customHeight="1">
      <c r="B48" s="2" t="s">
        <v>130</v>
      </c>
      <c r="C48" s="4"/>
      <c r="D48" s="3" t="s">
        <v>7</v>
      </c>
      <c r="F48" s="94">
        <v>7.2499999999999995E-2</v>
      </c>
      <c r="G48" s="12">
        <f>SUM(G14:G47)/2*F48</f>
        <v>79.30741015625</v>
      </c>
    </row>
    <row r="49" spans="2:7" ht="14.25" customHeight="1">
      <c r="B49" s="4"/>
      <c r="C49" s="13" t="s">
        <v>131</v>
      </c>
      <c r="D49" s="3"/>
      <c r="E49" s="21"/>
      <c r="F49" s="2"/>
      <c r="G49" s="14">
        <f>SUM(G13:G48)</f>
        <v>2275.7980351562501</v>
      </c>
    </row>
    <row r="50" spans="2:7" ht="16.5" customHeight="1">
      <c r="B50" s="4"/>
      <c r="C50" s="13"/>
      <c r="D50" s="3"/>
      <c r="E50" s="21"/>
      <c r="F50" s="2"/>
      <c r="G50" s="14"/>
    </row>
    <row r="51" spans="2:7" ht="16.5" customHeight="1">
      <c r="B51" s="15" t="s">
        <v>132</v>
      </c>
      <c r="C51" s="15"/>
      <c r="D51" s="22" t="s">
        <v>4</v>
      </c>
      <c r="E51" s="9" t="s">
        <v>41</v>
      </c>
      <c r="F51" s="9" t="s">
        <v>42</v>
      </c>
      <c r="G51" s="9" t="s">
        <v>43</v>
      </c>
    </row>
    <row r="52" spans="2:7" ht="16.5" customHeight="1">
      <c r="B52" s="2" t="s">
        <v>133</v>
      </c>
      <c r="C52" s="2"/>
      <c r="D52" s="3" t="s">
        <v>134</v>
      </c>
      <c r="E52" s="23">
        <v>3</v>
      </c>
      <c r="F52" s="14">
        <f>Investment!G32/12</f>
        <v>137.56230158730159</v>
      </c>
      <c r="G52" s="26">
        <f>E52*F52</f>
        <v>412.68690476190477</v>
      </c>
    </row>
    <row r="53" spans="2:7" ht="16.5" customHeight="1">
      <c r="B53" s="2" t="s">
        <v>135</v>
      </c>
      <c r="C53" s="2"/>
      <c r="D53" s="3" t="s">
        <v>136</v>
      </c>
      <c r="E53" s="96"/>
      <c r="F53" s="14"/>
      <c r="G53" s="14">
        <f>Investment!H32*($E$52/12)</f>
        <v>191.20500000000001</v>
      </c>
    </row>
    <row r="54" spans="2:7" ht="16.5" customHeight="1">
      <c r="B54" s="2" t="s">
        <v>137</v>
      </c>
      <c r="C54" s="2"/>
      <c r="D54" s="3" t="s">
        <v>138</v>
      </c>
      <c r="E54" s="96"/>
      <c r="F54" s="94">
        <v>1.4999999999999999E-2</v>
      </c>
      <c r="G54" s="14">
        <f>Investment!D32*F54*($E$52/12)</f>
        <v>78.637500000000003</v>
      </c>
    </row>
    <row r="55" spans="2:7" ht="16.5" customHeight="1">
      <c r="B55" s="2" t="s">
        <v>314</v>
      </c>
      <c r="C55" s="2"/>
      <c r="D55" s="3" t="s">
        <v>136</v>
      </c>
      <c r="E55" s="96"/>
      <c r="F55" s="14"/>
      <c r="G55" s="14">
        <f>Investment!E8*(E52/12)</f>
        <v>50</v>
      </c>
    </row>
    <row r="56" spans="2:7" ht="16.5" customHeight="1">
      <c r="B56" s="2" t="s">
        <v>139</v>
      </c>
      <c r="C56" s="2"/>
      <c r="D56" s="3" t="s">
        <v>136</v>
      </c>
      <c r="E56" s="96"/>
      <c r="F56" s="14"/>
      <c r="G56" s="129">
        <v>0</v>
      </c>
    </row>
    <row r="57" spans="2:7" ht="16.5" customHeight="1">
      <c r="B57" s="4"/>
      <c r="C57" s="13" t="s">
        <v>140</v>
      </c>
      <c r="E57" s="2"/>
      <c r="F57" s="2"/>
      <c r="G57" s="14">
        <f>SUM(G52:G56)</f>
        <v>732.52940476190486</v>
      </c>
    </row>
    <row r="58" spans="2:7" ht="16.5" customHeight="1">
      <c r="B58" s="4"/>
      <c r="C58" s="13"/>
      <c r="E58" s="2"/>
      <c r="F58" s="2"/>
      <c r="G58" s="14"/>
    </row>
    <row r="59" spans="2:7" ht="16.5" customHeight="1">
      <c r="B59" s="147"/>
      <c r="C59" s="77"/>
      <c r="D59" s="148"/>
      <c r="E59" s="9" t="s">
        <v>141</v>
      </c>
      <c r="F59" s="9" t="s">
        <v>142</v>
      </c>
      <c r="G59" s="9" t="s">
        <v>43</v>
      </c>
    </row>
    <row r="60" spans="2:7" ht="16.5" customHeight="1">
      <c r="B60" s="5" t="s">
        <v>36</v>
      </c>
      <c r="C60" s="13"/>
      <c r="E60" s="141">
        <f>(G49+G57)/M8</f>
        <v>1.5041637199590776</v>
      </c>
      <c r="F60" s="141">
        <f>G60/SUM(E7:E8)</f>
        <v>2.7416973706248848</v>
      </c>
      <c r="G60" s="141">
        <f>G49+G57</f>
        <v>3008.3274399181551</v>
      </c>
    </row>
    <row r="61" spans="2:7" ht="16.5" customHeight="1">
      <c r="B61" s="25" t="s">
        <v>143</v>
      </c>
      <c r="C61" s="150"/>
      <c r="D61" s="4"/>
      <c r="E61" s="141">
        <f>(G10-G49)/M8</f>
        <v>1.2349041074218754</v>
      </c>
      <c r="F61" s="141">
        <f>G61/SUM(E7:E8)</f>
        <v>2.2509074639724318</v>
      </c>
      <c r="G61" s="141">
        <f>G10-G49</f>
        <v>2469.8082148437506</v>
      </c>
    </row>
    <row r="62" spans="2:7" ht="16.5" customHeight="1">
      <c r="B62" s="133" t="s">
        <v>144</v>
      </c>
      <c r="C62" s="133"/>
      <c r="D62" s="24"/>
      <c r="E62" s="142">
        <f>(G10-G60)/M8</f>
        <v>0.86863940504092285</v>
      </c>
      <c r="F62" s="142">
        <f>G62/SUM(E7:E8)</f>
        <v>1.5833026293751156</v>
      </c>
      <c r="G62" s="142">
        <f>G10-G60</f>
        <v>1737.2788100818457</v>
      </c>
    </row>
    <row r="63" spans="2:7" ht="16.5" customHeight="1">
      <c r="B63" s="168" t="s">
        <v>191</v>
      </c>
      <c r="C63" s="168"/>
      <c r="D63" s="168"/>
      <c r="E63" s="168"/>
      <c r="F63" s="168"/>
      <c r="G63" s="168"/>
    </row>
    <row r="64" spans="2:7" ht="16.5" customHeight="1">
      <c r="B64" s="168" t="s">
        <v>192</v>
      </c>
      <c r="C64" s="168"/>
      <c r="D64" s="168"/>
      <c r="E64" s="168"/>
      <c r="F64" s="168"/>
      <c r="G64" s="168"/>
    </row>
    <row r="65" spans="2:7" ht="16.5" customHeight="1">
      <c r="B65" s="168" t="s">
        <v>146</v>
      </c>
      <c r="C65" s="168"/>
      <c r="D65" s="168"/>
      <c r="E65" s="168"/>
      <c r="F65" s="168"/>
      <c r="G65" s="168"/>
    </row>
    <row r="66" spans="2:7" ht="16.5" customHeight="1">
      <c r="B66" s="168" t="s">
        <v>147</v>
      </c>
      <c r="C66" s="168"/>
      <c r="D66" s="168"/>
      <c r="E66" s="168"/>
      <c r="F66" s="168"/>
      <c r="G66" s="168"/>
    </row>
  </sheetData>
  <mergeCells count="5">
    <mergeCell ref="B2:G2"/>
    <mergeCell ref="E5:G5"/>
    <mergeCell ref="M30:S30"/>
    <mergeCell ref="J32:J38"/>
    <mergeCell ref="J18:J26"/>
  </mergeCells>
  <conditionalFormatting sqref="E12">
    <cfRule type="expression" dxfId="40" priority="9">
      <formula>$G$1="no"</formula>
    </cfRule>
  </conditionalFormatting>
  <conditionalFormatting sqref="E51">
    <cfRule type="expression" dxfId="39" priority="8">
      <formula>$G$1="no"</formula>
    </cfRule>
  </conditionalFormatting>
  <conditionalFormatting sqref="E59">
    <cfRule type="expression" dxfId="38" priority="1">
      <formula>$G$1="no"</formula>
    </cfRule>
  </conditionalFormatting>
  <conditionalFormatting sqref="E6:G6">
    <cfRule type="expression" dxfId="37" priority="5">
      <formula>$G$1="no"</formula>
    </cfRule>
  </conditionalFormatting>
  <conditionalFormatting sqref="G12">
    <cfRule type="expression" dxfId="36" priority="4">
      <formula>$G$1="no"</formula>
    </cfRule>
  </conditionalFormatting>
  <conditionalFormatting sqref="G51">
    <cfRule type="expression" dxfId="35" priority="3">
      <formula>$G$1="no"</formula>
    </cfRule>
  </conditionalFormatting>
  <conditionalFormatting sqref="G59">
    <cfRule type="expression" dxfId="34" priority="2">
      <formula>$G$1="no"</formula>
    </cfRule>
  </conditionalFormatting>
  <conditionalFormatting sqref="M20:S26">
    <cfRule type="cellIs" dxfId="33" priority="7" operator="lessThan">
      <formula>0</formula>
    </cfRule>
  </conditionalFormatting>
  <conditionalFormatting sqref="M32:S38">
    <cfRule type="cellIs" dxfId="32" priority="6" operator="lessThan">
      <formula>0</formula>
    </cfRule>
  </conditionalFormatting>
  <pageMargins left="0.7" right="0.7" top="0.75" bottom="0.75" header="0.3" footer="0.3"/>
  <ignoredErrors>
    <ignoredError sqref="L23 P19 E7:E8" unlockedFormula="1"/>
    <ignoredError sqref="M35:S35" formula="1"/>
    <ignoredError sqref="C2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FD1F9-DE66-48DB-8E6E-7FF2DB9D7CA6}">
  <dimension ref="A1:V60"/>
  <sheetViews>
    <sheetView showGridLines="0" topLeftCell="A28" zoomScale="120" zoomScaleNormal="120" workbookViewId="0">
      <selection activeCell="B51" sqref="B51"/>
    </sheetView>
  </sheetViews>
  <sheetFormatPr defaultRowHeight="15"/>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9" width="3.125" customWidth="1"/>
    <col min="11" max="19" width="10.625" customWidth="1"/>
    <col min="20" max="20" width="3.125" customWidth="1"/>
  </cols>
  <sheetData>
    <row r="1" spans="1:22" ht="16.5">
      <c r="A1" s="4"/>
      <c r="B1" s="4"/>
      <c r="C1" s="5"/>
      <c r="H1" s="4"/>
      <c r="I1" s="4"/>
    </row>
    <row r="2" spans="1:22" ht="21" customHeight="1">
      <c r="A2" s="4"/>
      <c r="B2" s="221" t="s">
        <v>209</v>
      </c>
      <c r="C2" s="222"/>
      <c r="D2" s="222"/>
      <c r="E2" s="222"/>
      <c r="F2" s="222"/>
      <c r="G2" s="222"/>
      <c r="H2" s="4"/>
      <c r="I2" s="1"/>
      <c r="T2" s="1"/>
    </row>
    <row r="3" spans="1:22" ht="16.5" customHeight="1">
      <c r="A3" s="4"/>
      <c r="B3" s="4"/>
      <c r="C3" s="6"/>
      <c r="D3" s="6"/>
      <c r="E3" s="223"/>
      <c r="F3" s="223"/>
      <c r="G3" s="223"/>
      <c r="H3" s="4"/>
      <c r="I3" s="1"/>
      <c r="T3" s="1"/>
      <c r="V3" s="162" t="s">
        <v>39</v>
      </c>
    </row>
    <row r="4" spans="1:22" ht="16.5" customHeight="1">
      <c r="A4" s="7"/>
      <c r="B4" s="8" t="s">
        <v>40</v>
      </c>
      <c r="C4" s="8"/>
      <c r="D4" s="8" t="s">
        <v>4</v>
      </c>
      <c r="E4" s="9" t="s">
        <v>41</v>
      </c>
      <c r="F4" s="9" t="s">
        <v>42</v>
      </c>
      <c r="G4" s="9" t="s">
        <v>43</v>
      </c>
      <c r="H4" s="4"/>
      <c r="I4" s="1"/>
      <c r="J4" s="71" t="s">
        <v>44</v>
      </c>
      <c r="T4" s="1"/>
    </row>
    <row r="5" spans="1:22" ht="16.5" customHeight="1">
      <c r="A5" s="7"/>
      <c r="B5" s="2" t="s">
        <v>210</v>
      </c>
      <c r="C5" s="2"/>
      <c r="D5" s="3" t="s">
        <v>46</v>
      </c>
      <c r="E5" s="159">
        <f>M7*M8*M9</f>
        <v>724.5</v>
      </c>
      <c r="F5" s="11">
        <v>3.4</v>
      </c>
      <c r="G5" s="14">
        <f>E5*F5</f>
        <v>2463.2999999999997</v>
      </c>
      <c r="H5" s="4"/>
      <c r="I5" s="1"/>
      <c r="J5" s="153" t="s">
        <v>47</v>
      </c>
      <c r="K5" s="148"/>
      <c r="L5" s="148"/>
      <c r="M5" s="161" t="s">
        <v>48</v>
      </c>
      <c r="N5" s="160" t="s">
        <v>4</v>
      </c>
      <c r="O5" s="148"/>
      <c r="T5" s="1"/>
      <c r="V5" t="s">
        <v>211</v>
      </c>
    </row>
    <row r="6" spans="1:22" ht="16.5" customHeight="1">
      <c r="A6" s="7"/>
      <c r="B6" s="2" t="s">
        <v>212</v>
      </c>
      <c r="C6" s="2"/>
      <c r="D6" s="3" t="s">
        <v>46</v>
      </c>
      <c r="E6" s="159">
        <f>M7*M8*M10</f>
        <v>241.5</v>
      </c>
      <c r="F6" s="11">
        <v>2</v>
      </c>
      <c r="G6" s="14">
        <f>E6*F6</f>
        <v>483</v>
      </c>
      <c r="H6" s="4"/>
      <c r="I6" s="1"/>
      <c r="J6" s="136" t="s">
        <v>51</v>
      </c>
      <c r="M6" s="79">
        <v>2000</v>
      </c>
      <c r="N6" s="3" t="s">
        <v>52</v>
      </c>
      <c r="T6" s="1"/>
      <c r="V6" t="s">
        <v>213</v>
      </c>
    </row>
    <row r="7" spans="1:22" ht="16.5" customHeight="1">
      <c r="A7" s="7"/>
      <c r="B7" s="2" t="s">
        <v>54</v>
      </c>
      <c r="C7" s="2"/>
      <c r="D7" s="3" t="s">
        <v>55</v>
      </c>
      <c r="E7" s="16"/>
      <c r="F7" s="64"/>
      <c r="G7" s="129">
        <v>0</v>
      </c>
      <c r="H7" s="4"/>
      <c r="I7" s="1"/>
      <c r="J7" s="136" t="s">
        <v>56</v>
      </c>
      <c r="M7" s="79">
        <v>1050</v>
      </c>
      <c r="N7" s="3" t="s">
        <v>57</v>
      </c>
      <c r="T7" s="1"/>
      <c r="V7" t="s">
        <v>214</v>
      </c>
    </row>
    <row r="8" spans="1:22" ht="16.5" customHeight="1">
      <c r="A8" s="7"/>
      <c r="B8" s="7"/>
      <c r="C8" s="13" t="s">
        <v>59</v>
      </c>
      <c r="E8" s="2"/>
      <c r="F8" s="2"/>
      <c r="G8" s="14">
        <f>SUM(G5:G7)</f>
        <v>2946.2999999999997</v>
      </c>
      <c r="H8" s="4"/>
      <c r="I8" s="1"/>
      <c r="J8" s="136" t="s">
        <v>60</v>
      </c>
      <c r="M8" s="76">
        <v>0.92</v>
      </c>
      <c r="N8" s="3" t="s">
        <v>61</v>
      </c>
      <c r="T8" s="1"/>
      <c r="V8" t="s">
        <v>201</v>
      </c>
    </row>
    <row r="9" spans="1:22" ht="16.5" customHeight="1">
      <c r="A9" s="7"/>
      <c r="B9" s="7"/>
      <c r="C9" s="13"/>
      <c r="E9" s="2"/>
      <c r="F9" s="2"/>
      <c r="G9" s="14"/>
      <c r="H9" s="4"/>
      <c r="I9" s="1"/>
      <c r="J9" s="136" t="s">
        <v>62</v>
      </c>
      <c r="M9" s="157">
        <v>0.75</v>
      </c>
      <c r="N9" s="3" t="s">
        <v>63</v>
      </c>
      <c r="T9" s="1"/>
      <c r="V9" t="s">
        <v>171</v>
      </c>
    </row>
    <row r="10" spans="1:22" ht="16.5" customHeight="1">
      <c r="A10" s="7"/>
      <c r="B10" s="15" t="s">
        <v>64</v>
      </c>
      <c r="C10" s="15"/>
      <c r="D10" s="8" t="s">
        <v>4</v>
      </c>
      <c r="E10" s="9" t="s">
        <v>41</v>
      </c>
      <c r="F10" s="9" t="s">
        <v>42</v>
      </c>
      <c r="G10" s="9" t="s">
        <v>43</v>
      </c>
      <c r="H10" s="4"/>
      <c r="I10" s="1"/>
      <c r="J10" s="156" t="s">
        <v>65</v>
      </c>
      <c r="K10" s="154"/>
      <c r="L10" s="154"/>
      <c r="M10" s="158">
        <v>0.25</v>
      </c>
      <c r="N10" s="155" t="s">
        <v>63</v>
      </c>
      <c r="O10" s="154"/>
      <c r="T10" s="1"/>
    </row>
    <row r="11" spans="1:22" ht="16.5" customHeight="1">
      <c r="A11" s="7"/>
      <c r="B11" s="2" t="s">
        <v>172</v>
      </c>
      <c r="C11" s="2"/>
      <c r="D11" s="3" t="s">
        <v>46</v>
      </c>
      <c r="E11" s="76">
        <v>115</v>
      </c>
      <c r="F11" s="78">
        <v>3.5</v>
      </c>
      <c r="G11" s="14">
        <f>E11*F11</f>
        <v>402.5</v>
      </c>
      <c r="H11" s="4"/>
      <c r="I11" s="1"/>
      <c r="T11" s="1"/>
    </row>
    <row r="12" spans="1:22" ht="16.5" customHeight="1">
      <c r="A12" s="7"/>
      <c r="B12" s="2" t="s">
        <v>69</v>
      </c>
      <c r="C12" s="2"/>
      <c r="D12" s="3" t="s">
        <v>67</v>
      </c>
      <c r="E12" s="10">
        <v>1</v>
      </c>
      <c r="F12" s="11">
        <v>25</v>
      </c>
      <c r="G12" s="14">
        <f>E12*F12</f>
        <v>25</v>
      </c>
      <c r="H12" s="4"/>
      <c r="I12" s="1"/>
      <c r="J12" s="71" t="s">
        <v>215</v>
      </c>
      <c r="K12" s="71"/>
      <c r="L12" s="71"/>
      <c r="M12" s="71"/>
      <c r="N12" s="71"/>
      <c r="O12" s="71"/>
      <c r="P12" s="71"/>
      <c r="Q12" s="71"/>
      <c r="R12" s="71"/>
      <c r="S12" s="71"/>
      <c r="T12" s="1"/>
    </row>
    <row r="13" spans="1:22" ht="16.5" customHeight="1">
      <c r="A13" s="7"/>
      <c r="B13" s="2" t="s">
        <v>72</v>
      </c>
      <c r="C13" s="2"/>
      <c r="D13" s="3" t="s">
        <v>67</v>
      </c>
      <c r="E13" s="10">
        <v>1</v>
      </c>
      <c r="F13" s="11">
        <v>40</v>
      </c>
      <c r="G13" s="14">
        <f>E13*F13</f>
        <v>40</v>
      </c>
      <c r="H13" s="4"/>
      <c r="I13" s="1"/>
      <c r="J13" s="28" t="s">
        <v>73</v>
      </c>
      <c r="K13" s="106"/>
      <c r="L13" s="106"/>
      <c r="M13" s="106"/>
      <c r="N13" s="106"/>
      <c r="O13" s="106"/>
      <c r="P13" s="106"/>
      <c r="Q13" s="106"/>
      <c r="R13" s="106"/>
      <c r="S13" s="106"/>
      <c r="T13" s="1"/>
    </row>
    <row r="14" spans="1:22" ht="16.5" customHeight="1">
      <c r="A14" s="7"/>
      <c r="B14" s="2" t="s">
        <v>75</v>
      </c>
      <c r="C14" s="2"/>
      <c r="D14" s="3" t="s">
        <v>55</v>
      </c>
      <c r="E14" s="128"/>
      <c r="F14" s="64"/>
      <c r="G14" s="14">
        <f>SUMPRODUCT(E15:E17,F15:F17)</f>
        <v>0</v>
      </c>
      <c r="H14" s="4"/>
      <c r="I14" s="1"/>
      <c r="J14" s="33"/>
      <c r="K14" s="43"/>
      <c r="L14" s="44"/>
      <c r="M14" s="104"/>
      <c r="N14" s="104"/>
      <c r="O14" s="104"/>
      <c r="P14" s="104" t="s">
        <v>76</v>
      </c>
      <c r="Q14" s="104"/>
      <c r="R14" s="104"/>
      <c r="S14" s="105"/>
      <c r="T14" s="1"/>
    </row>
    <row r="15" spans="1:22" ht="16.5" customHeight="1">
      <c r="A15" s="7"/>
      <c r="B15" s="2"/>
      <c r="C15" s="82" t="s">
        <v>77</v>
      </c>
      <c r="D15" s="151" t="s">
        <v>46</v>
      </c>
      <c r="E15" s="10">
        <v>0</v>
      </c>
      <c r="F15" s="11">
        <v>0</v>
      </c>
      <c r="G15" s="14"/>
      <c r="H15" s="4"/>
      <c r="I15" s="1"/>
      <c r="J15" s="224" t="s">
        <v>206</v>
      </c>
      <c r="K15" s="46"/>
      <c r="L15" s="47"/>
      <c r="M15" s="48" t="s">
        <v>78</v>
      </c>
      <c r="N15" s="48" t="s">
        <v>79</v>
      </c>
      <c r="O15" s="48" t="s">
        <v>80</v>
      </c>
      <c r="P15" s="48" t="s">
        <v>81</v>
      </c>
      <c r="Q15" s="48" t="s">
        <v>82</v>
      </c>
      <c r="R15" s="48" t="s">
        <v>83</v>
      </c>
      <c r="S15" s="49" t="s">
        <v>84</v>
      </c>
      <c r="T15" s="1"/>
    </row>
    <row r="16" spans="1:22" ht="16.5" customHeight="1">
      <c r="A16" s="7"/>
      <c r="B16" s="2"/>
      <c r="C16" s="82" t="s">
        <v>85</v>
      </c>
      <c r="D16" s="151" t="s">
        <v>46</v>
      </c>
      <c r="E16" s="10">
        <v>0</v>
      </c>
      <c r="F16" s="11">
        <v>0</v>
      </c>
      <c r="G16" s="14"/>
      <c r="H16" s="4"/>
      <c r="I16" s="1"/>
      <c r="J16" s="224"/>
      <c r="K16" s="51"/>
      <c r="L16" s="52"/>
      <c r="M16" s="40">
        <f>P16*70%</f>
        <v>676.19999999999993</v>
      </c>
      <c r="N16" s="40">
        <f>P16*80%</f>
        <v>772.80000000000007</v>
      </c>
      <c r="O16" s="40">
        <f>P16*90%</f>
        <v>869.4</v>
      </c>
      <c r="P16" s="41">
        <f>E5+E6</f>
        <v>966</v>
      </c>
      <c r="Q16" s="40">
        <f>P16*110%</f>
        <v>1062.6000000000001</v>
      </c>
      <c r="R16" s="40">
        <f>P16*120%</f>
        <v>1159.2</v>
      </c>
      <c r="S16" s="42">
        <f>P16*130%</f>
        <v>1255.8</v>
      </c>
      <c r="T16" s="1"/>
    </row>
    <row r="17" spans="1:22" ht="16.5" customHeight="1">
      <c r="A17" s="7"/>
      <c r="B17" s="2"/>
      <c r="C17" s="82" t="s">
        <v>86</v>
      </c>
      <c r="D17" s="151" t="s">
        <v>46</v>
      </c>
      <c r="E17" s="10">
        <v>0</v>
      </c>
      <c r="F17" s="11">
        <v>0</v>
      </c>
      <c r="G17" s="14"/>
      <c r="H17" s="4"/>
      <c r="I17" s="1"/>
      <c r="J17" s="224"/>
      <c r="K17" s="101" t="s">
        <v>88</v>
      </c>
      <c r="L17" s="54">
        <f>L20*85%</f>
        <v>2.5924999999999998</v>
      </c>
      <c r="M17" s="111">
        <f t="shared" ref="M17:M23" si="0">(L17*$M$16)+$G$7-$G$55</f>
        <v>-689.0392230158734</v>
      </c>
      <c r="N17" s="112">
        <f t="shared" ref="N17:N23" si="1">(L17*$N$16)+$G$7-$G$55</f>
        <v>-438.60372301587313</v>
      </c>
      <c r="O17" s="112">
        <f t="shared" ref="O17:O23" si="2">(L17*$O$16)+$G$7-$G$55</f>
        <v>-188.16822301587308</v>
      </c>
      <c r="P17" s="112">
        <f t="shared" ref="P17:P23" si="3">(L17*$P$16)+$G$7-$G$55</f>
        <v>62.267276984126966</v>
      </c>
      <c r="Q17" s="112">
        <f t="shared" ref="Q17:Q23" si="4">(L17*$Q$16)+$G$7-$G$55</f>
        <v>312.70277698412701</v>
      </c>
      <c r="R17" s="112">
        <f t="shared" ref="R17:R23" si="5">(L17*$R$16)+$G$7-$G$55</f>
        <v>563.13827698412706</v>
      </c>
      <c r="S17" s="113">
        <f t="shared" ref="S17:S23" si="6">(L17*$S$16)+$G$7-$G$55</f>
        <v>813.57377698412665</v>
      </c>
      <c r="T17" s="1"/>
    </row>
    <row r="18" spans="1:22" ht="16.5" customHeight="1">
      <c r="A18" s="7"/>
      <c r="B18" s="2" t="s">
        <v>89</v>
      </c>
      <c r="C18" s="2"/>
      <c r="D18" s="3" t="s">
        <v>55</v>
      </c>
      <c r="E18" s="66"/>
      <c r="F18" s="14"/>
      <c r="G18" s="14">
        <f>SUMPRODUCT(E19:E21,F19:F21)</f>
        <v>10.24</v>
      </c>
      <c r="H18" s="4"/>
      <c r="I18" s="1"/>
      <c r="J18" s="224"/>
      <c r="K18" s="101" t="s">
        <v>80</v>
      </c>
      <c r="L18" s="54">
        <f>L20*90%</f>
        <v>2.7450000000000001</v>
      </c>
      <c r="M18" s="114">
        <f t="shared" si="0"/>
        <v>-585.91872301587318</v>
      </c>
      <c r="N18" s="115">
        <f t="shared" si="1"/>
        <v>-320.75172301587281</v>
      </c>
      <c r="O18" s="115">
        <f t="shared" si="2"/>
        <v>-55.584723015872896</v>
      </c>
      <c r="P18" s="115">
        <f t="shared" si="3"/>
        <v>209.58227698412702</v>
      </c>
      <c r="Q18" s="115">
        <f t="shared" si="4"/>
        <v>474.74927698412739</v>
      </c>
      <c r="R18" s="115">
        <f t="shared" si="5"/>
        <v>739.91627698412731</v>
      </c>
      <c r="S18" s="116">
        <f t="shared" si="6"/>
        <v>1005.0832769841268</v>
      </c>
      <c r="T18" s="1"/>
    </row>
    <row r="19" spans="1:22" ht="16.5" customHeight="1">
      <c r="A19" s="7"/>
      <c r="B19" s="2"/>
      <c r="C19" s="152" t="s">
        <v>77</v>
      </c>
      <c r="D19" s="17" t="s">
        <v>216</v>
      </c>
      <c r="E19" s="76">
        <v>128</v>
      </c>
      <c r="F19" s="78">
        <v>0.08</v>
      </c>
      <c r="G19" s="14"/>
      <c r="H19" s="4"/>
      <c r="I19" s="1"/>
      <c r="J19" s="224"/>
      <c r="K19" s="102" t="s">
        <v>90</v>
      </c>
      <c r="L19" s="54">
        <f>L20*0.95</f>
        <v>2.8974999999999995</v>
      </c>
      <c r="M19" s="114">
        <f t="shared" si="0"/>
        <v>-482.79822301587365</v>
      </c>
      <c r="N19" s="115">
        <f t="shared" si="1"/>
        <v>-202.89972301587341</v>
      </c>
      <c r="O19" s="115">
        <f t="shared" si="2"/>
        <v>76.99877698412638</v>
      </c>
      <c r="P19" s="115">
        <f t="shared" si="3"/>
        <v>356.89727698412662</v>
      </c>
      <c r="Q19" s="115">
        <f t="shared" si="4"/>
        <v>636.79577698412686</v>
      </c>
      <c r="R19" s="115">
        <f t="shared" si="5"/>
        <v>916.69427698412665</v>
      </c>
      <c r="S19" s="116">
        <f t="shared" si="6"/>
        <v>1196.5927769841264</v>
      </c>
      <c r="T19" s="1"/>
    </row>
    <row r="20" spans="1:22" ht="16.5" customHeight="1">
      <c r="A20" s="7"/>
      <c r="B20" s="2"/>
      <c r="C20" s="152" t="s">
        <v>91</v>
      </c>
      <c r="D20" s="17" t="s">
        <v>46</v>
      </c>
      <c r="E20" s="76">
        <v>0</v>
      </c>
      <c r="F20" s="78">
        <v>0</v>
      </c>
      <c r="G20" s="14"/>
      <c r="H20" s="4"/>
      <c r="I20" s="1"/>
      <c r="J20" s="224"/>
      <c r="K20" s="101" t="s">
        <v>81</v>
      </c>
      <c r="L20" s="32">
        <f>SUMPRODUCT(F5:F6,E5:E6)/SUM(E5:E6)</f>
        <v>3.05</v>
      </c>
      <c r="M20" s="114">
        <f t="shared" si="0"/>
        <v>-379.6777230158732</v>
      </c>
      <c r="N20" s="115">
        <f t="shared" si="1"/>
        <v>-85.047723015873089</v>
      </c>
      <c r="O20" s="115">
        <f t="shared" si="2"/>
        <v>209.58227698412657</v>
      </c>
      <c r="P20" s="117">
        <f t="shared" si="3"/>
        <v>504.21227698412667</v>
      </c>
      <c r="Q20" s="115">
        <f t="shared" si="4"/>
        <v>798.84227698412724</v>
      </c>
      <c r="R20" s="115">
        <f t="shared" si="5"/>
        <v>1093.4722769841269</v>
      </c>
      <c r="S20" s="116">
        <f t="shared" si="6"/>
        <v>1388.1022769841265</v>
      </c>
      <c r="T20" s="1"/>
    </row>
    <row r="21" spans="1:22" ht="16.5" customHeight="1">
      <c r="A21" s="7"/>
      <c r="B21" s="2"/>
      <c r="C21" s="152" t="s">
        <v>92</v>
      </c>
      <c r="D21" s="17" t="s">
        <v>46</v>
      </c>
      <c r="E21" s="76">
        <v>0</v>
      </c>
      <c r="F21" s="78">
        <v>0</v>
      </c>
      <c r="G21" s="14"/>
      <c r="H21" s="4"/>
      <c r="I21" s="1"/>
      <c r="J21" s="224"/>
      <c r="K21" s="101" t="s">
        <v>93</v>
      </c>
      <c r="L21" s="54">
        <f>L20*105%</f>
        <v>3.2025000000000001</v>
      </c>
      <c r="M21" s="114">
        <f t="shared" si="0"/>
        <v>-276.55722301587321</v>
      </c>
      <c r="N21" s="115">
        <f t="shared" si="1"/>
        <v>32.804276984127227</v>
      </c>
      <c r="O21" s="115">
        <f t="shared" si="2"/>
        <v>342.16577698412721</v>
      </c>
      <c r="P21" s="115">
        <f t="shared" si="3"/>
        <v>651.52727698412718</v>
      </c>
      <c r="Q21" s="115">
        <f t="shared" si="4"/>
        <v>960.88877698412762</v>
      </c>
      <c r="R21" s="115">
        <f t="shared" si="5"/>
        <v>1270.2502769841271</v>
      </c>
      <c r="S21" s="116">
        <f t="shared" si="6"/>
        <v>1579.6117769841271</v>
      </c>
      <c r="T21" s="1"/>
    </row>
    <row r="22" spans="1:22" ht="16.5" customHeight="1">
      <c r="A22" s="7"/>
      <c r="B22" s="2" t="s">
        <v>94</v>
      </c>
      <c r="D22" s="3" t="s">
        <v>55</v>
      </c>
      <c r="E22" s="66"/>
      <c r="F22" s="14"/>
      <c r="G22" s="14">
        <f>SUMPRODUCT(E23:E25,F23:F25)</f>
        <v>0</v>
      </c>
      <c r="H22" s="4"/>
      <c r="I22" s="1"/>
      <c r="J22" s="224"/>
      <c r="K22" s="101" t="s">
        <v>82</v>
      </c>
      <c r="L22" s="54">
        <f>L20*110%</f>
        <v>3.355</v>
      </c>
      <c r="M22" s="114">
        <f t="shared" si="0"/>
        <v>-173.43672301587321</v>
      </c>
      <c r="N22" s="115">
        <f t="shared" si="1"/>
        <v>150.65627698412709</v>
      </c>
      <c r="O22" s="115">
        <f t="shared" si="2"/>
        <v>474.74927698412694</v>
      </c>
      <c r="P22" s="115">
        <f t="shared" si="3"/>
        <v>798.84227698412678</v>
      </c>
      <c r="Q22" s="115">
        <f t="shared" si="4"/>
        <v>1122.9352769841275</v>
      </c>
      <c r="R22" s="115">
        <f t="shared" si="5"/>
        <v>1447.0282769841269</v>
      </c>
      <c r="S22" s="116">
        <f t="shared" si="6"/>
        <v>1771.1212769841268</v>
      </c>
      <c r="T22" s="1"/>
    </row>
    <row r="23" spans="1:22" ht="16.5" customHeight="1">
      <c r="A23" s="7"/>
      <c r="B23" s="2"/>
      <c r="C23" s="152" t="s">
        <v>95</v>
      </c>
      <c r="D23" s="17" t="s">
        <v>46</v>
      </c>
      <c r="E23" s="76">
        <v>0</v>
      </c>
      <c r="F23" s="78">
        <v>0.17</v>
      </c>
      <c r="G23" s="14"/>
      <c r="H23" s="4"/>
      <c r="I23" s="1"/>
      <c r="J23" s="225"/>
      <c r="K23" s="103" t="s">
        <v>96</v>
      </c>
      <c r="L23" s="57">
        <f>L20*115%</f>
        <v>3.5074999999999994</v>
      </c>
      <c r="M23" s="118">
        <f t="shared" si="0"/>
        <v>-70.316223015873675</v>
      </c>
      <c r="N23" s="119">
        <f t="shared" si="1"/>
        <v>268.5082769841265</v>
      </c>
      <c r="O23" s="119">
        <f t="shared" si="2"/>
        <v>607.33277698412621</v>
      </c>
      <c r="P23" s="119">
        <f t="shared" si="3"/>
        <v>946.15727698412638</v>
      </c>
      <c r="Q23" s="119">
        <f t="shared" si="4"/>
        <v>1284.981776984127</v>
      </c>
      <c r="R23" s="119">
        <f t="shared" si="5"/>
        <v>1623.8062769841263</v>
      </c>
      <c r="S23" s="120">
        <f t="shared" si="6"/>
        <v>1962.630776984126</v>
      </c>
      <c r="T23" s="1"/>
    </row>
    <row r="24" spans="1:22" ht="16.5" customHeight="1">
      <c r="A24" s="7"/>
      <c r="B24" s="2"/>
      <c r="C24" s="152" t="s">
        <v>97</v>
      </c>
      <c r="D24" s="17" t="s">
        <v>46</v>
      </c>
      <c r="E24" s="76">
        <v>0</v>
      </c>
      <c r="F24" s="78">
        <v>0.75</v>
      </c>
      <c r="G24" s="14"/>
      <c r="H24" s="4"/>
      <c r="I24" s="1"/>
      <c r="J24" s="28"/>
      <c r="K24" s="28"/>
      <c r="L24" s="28"/>
      <c r="M24" s="28"/>
      <c r="N24" s="28"/>
      <c r="O24" s="28"/>
      <c r="P24" s="28"/>
      <c r="Q24" s="28"/>
      <c r="R24" s="28"/>
      <c r="S24" s="28"/>
      <c r="T24" s="1"/>
    </row>
    <row r="25" spans="1:22" ht="16.5" customHeight="1">
      <c r="A25" s="4"/>
      <c r="B25" s="2"/>
      <c r="C25" s="152" t="s">
        <v>98</v>
      </c>
      <c r="D25" s="17" t="s">
        <v>99</v>
      </c>
      <c r="E25" s="76">
        <v>0</v>
      </c>
      <c r="F25" s="78">
        <v>30</v>
      </c>
      <c r="G25" s="14"/>
      <c r="H25" s="4"/>
      <c r="I25" s="4"/>
      <c r="J25" s="81" t="s">
        <v>217</v>
      </c>
      <c r="K25" s="71"/>
      <c r="L25" s="71"/>
      <c r="M25" s="71"/>
      <c r="N25" s="71"/>
      <c r="O25" s="71"/>
      <c r="P25" s="71"/>
      <c r="Q25" s="71"/>
      <c r="R25" s="71"/>
      <c r="S25" s="71"/>
    </row>
    <row r="26" spans="1:22" ht="16.5" customHeight="1">
      <c r="A26" s="4"/>
      <c r="B26" s="2" t="s">
        <v>101</v>
      </c>
      <c r="C26" s="2"/>
      <c r="D26" s="38"/>
      <c r="E26" s="66"/>
      <c r="F26" s="14"/>
      <c r="G26" s="14"/>
      <c r="H26" s="4"/>
      <c r="I26" s="4"/>
      <c r="J26" s="28" t="s">
        <v>102</v>
      </c>
      <c r="K26" s="28"/>
      <c r="L26" s="28"/>
      <c r="M26" s="28"/>
      <c r="N26" s="28"/>
      <c r="O26" s="28"/>
      <c r="P26" s="28"/>
      <c r="Q26" s="28"/>
      <c r="R26" s="28"/>
      <c r="S26" s="28"/>
    </row>
    <row r="27" spans="1:22" ht="16.5" customHeight="1">
      <c r="A27" s="4"/>
      <c r="B27" s="2" t="s">
        <v>103</v>
      </c>
      <c r="C27" s="2" t="s">
        <v>104</v>
      </c>
      <c r="D27" s="38" t="s">
        <v>55</v>
      </c>
      <c r="E27" s="66"/>
      <c r="F27" s="14"/>
      <c r="G27" s="78">
        <v>0</v>
      </c>
      <c r="H27" s="4"/>
      <c r="I27" s="4"/>
      <c r="J27" s="33"/>
      <c r="K27" s="34"/>
      <c r="L27" s="34"/>
      <c r="M27" s="228" t="s">
        <v>105</v>
      </c>
      <c r="N27" s="229"/>
      <c r="O27" s="229"/>
      <c r="P27" s="229"/>
      <c r="Q27" s="229"/>
      <c r="R27" s="229"/>
      <c r="S27" s="230"/>
    </row>
    <row r="28" spans="1:22" ht="16.5" customHeight="1">
      <c r="A28" s="4"/>
      <c r="B28" s="2"/>
      <c r="C28" s="2" t="s">
        <v>106</v>
      </c>
      <c r="D28" s="38" t="s">
        <v>55</v>
      </c>
      <c r="E28" s="66"/>
      <c r="F28" s="14"/>
      <c r="G28" s="78">
        <v>0</v>
      </c>
      <c r="H28" s="4"/>
      <c r="I28" s="4"/>
      <c r="J28" s="31"/>
      <c r="K28" s="58"/>
      <c r="L28" s="35"/>
      <c r="M28" s="63" t="s">
        <v>88</v>
      </c>
      <c r="N28" s="61" t="s">
        <v>80</v>
      </c>
      <c r="O28" s="61" t="s">
        <v>90</v>
      </c>
      <c r="P28" s="61" t="s">
        <v>81</v>
      </c>
      <c r="Q28" s="61" t="s">
        <v>93</v>
      </c>
      <c r="R28" s="61" t="s">
        <v>82</v>
      </c>
      <c r="S28" s="62" t="s">
        <v>96</v>
      </c>
    </row>
    <row r="29" spans="1:22" ht="16.5" customHeight="1">
      <c r="A29" s="4"/>
      <c r="C29" s="2" t="s">
        <v>108</v>
      </c>
      <c r="D29" s="38" t="s">
        <v>55</v>
      </c>
      <c r="E29" s="66"/>
      <c r="F29" s="14"/>
      <c r="G29" s="78">
        <v>30</v>
      </c>
      <c r="H29" s="4"/>
      <c r="I29" s="4"/>
      <c r="J29" s="224" t="s">
        <v>64</v>
      </c>
      <c r="K29" s="59"/>
      <c r="L29" s="125" t="s">
        <v>96</v>
      </c>
      <c r="M29" s="111">
        <f>($G$8*0.85)-($G$44*1.15)-$G$52</f>
        <v>-157.54000051587332</v>
      </c>
      <c r="N29" s="112">
        <f>($G$8*0.9)-($G$44*1.15)-$G$52</f>
        <v>-10.225000515873262</v>
      </c>
      <c r="O29" s="112">
        <f>($G$8*0.95)-($G$44*1.15)-$G$52</f>
        <v>137.08999948412679</v>
      </c>
      <c r="P29" s="112">
        <f>($G$8)-($G$44*1.15)-$G$52</f>
        <v>284.40499948412685</v>
      </c>
      <c r="Q29" s="112">
        <f>($G$8*1.05)-($G$44*1.15)-$G$52</f>
        <v>431.7199994841269</v>
      </c>
      <c r="R29" s="112">
        <f>($G$8*1.1)-($G$44*1.15)-$G$52</f>
        <v>579.03499948412696</v>
      </c>
      <c r="S29" s="113">
        <f>($G$8*1.15)-($G$44*1.15)-$G$52</f>
        <v>726.34999948412656</v>
      </c>
    </row>
    <row r="30" spans="1:22" ht="16.5" customHeight="1">
      <c r="A30" s="4"/>
      <c r="C30" s="2" t="s">
        <v>109</v>
      </c>
      <c r="D30" s="38" t="s">
        <v>55</v>
      </c>
      <c r="E30" s="66"/>
      <c r="F30" s="14"/>
      <c r="G30" s="78">
        <f t="shared" ref="G30" si="7">E30*F30</f>
        <v>0</v>
      </c>
      <c r="H30" s="4"/>
      <c r="I30" s="4"/>
      <c r="J30" s="224"/>
      <c r="K30" s="59"/>
      <c r="L30" s="124" t="s">
        <v>82</v>
      </c>
      <c r="M30" s="114">
        <f>($G$8*0.85)-($G$44*1.1)-$G$52</f>
        <v>-84.270908015873601</v>
      </c>
      <c r="N30" s="115">
        <f>($G$8*0.9)-($G$44*1.1)-$G$52</f>
        <v>63.044091984126453</v>
      </c>
      <c r="O30" s="115">
        <f>($G$8*0.95)-($G$44*1.1)-$G$52</f>
        <v>210.35909198412651</v>
      </c>
      <c r="P30" s="115">
        <f>($G$8)-($G$44*1.1)-$G$52</f>
        <v>357.67409198412656</v>
      </c>
      <c r="Q30" s="115">
        <f>($G$8*1.05)-($G$44*1.1)-$G$52</f>
        <v>504.98909198412662</v>
      </c>
      <c r="R30" s="115">
        <f>($G$8*1.1)-($G$44*1.1)-$G$52</f>
        <v>652.30409198412667</v>
      </c>
      <c r="S30" s="116">
        <f>($G$8*1.15)-($G$44*1.1)-$G$52</f>
        <v>799.61909198412627</v>
      </c>
    </row>
    <row r="31" spans="1:22" ht="16.5" customHeight="1">
      <c r="A31" s="4"/>
      <c r="B31" s="2" t="s">
        <v>115</v>
      </c>
      <c r="C31" s="2"/>
      <c r="D31" s="3" t="s">
        <v>55</v>
      </c>
      <c r="E31" s="16">
        <f>SUM(E32:E36)</f>
        <v>30</v>
      </c>
      <c r="F31" s="2"/>
      <c r="G31" s="14">
        <f>SUMPRODUCT(E32:E36,F32:F36)</f>
        <v>558</v>
      </c>
      <c r="I31" s="4"/>
      <c r="J31" s="224"/>
      <c r="K31" s="59"/>
      <c r="L31" s="124" t="s">
        <v>93</v>
      </c>
      <c r="M31" s="114">
        <f>($G$8*0.85)-($G$44*1.05)-$G$52</f>
        <v>-11.001815515873659</v>
      </c>
      <c r="N31" s="115">
        <f>($G$8*0.9)-($G$44*1.05)-$G$52</f>
        <v>136.3131844841264</v>
      </c>
      <c r="O31" s="115">
        <f>($G$8*0.95)-($G$44*1.05)-$G$52</f>
        <v>283.62818448412645</v>
      </c>
      <c r="P31" s="115">
        <f>($G$8)-($G$44*1.05)-$G$52</f>
        <v>430.9431844841265</v>
      </c>
      <c r="Q31" s="115">
        <f>($G$8*1.05)-($G$44*1.05)-$G$52</f>
        <v>578.25818448412656</v>
      </c>
      <c r="R31" s="115">
        <f>($G$8*1.1)-($G$44*1.05)-$G$52</f>
        <v>725.57318448412661</v>
      </c>
      <c r="S31" s="116">
        <f>($G$8*1.15)-($G$44*1.05)-$G$52</f>
        <v>872.88818448412621</v>
      </c>
    </row>
    <row r="32" spans="1:22" ht="16.5" customHeight="1">
      <c r="B32" s="7"/>
      <c r="C32" s="2" t="s">
        <v>116</v>
      </c>
      <c r="D32" s="3" t="s">
        <v>117</v>
      </c>
      <c r="E32" s="76">
        <v>6</v>
      </c>
      <c r="F32" s="11">
        <v>18.600000000000001</v>
      </c>
      <c r="G32" s="14"/>
      <c r="J32" s="224"/>
      <c r="K32" s="59"/>
      <c r="L32" s="124" t="s">
        <v>81</v>
      </c>
      <c r="M32" s="114">
        <f>($G$8*0.85)-($G$44)-$G$52</f>
        <v>62.267276984126511</v>
      </c>
      <c r="N32" s="115">
        <f>($G$8*0.9)-($G$44)-$G$52</f>
        <v>209.58227698412657</v>
      </c>
      <c r="O32" s="115">
        <f>($G$8*0.95)-($G$44)-$G$52</f>
        <v>356.89727698412662</v>
      </c>
      <c r="P32" s="117">
        <f>($G$8)-($G$44)-$G$52</f>
        <v>504.21227698412667</v>
      </c>
      <c r="Q32" s="115">
        <f>($G$8*1.05)-($G$44)-$G$52</f>
        <v>651.52727698412673</v>
      </c>
      <c r="R32" s="115">
        <f>($G$8*1.1)-($G$44)-$G$52</f>
        <v>798.84227698412678</v>
      </c>
      <c r="S32" s="116">
        <f>($G$8*1.15)-($G$44)-$G$52</f>
        <v>946.15727698412638</v>
      </c>
      <c r="V32" t="s">
        <v>118</v>
      </c>
    </row>
    <row r="33" spans="2:22" ht="16.5" customHeight="1">
      <c r="B33" s="7"/>
      <c r="C33" s="2" t="s">
        <v>119</v>
      </c>
      <c r="D33" s="3" t="s">
        <v>117</v>
      </c>
      <c r="E33" s="76">
        <v>3</v>
      </c>
      <c r="F33" s="11">
        <v>18.600000000000001</v>
      </c>
      <c r="G33" s="14"/>
      <c r="J33" s="224"/>
      <c r="K33" s="59"/>
      <c r="L33" s="124" t="s">
        <v>90</v>
      </c>
      <c r="M33" s="114">
        <f>($G$8*0.85)-($G$44*0.95)-$G$52</f>
        <v>135.53636948412668</v>
      </c>
      <c r="N33" s="115">
        <f>($G$8*0.9)-($G$44*0.95)-$G$52</f>
        <v>282.85136948412674</v>
      </c>
      <c r="O33" s="115">
        <f>($G$8*0.95)-($G$44*0.95)-$G$52</f>
        <v>430.16636948412679</v>
      </c>
      <c r="P33" s="115">
        <f>($G$8)-($G$44*0.95)-$G$52</f>
        <v>577.48136948412684</v>
      </c>
      <c r="Q33" s="115">
        <f>($G$8*1.05)-($G$44*0.95)-$G$52</f>
        <v>724.7963694841269</v>
      </c>
      <c r="R33" s="115">
        <f>($G$8*1.1)-($G$44*0.95)-$G$52</f>
        <v>872.11136948412695</v>
      </c>
      <c r="S33" s="116">
        <f>($G$8*1.15)-($G$44*0.95)-$G$52</f>
        <v>1019.4263694841266</v>
      </c>
      <c r="V33" t="s">
        <v>118</v>
      </c>
    </row>
    <row r="34" spans="2:22" ht="16.5" customHeight="1">
      <c r="B34" s="7"/>
      <c r="C34" s="2" t="s">
        <v>120</v>
      </c>
      <c r="D34" s="3" t="s">
        <v>117</v>
      </c>
      <c r="E34" s="76">
        <v>8</v>
      </c>
      <c r="F34" s="11">
        <v>18.600000000000001</v>
      </c>
      <c r="G34" s="14"/>
      <c r="J34" s="225"/>
      <c r="K34" s="60"/>
      <c r="L34" s="124" t="s">
        <v>80</v>
      </c>
      <c r="M34" s="114">
        <f>($G$8*0.85)-($G$44*0.9)-$G$52</f>
        <v>208.8054619841264</v>
      </c>
      <c r="N34" s="115">
        <f>($G$8*0.9)-($G$44*0.9)-$G$52</f>
        <v>356.12046198412645</v>
      </c>
      <c r="O34" s="115">
        <f>($G$8*0.95)-($G$44*0.9)-$G$52</f>
        <v>503.4354619841265</v>
      </c>
      <c r="P34" s="115">
        <f>($G$8)-($G$44*0.9)-$G$52</f>
        <v>650.75046198412656</v>
      </c>
      <c r="Q34" s="115">
        <f>($G$8*1.05)-($G$44*0.9)-$G$52</f>
        <v>798.06546198412661</v>
      </c>
      <c r="R34" s="115">
        <f>($G$8*1.1)-($G$44*0.9)-$G$52</f>
        <v>945.38046198412667</v>
      </c>
      <c r="S34" s="116">
        <f>($G$8*1.15)-($G$44*0.9)-$G$52</f>
        <v>1092.6954619841265</v>
      </c>
      <c r="V34" t="s">
        <v>118</v>
      </c>
    </row>
    <row r="35" spans="2:22" ht="16.5" customHeight="1">
      <c r="B35" s="7"/>
      <c r="C35" s="2" t="s">
        <v>121</v>
      </c>
      <c r="D35" s="3" t="s">
        <v>117</v>
      </c>
      <c r="E35" s="76">
        <v>8</v>
      </c>
      <c r="F35" s="11">
        <v>18.600000000000001</v>
      </c>
      <c r="G35" s="14"/>
      <c r="J35" s="127"/>
      <c r="K35" s="127"/>
      <c r="L35" s="126" t="s">
        <v>88</v>
      </c>
      <c r="M35" s="118">
        <f>($G$8*0.85)-($G$44*0.85)-$G$52</f>
        <v>282.07455448412657</v>
      </c>
      <c r="N35" s="119">
        <f>($G$8*0.9)-($G$44*0.85)-$G$52</f>
        <v>429.38955448412662</v>
      </c>
      <c r="O35" s="119">
        <f>($G$8*0.95)-($G$44*0.85)-$G$52</f>
        <v>576.70455448412667</v>
      </c>
      <c r="P35" s="119">
        <f>($G$8)-($G$44*0.85)-$G$52</f>
        <v>724.01955448412673</v>
      </c>
      <c r="Q35" s="119">
        <f>($G$8*1.05)-($G$44*0.85)-$G$52</f>
        <v>871.33455448412678</v>
      </c>
      <c r="R35" s="119">
        <f>($G$8*1.1)-($G$44*0.85)-$G$52</f>
        <v>1018.6495544841268</v>
      </c>
      <c r="S35" s="120">
        <f>($G$8*1.15)-($G$44*0.85)-$G$52</f>
        <v>1165.9645544841262</v>
      </c>
      <c r="V35" t="s">
        <v>118</v>
      </c>
    </row>
    <row r="36" spans="2:22" ht="16.5" customHeight="1">
      <c r="B36" s="7"/>
      <c r="C36" s="2" t="s">
        <v>122</v>
      </c>
      <c r="D36" s="3" t="s">
        <v>117</v>
      </c>
      <c r="E36" s="76">
        <v>5</v>
      </c>
      <c r="F36" s="11">
        <v>18.600000000000001</v>
      </c>
      <c r="G36" s="14"/>
      <c r="V36" t="s">
        <v>118</v>
      </c>
    </row>
    <row r="37" spans="2:22" ht="16.5" customHeight="1">
      <c r="B37" s="2" t="s">
        <v>123</v>
      </c>
      <c r="C37" s="2"/>
      <c r="D37" s="3"/>
      <c r="E37" s="66"/>
      <c r="F37" s="64"/>
      <c r="G37" s="14"/>
    </row>
    <row r="38" spans="2:22" ht="16.5" customHeight="1">
      <c r="B38" s="7"/>
      <c r="C38" s="82" t="s">
        <v>124</v>
      </c>
      <c r="D38" s="151" t="s">
        <v>67</v>
      </c>
      <c r="E38" s="76">
        <v>10</v>
      </c>
      <c r="F38" s="11">
        <v>2.2000000000000002</v>
      </c>
      <c r="G38" s="14">
        <f t="shared" ref="G38:G40" si="8">E38*F38</f>
        <v>22</v>
      </c>
    </row>
    <row r="39" spans="2:22" ht="16.5" customHeight="1">
      <c r="B39" s="7"/>
      <c r="C39" s="82" t="s">
        <v>302</v>
      </c>
      <c r="D39" s="151" t="s">
        <v>67</v>
      </c>
      <c r="E39" s="76">
        <v>725</v>
      </c>
      <c r="F39" s="11">
        <v>0.03</v>
      </c>
      <c r="G39" s="14">
        <f t="shared" si="8"/>
        <v>21.75</v>
      </c>
      <c r="V39" t="s">
        <v>218</v>
      </c>
    </row>
    <row r="40" spans="2:22" ht="16.5" customHeight="1">
      <c r="B40" s="7"/>
      <c r="C40" s="82" t="s">
        <v>219</v>
      </c>
      <c r="D40" s="151" t="s">
        <v>67</v>
      </c>
      <c r="E40" s="76">
        <v>0</v>
      </c>
      <c r="F40" s="11">
        <v>0.21</v>
      </c>
      <c r="G40" s="14">
        <f t="shared" si="8"/>
        <v>0</v>
      </c>
      <c r="V40" t="s">
        <v>220</v>
      </c>
    </row>
    <row r="41" spans="2:22" ht="16.5" customHeight="1">
      <c r="B41" s="2" t="s">
        <v>127</v>
      </c>
      <c r="C41" s="2"/>
      <c r="D41" s="19" t="s">
        <v>128</v>
      </c>
      <c r="E41" s="14"/>
      <c r="F41" s="135">
        <v>0.1</v>
      </c>
      <c r="G41" s="14">
        <f>G8*F41</f>
        <v>294.63</v>
      </c>
      <c r="J41" s="65"/>
    </row>
    <row r="42" spans="2:22" ht="16.5" customHeight="1">
      <c r="B42" s="2" t="s">
        <v>129</v>
      </c>
      <c r="C42" s="4"/>
      <c r="D42" s="3" t="s">
        <v>55</v>
      </c>
      <c r="E42" s="4"/>
      <c r="F42" s="4"/>
      <c r="G42" s="20">
        <v>10</v>
      </c>
    </row>
    <row r="43" spans="2:22" ht="16.5" customHeight="1">
      <c r="B43" s="2" t="s">
        <v>130</v>
      </c>
      <c r="C43" s="4"/>
      <c r="D43" s="3" t="s">
        <v>7</v>
      </c>
      <c r="F43" s="94">
        <v>7.2499999999999995E-2</v>
      </c>
      <c r="G43" s="12">
        <f>SUM(G9:G42)/2*F43</f>
        <v>51.261849999999995</v>
      </c>
    </row>
    <row r="44" spans="2:22" ht="16.5" customHeight="1">
      <c r="B44" s="4"/>
      <c r="C44" s="13" t="s">
        <v>131</v>
      </c>
      <c r="D44" s="3"/>
      <c r="E44" s="21"/>
      <c r="F44" s="2"/>
      <c r="G44" s="14">
        <f>SUM(G11:G43)</f>
        <v>1465.38185</v>
      </c>
    </row>
    <row r="45" spans="2:22" ht="16.5" customHeight="1">
      <c r="B45" s="4"/>
      <c r="C45" s="13"/>
      <c r="D45" s="3"/>
      <c r="E45" s="21"/>
      <c r="F45" s="2"/>
      <c r="G45" s="14"/>
    </row>
    <row r="46" spans="2:22" ht="16.5" customHeight="1">
      <c r="B46" s="15" t="s">
        <v>132</v>
      </c>
      <c r="C46" s="15"/>
      <c r="D46" s="22" t="s">
        <v>4</v>
      </c>
      <c r="E46" s="9" t="s">
        <v>41</v>
      </c>
      <c r="F46" s="9" t="s">
        <v>42</v>
      </c>
      <c r="G46" s="9" t="s">
        <v>43</v>
      </c>
    </row>
    <row r="47" spans="2:22" ht="15.75">
      <c r="B47" s="2" t="s">
        <v>133</v>
      </c>
      <c r="C47" s="2"/>
      <c r="D47" s="3" t="s">
        <v>134</v>
      </c>
      <c r="E47" s="23">
        <v>4</v>
      </c>
      <c r="F47" s="14">
        <f>Investment!G32/12</f>
        <v>137.56230158730159</v>
      </c>
      <c r="G47" s="26">
        <f>E47*F47</f>
        <v>550.24920634920636</v>
      </c>
    </row>
    <row r="48" spans="2:22" ht="15.75">
      <c r="B48" s="2" t="s">
        <v>135</v>
      </c>
      <c r="C48" s="2"/>
      <c r="D48" s="3" t="s">
        <v>136</v>
      </c>
      <c r="E48" s="96"/>
      <c r="F48" s="14"/>
      <c r="G48" s="14">
        <f>Investment!H32*($E$47/12)</f>
        <v>254.94</v>
      </c>
    </row>
    <row r="49" spans="2:7" ht="15.75">
      <c r="B49" s="2" t="s">
        <v>137</v>
      </c>
      <c r="C49" s="2"/>
      <c r="D49" s="3" t="s">
        <v>138</v>
      </c>
      <c r="E49" s="96"/>
      <c r="F49" s="94">
        <v>1.4999999999999999E-2</v>
      </c>
      <c r="G49" s="14">
        <f>Investment!D32*F49*($E$47/12)</f>
        <v>104.85</v>
      </c>
    </row>
    <row r="50" spans="2:7" ht="15.75">
      <c r="B50" s="2" t="s">
        <v>314</v>
      </c>
      <c r="C50" s="2"/>
      <c r="D50" s="3" t="s">
        <v>136</v>
      </c>
      <c r="E50" s="96"/>
      <c r="F50" s="14"/>
      <c r="G50" s="14">
        <f>Investment!E8*(E47/12)</f>
        <v>66.666666666666657</v>
      </c>
    </row>
    <row r="51" spans="2:7" ht="15.75">
      <c r="B51" s="2" t="s">
        <v>139</v>
      </c>
      <c r="C51" s="2"/>
      <c r="D51" s="3" t="s">
        <v>136</v>
      </c>
      <c r="E51" s="96"/>
      <c r="F51" s="14"/>
      <c r="G51" s="129">
        <v>0</v>
      </c>
    </row>
    <row r="52" spans="2:7" ht="16.5">
      <c r="B52" s="4"/>
      <c r="C52" s="13" t="s">
        <v>140</v>
      </c>
      <c r="E52" s="2"/>
      <c r="F52" s="2"/>
      <c r="G52" s="14">
        <f>SUM(G47:G51)</f>
        <v>976.70587301587307</v>
      </c>
    </row>
    <row r="53" spans="2:7" ht="16.5">
      <c r="B53" s="4"/>
      <c r="C53" s="13"/>
      <c r="E53" s="2"/>
      <c r="F53" s="2"/>
      <c r="G53" s="14"/>
    </row>
    <row r="54" spans="2:7" ht="16.5">
      <c r="B54" s="147"/>
      <c r="C54" s="77"/>
      <c r="D54" s="148"/>
      <c r="E54" s="9" t="s">
        <v>141</v>
      </c>
      <c r="F54" s="9" t="s">
        <v>142</v>
      </c>
      <c r="G54" s="9" t="s">
        <v>43</v>
      </c>
    </row>
    <row r="55" spans="2:7" ht="15.75">
      <c r="B55" s="5" t="s">
        <v>36</v>
      </c>
      <c r="C55" s="13"/>
      <c r="E55" s="141">
        <f>(G44+G52)/M6</f>
        <v>1.2210438615079364</v>
      </c>
      <c r="F55" s="141">
        <f>G55/SUM(E5:E6)</f>
        <v>2.5280411211344442</v>
      </c>
      <c r="G55" s="141">
        <f>G44+G52</f>
        <v>2442.0877230158731</v>
      </c>
    </row>
    <row r="56" spans="2:7" ht="16.5">
      <c r="B56" s="25" t="s">
        <v>143</v>
      </c>
      <c r="C56" s="150"/>
      <c r="D56" s="4"/>
      <c r="E56" s="141">
        <f>(G8-G44)/M6</f>
        <v>0.74045907499999986</v>
      </c>
      <c r="F56" s="141">
        <f>G56/SUM(E5:E6)</f>
        <v>1.5330415631469976</v>
      </c>
      <c r="G56" s="141">
        <f>G8-G44</f>
        <v>1480.9181499999997</v>
      </c>
    </row>
    <row r="57" spans="2:7" ht="16.5">
      <c r="B57" s="133" t="s">
        <v>144</v>
      </c>
      <c r="C57" s="133"/>
      <c r="D57" s="24"/>
      <c r="E57" s="142">
        <f>(G8-G55)/M6</f>
        <v>0.25210613849206331</v>
      </c>
      <c r="F57" s="142">
        <f>G57/SUM(E5:E6)</f>
        <v>0.52195887886555559</v>
      </c>
      <c r="G57" s="142">
        <f>G8-G55</f>
        <v>504.21227698412667</v>
      </c>
    </row>
    <row r="58" spans="2:7">
      <c r="B58" s="168" t="s">
        <v>145</v>
      </c>
      <c r="C58" s="168"/>
      <c r="D58" s="168"/>
      <c r="E58" s="168"/>
      <c r="F58" s="168"/>
      <c r="G58" s="168"/>
    </row>
    <row r="59" spans="2:7">
      <c r="B59" s="168" t="s">
        <v>146</v>
      </c>
      <c r="C59" s="168"/>
      <c r="D59" s="168"/>
      <c r="E59" s="168"/>
      <c r="F59" s="168"/>
      <c r="G59" s="168"/>
    </row>
    <row r="60" spans="2:7">
      <c r="B60" s="168" t="s">
        <v>147</v>
      </c>
      <c r="C60" s="168"/>
      <c r="D60" s="168"/>
      <c r="E60" s="168"/>
      <c r="F60" s="168"/>
      <c r="G60" s="168"/>
    </row>
  </sheetData>
  <mergeCells count="5">
    <mergeCell ref="B2:G2"/>
    <mergeCell ref="E3:G3"/>
    <mergeCell ref="M27:S27"/>
    <mergeCell ref="J29:J34"/>
    <mergeCell ref="J15:J23"/>
  </mergeCells>
  <conditionalFormatting sqref="E10">
    <cfRule type="expression" dxfId="31" priority="9">
      <formula>$G$1="no"</formula>
    </cfRule>
  </conditionalFormatting>
  <conditionalFormatting sqref="E46">
    <cfRule type="expression" dxfId="30" priority="8">
      <formula>$G$1="no"</formula>
    </cfRule>
  </conditionalFormatting>
  <conditionalFormatting sqref="E54">
    <cfRule type="expression" dxfId="29" priority="1">
      <formula>$G$1="no"</formula>
    </cfRule>
  </conditionalFormatting>
  <conditionalFormatting sqref="E4:G4">
    <cfRule type="expression" dxfId="28" priority="5">
      <formula>$G$1="no"</formula>
    </cfRule>
  </conditionalFormatting>
  <conditionalFormatting sqref="G10">
    <cfRule type="expression" dxfId="27" priority="4">
      <formula>$G$1="no"</formula>
    </cfRule>
  </conditionalFormatting>
  <conditionalFormatting sqref="G46">
    <cfRule type="expression" dxfId="26" priority="3">
      <formula>$G$1="no"</formula>
    </cfRule>
  </conditionalFormatting>
  <conditionalFormatting sqref="G54">
    <cfRule type="expression" dxfId="25" priority="2">
      <formula>$G$1="no"</formula>
    </cfRule>
  </conditionalFormatting>
  <conditionalFormatting sqref="M17:S23">
    <cfRule type="cellIs" dxfId="24" priority="7" operator="lessThan">
      <formula>0</formula>
    </cfRule>
  </conditionalFormatting>
  <conditionalFormatting sqref="M29:S35">
    <cfRule type="cellIs" dxfId="23" priority="6" operator="lessThan">
      <formula>0</formula>
    </cfRule>
  </conditionalFormatting>
  <pageMargins left="0.7" right="0.7" top="0.75" bottom="0.75" header="0.3" footer="0.3"/>
  <ignoredErrors>
    <ignoredError sqref="L20 P16 E5:E6" unlockedFormula="1"/>
    <ignoredError sqref="M32:S32" formula="1"/>
    <ignoredError sqref="C21"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7AAA5-3CEA-4834-9214-83BB1A8D7F3E}">
  <dimension ref="A1:V63"/>
  <sheetViews>
    <sheetView showGridLines="0" topLeftCell="A33" zoomScale="120" zoomScaleNormal="120" workbookViewId="0">
      <selection activeCell="J54" sqref="J54"/>
    </sheetView>
  </sheetViews>
  <sheetFormatPr defaultRowHeight="15"/>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9" width="3.125" customWidth="1"/>
    <col min="11" max="19" width="10.625" customWidth="1"/>
    <col min="20" max="20" width="3.125" customWidth="1"/>
  </cols>
  <sheetData>
    <row r="1" spans="1:22" ht="16.5">
      <c r="A1" s="4"/>
      <c r="B1" s="4"/>
      <c r="C1" s="5"/>
      <c r="H1" s="4"/>
      <c r="I1" s="4"/>
    </row>
    <row r="2" spans="1:22" ht="21" customHeight="1">
      <c r="A2" s="4"/>
      <c r="B2" s="221" t="s">
        <v>221</v>
      </c>
      <c r="C2" s="222"/>
      <c r="D2" s="222"/>
      <c r="E2" s="222"/>
      <c r="F2" s="222"/>
      <c r="G2" s="222"/>
      <c r="H2" s="4"/>
      <c r="I2" s="1"/>
      <c r="T2" s="1"/>
    </row>
    <row r="3" spans="1:22" ht="16.5" customHeight="1">
      <c r="A3" s="4"/>
      <c r="D3" s="97"/>
      <c r="E3" s="97"/>
      <c r="F3" s="97"/>
      <c r="G3" s="97"/>
      <c r="H3" s="4"/>
      <c r="I3" s="1"/>
      <c r="T3" s="1"/>
    </row>
    <row r="4" spans="1:22" ht="16.5" customHeight="1">
      <c r="A4" s="7"/>
      <c r="B4" s="100" t="s">
        <v>222</v>
      </c>
      <c r="C4" s="99"/>
      <c r="D4" s="97"/>
      <c r="E4" s="97"/>
      <c r="F4" s="97"/>
      <c r="G4" s="97"/>
      <c r="H4" s="4"/>
      <c r="I4" s="1"/>
      <c r="T4" s="1"/>
    </row>
    <row r="5" spans="1:22" ht="16.5" customHeight="1">
      <c r="A5" s="7"/>
      <c r="B5" s="24"/>
      <c r="C5" s="6"/>
      <c r="D5" s="6"/>
      <c r="E5" s="223"/>
      <c r="F5" s="223"/>
      <c r="G5" s="223"/>
      <c r="H5" s="4"/>
      <c r="I5" s="1"/>
      <c r="T5" s="1"/>
    </row>
    <row r="6" spans="1:22" ht="16.5" customHeight="1">
      <c r="A6" s="7"/>
      <c r="B6" s="98" t="s">
        <v>40</v>
      </c>
      <c r="C6" s="8"/>
      <c r="D6" s="8" t="s">
        <v>4</v>
      </c>
      <c r="E6" s="9" t="s">
        <v>41</v>
      </c>
      <c r="F6" s="9" t="s">
        <v>42</v>
      </c>
      <c r="G6" s="9" t="s">
        <v>43</v>
      </c>
      <c r="H6" s="4"/>
      <c r="I6" s="1"/>
      <c r="J6" s="71" t="s">
        <v>44</v>
      </c>
      <c r="T6" s="1"/>
      <c r="V6" s="162" t="s">
        <v>39</v>
      </c>
    </row>
    <row r="7" spans="1:22" ht="16.5" customHeight="1">
      <c r="A7" s="7"/>
      <c r="B7" s="82" t="s">
        <v>223</v>
      </c>
      <c r="C7" s="23"/>
      <c r="D7" s="3" t="s">
        <v>46</v>
      </c>
      <c r="E7" s="159">
        <f>M9*M10*M11</f>
        <v>1350</v>
      </c>
      <c r="F7" s="78">
        <v>2.9</v>
      </c>
      <c r="G7" s="14">
        <f>E7*F7</f>
        <v>3915</v>
      </c>
      <c r="H7" s="4"/>
      <c r="I7" s="1"/>
      <c r="J7" s="153" t="s">
        <v>47</v>
      </c>
      <c r="K7" s="148"/>
      <c r="L7" s="148"/>
      <c r="M7" s="161" t="s">
        <v>48</v>
      </c>
      <c r="N7" s="160" t="s">
        <v>4</v>
      </c>
      <c r="O7" s="148"/>
      <c r="T7" s="1"/>
      <c r="V7" t="s">
        <v>224</v>
      </c>
    </row>
    <row r="8" spans="1:22" ht="16.5" customHeight="1">
      <c r="A8" s="7"/>
      <c r="B8" s="82" t="s">
        <v>225</v>
      </c>
      <c r="C8" s="23"/>
      <c r="D8" s="3" t="s">
        <v>46</v>
      </c>
      <c r="E8" s="159">
        <f>M9*M10*M12</f>
        <v>450</v>
      </c>
      <c r="F8" s="78">
        <v>0.7</v>
      </c>
      <c r="G8" s="14">
        <f>E8*F8</f>
        <v>315</v>
      </c>
      <c r="H8" s="4"/>
      <c r="I8" s="1"/>
      <c r="J8" s="136" t="s">
        <v>51</v>
      </c>
      <c r="M8" s="79">
        <v>2000</v>
      </c>
      <c r="N8" s="3" t="s">
        <v>52</v>
      </c>
      <c r="T8" s="1"/>
      <c r="V8" t="s">
        <v>226</v>
      </c>
    </row>
    <row r="9" spans="1:22" ht="16.5" customHeight="1">
      <c r="A9" s="7"/>
      <c r="B9" s="2" t="s">
        <v>54</v>
      </c>
      <c r="C9" s="96"/>
      <c r="D9" s="3" t="s">
        <v>55</v>
      </c>
      <c r="E9" s="16"/>
      <c r="F9" s="14"/>
      <c r="G9" s="129">
        <v>0</v>
      </c>
      <c r="H9" s="4"/>
      <c r="I9" s="1"/>
      <c r="J9" s="136" t="s">
        <v>227</v>
      </c>
      <c r="M9" s="79">
        <v>7200</v>
      </c>
      <c r="N9" s="3" t="s">
        <v>57</v>
      </c>
      <c r="T9" s="1"/>
      <c r="V9" t="s">
        <v>228</v>
      </c>
    </row>
    <row r="10" spans="1:22" ht="16.5" customHeight="1">
      <c r="A10" s="7"/>
      <c r="B10" s="7"/>
      <c r="C10" s="13" t="s">
        <v>59</v>
      </c>
      <c r="E10" s="2"/>
      <c r="F10" s="2"/>
      <c r="G10" s="14">
        <f>SUM(G7:G9)</f>
        <v>4230</v>
      </c>
      <c r="H10" s="4"/>
      <c r="I10" s="1"/>
      <c r="J10" s="136" t="s">
        <v>229</v>
      </c>
      <c r="M10" s="163">
        <v>0.25</v>
      </c>
      <c r="N10" s="3" t="s">
        <v>61</v>
      </c>
      <c r="T10" s="1"/>
    </row>
    <row r="11" spans="1:22" ht="16.5" customHeight="1">
      <c r="A11" s="7"/>
      <c r="B11" s="7"/>
      <c r="C11" s="13"/>
      <c r="E11" s="2"/>
      <c r="F11" s="2"/>
      <c r="G11" s="14"/>
      <c r="H11" s="4"/>
      <c r="I11" s="1"/>
      <c r="J11" s="136" t="s">
        <v>62</v>
      </c>
      <c r="M11" s="157">
        <v>0.75</v>
      </c>
      <c r="N11" s="3" t="s">
        <v>63</v>
      </c>
      <c r="T11" s="1"/>
    </row>
    <row r="12" spans="1:22" ht="16.5" customHeight="1">
      <c r="A12" s="7"/>
      <c r="B12" s="15" t="s">
        <v>64</v>
      </c>
      <c r="C12" s="15"/>
      <c r="D12" s="8" t="s">
        <v>4</v>
      </c>
      <c r="E12" s="9" t="s">
        <v>41</v>
      </c>
      <c r="F12" s="9" t="s">
        <v>42</v>
      </c>
      <c r="G12" s="9" t="s">
        <v>43</v>
      </c>
      <c r="H12" s="4"/>
      <c r="I12" s="1"/>
      <c r="J12" s="156" t="s">
        <v>65</v>
      </c>
      <c r="K12" s="154"/>
      <c r="L12" s="154"/>
      <c r="M12" s="158">
        <v>0.25</v>
      </c>
      <c r="N12" s="155" t="s">
        <v>63</v>
      </c>
      <c r="O12" s="154"/>
      <c r="T12" s="1"/>
    </row>
    <row r="13" spans="1:22" ht="16.5" customHeight="1">
      <c r="A13" s="7"/>
      <c r="B13" s="2" t="s">
        <v>172</v>
      </c>
      <c r="C13" s="2"/>
      <c r="D13" s="3" t="s">
        <v>46</v>
      </c>
      <c r="E13" s="76">
        <v>0.5</v>
      </c>
      <c r="F13" s="78">
        <v>25</v>
      </c>
      <c r="G13" s="14">
        <f>E13*F13</f>
        <v>12.5</v>
      </c>
      <c r="H13" s="4"/>
      <c r="I13" s="1"/>
      <c r="T13" s="1"/>
      <c r="V13" t="s">
        <v>230</v>
      </c>
    </row>
    <row r="14" spans="1:22" ht="16.5" customHeight="1">
      <c r="A14" s="7"/>
      <c r="B14" s="2" t="s">
        <v>69</v>
      </c>
      <c r="C14" s="2"/>
      <c r="D14" s="3" t="s">
        <v>67</v>
      </c>
      <c r="E14" s="10">
        <v>1</v>
      </c>
      <c r="F14" s="11">
        <v>25</v>
      </c>
      <c r="G14" s="14">
        <f>E14*F14</f>
        <v>25</v>
      </c>
      <c r="H14" s="4"/>
      <c r="I14" s="1"/>
      <c r="J14" s="71" t="s">
        <v>70</v>
      </c>
      <c r="K14" s="71"/>
      <c r="L14" s="71"/>
      <c r="M14" s="71"/>
      <c r="N14" s="71"/>
      <c r="O14" s="71"/>
      <c r="P14" s="71"/>
      <c r="Q14" s="71"/>
      <c r="R14" s="71"/>
      <c r="S14" s="71"/>
      <c r="T14" s="1"/>
      <c r="V14" t="s">
        <v>71</v>
      </c>
    </row>
    <row r="15" spans="1:22" ht="16.5" customHeight="1">
      <c r="A15" s="7"/>
      <c r="B15" s="2" t="s">
        <v>72</v>
      </c>
      <c r="C15" s="2"/>
      <c r="D15" s="3" t="s">
        <v>67</v>
      </c>
      <c r="E15" s="10">
        <v>1</v>
      </c>
      <c r="F15" s="11">
        <v>40</v>
      </c>
      <c r="G15" s="14">
        <f>E15*F15</f>
        <v>40</v>
      </c>
      <c r="H15" s="4"/>
      <c r="I15" s="1"/>
      <c r="J15" s="28" t="s">
        <v>73</v>
      </c>
      <c r="K15" s="106"/>
      <c r="L15" s="106"/>
      <c r="M15" s="106"/>
      <c r="N15" s="106"/>
      <c r="O15" s="106"/>
      <c r="P15" s="106"/>
      <c r="Q15" s="106"/>
      <c r="R15" s="106"/>
      <c r="S15" s="106"/>
      <c r="T15" s="1"/>
      <c r="V15" t="s">
        <v>74</v>
      </c>
    </row>
    <row r="16" spans="1:22" ht="16.5" customHeight="1">
      <c r="A16" s="7"/>
      <c r="B16" s="2" t="s">
        <v>75</v>
      </c>
      <c r="C16" s="2"/>
      <c r="D16" s="3" t="s">
        <v>55</v>
      </c>
      <c r="E16" s="128"/>
      <c r="F16" s="64"/>
      <c r="G16" s="14">
        <f>SUMPRODUCT(E17:E19,F17:F19)</f>
        <v>0</v>
      </c>
      <c r="H16" s="4"/>
      <c r="I16" s="1"/>
      <c r="J16" s="33"/>
      <c r="K16" s="43"/>
      <c r="L16" s="44"/>
      <c r="M16" s="104"/>
      <c r="N16" s="104"/>
      <c r="O16" s="104"/>
      <c r="P16" s="104" t="s">
        <v>76</v>
      </c>
      <c r="Q16" s="104"/>
      <c r="R16" s="104"/>
      <c r="S16" s="105"/>
      <c r="T16" s="1"/>
    </row>
    <row r="17" spans="1:22" ht="16.5" customHeight="1">
      <c r="A17" s="7"/>
      <c r="B17" s="2"/>
      <c r="C17" s="82" t="s">
        <v>77</v>
      </c>
      <c r="D17" s="151" t="s">
        <v>46</v>
      </c>
      <c r="E17" s="10">
        <v>0</v>
      </c>
      <c r="F17" s="11">
        <v>0</v>
      </c>
      <c r="G17" s="14"/>
      <c r="H17" s="4"/>
      <c r="I17" s="1"/>
      <c r="J17" s="224" t="s">
        <v>206</v>
      </c>
      <c r="K17" s="46"/>
      <c r="L17" s="47"/>
      <c r="M17" s="48" t="s">
        <v>78</v>
      </c>
      <c r="N17" s="48" t="s">
        <v>79</v>
      </c>
      <c r="O17" s="48" t="s">
        <v>80</v>
      </c>
      <c r="P17" s="48" t="s">
        <v>81</v>
      </c>
      <c r="Q17" s="48" t="s">
        <v>82</v>
      </c>
      <c r="R17" s="48" t="s">
        <v>83</v>
      </c>
      <c r="S17" s="49" t="s">
        <v>84</v>
      </c>
      <c r="T17" s="1"/>
    </row>
    <row r="18" spans="1:22" ht="16.5" customHeight="1">
      <c r="A18" s="7"/>
      <c r="B18" s="2"/>
      <c r="C18" s="82" t="s">
        <v>85</v>
      </c>
      <c r="D18" s="151" t="s">
        <v>46</v>
      </c>
      <c r="E18" s="10">
        <v>0</v>
      </c>
      <c r="F18" s="11">
        <v>0</v>
      </c>
      <c r="G18" s="14"/>
      <c r="H18" s="4"/>
      <c r="I18" s="1"/>
      <c r="J18" s="224"/>
      <c r="K18" s="51"/>
      <c r="L18" s="52"/>
      <c r="M18" s="40">
        <f>P18*70%</f>
        <v>1260</v>
      </c>
      <c r="N18" s="40">
        <f>P18*80%</f>
        <v>1440</v>
      </c>
      <c r="O18" s="40">
        <f>P18*90%</f>
        <v>1620</v>
      </c>
      <c r="P18" s="41">
        <f>E7+E8</f>
        <v>1800</v>
      </c>
      <c r="Q18" s="40">
        <f>P18*110%</f>
        <v>1980.0000000000002</v>
      </c>
      <c r="R18" s="40">
        <f>P18*120%</f>
        <v>2160</v>
      </c>
      <c r="S18" s="42">
        <f>P18*130%</f>
        <v>2340</v>
      </c>
      <c r="T18" s="1"/>
    </row>
    <row r="19" spans="1:22" ht="16.5" customHeight="1">
      <c r="A19" s="7"/>
      <c r="B19" s="2"/>
      <c r="C19" s="82" t="s">
        <v>86</v>
      </c>
      <c r="D19" s="151" t="s">
        <v>46</v>
      </c>
      <c r="E19" s="10">
        <v>0</v>
      </c>
      <c r="F19" s="11">
        <v>0</v>
      </c>
      <c r="G19" s="14"/>
      <c r="H19" s="4"/>
      <c r="I19" s="1"/>
      <c r="J19" s="224"/>
      <c r="K19" s="101" t="s">
        <v>88</v>
      </c>
      <c r="L19" s="54">
        <f>L22*85%</f>
        <v>1.9975000000000001</v>
      </c>
      <c r="M19" s="111">
        <f t="shared" ref="M19:M25" si="0">(L19*$M$18)+$G$9-$G$58</f>
        <v>131.96815773809521</v>
      </c>
      <c r="N19" s="112">
        <f t="shared" ref="N19:N25" si="1">(L19*$N$18)+$G$9-$G$58</f>
        <v>491.5181577380954</v>
      </c>
      <c r="O19" s="112">
        <f t="shared" ref="O19:O25" si="2">(L19*$O$18)+$G$9-$G$58</f>
        <v>851.06815773809558</v>
      </c>
      <c r="P19" s="112">
        <f t="shared" ref="P19:P25" si="3">(L19*$P$18)+$G$9-$G$58</f>
        <v>1210.6181577380953</v>
      </c>
      <c r="Q19" s="112">
        <f t="shared" ref="Q19:Q25" si="4">(L19*$Q$18)+$G$9-$G$58</f>
        <v>1570.1681577380959</v>
      </c>
      <c r="R19" s="112">
        <f t="shared" ref="R19:R25" si="5">(L19*$R$18)+$G$9-$G$58</f>
        <v>1929.7181577380957</v>
      </c>
      <c r="S19" s="113">
        <f t="shared" ref="S19:S25" si="6">(L19*$S$18)+$G$9-$G$58</f>
        <v>2289.2681577380959</v>
      </c>
      <c r="T19" s="1"/>
    </row>
    <row r="20" spans="1:22" ht="16.5" customHeight="1">
      <c r="A20" s="7"/>
      <c r="B20" s="2" t="s">
        <v>89</v>
      </c>
      <c r="C20" s="2"/>
      <c r="D20" s="3" t="s">
        <v>55</v>
      </c>
      <c r="E20" s="66"/>
      <c r="F20" s="14"/>
      <c r="G20" s="14">
        <f>SUMPRODUCT(E21:E23,F21:F23)</f>
        <v>0</v>
      </c>
      <c r="H20" s="4"/>
      <c r="I20" s="1"/>
      <c r="J20" s="224"/>
      <c r="K20" s="101" t="s">
        <v>80</v>
      </c>
      <c r="L20" s="54">
        <f>L22*90%</f>
        <v>2.1150000000000002</v>
      </c>
      <c r="M20" s="114">
        <f t="shared" si="0"/>
        <v>280.0181577380954</v>
      </c>
      <c r="N20" s="115">
        <f t="shared" si="1"/>
        <v>660.71815773809567</v>
      </c>
      <c r="O20" s="115">
        <f t="shared" si="2"/>
        <v>1041.4181577380955</v>
      </c>
      <c r="P20" s="115">
        <f t="shared" si="3"/>
        <v>1422.1181577380958</v>
      </c>
      <c r="Q20" s="115">
        <f t="shared" si="4"/>
        <v>1802.818157738096</v>
      </c>
      <c r="R20" s="115">
        <f t="shared" si="5"/>
        <v>2183.5181577380959</v>
      </c>
      <c r="S20" s="116">
        <f t="shared" si="6"/>
        <v>2564.2181577380957</v>
      </c>
      <c r="T20" s="1"/>
    </row>
    <row r="21" spans="1:22" ht="16.5" customHeight="1">
      <c r="A21" s="7"/>
      <c r="B21" s="2"/>
      <c r="C21" s="152" t="s">
        <v>77</v>
      </c>
      <c r="D21" s="17" t="s">
        <v>46</v>
      </c>
      <c r="E21" s="76">
        <v>0</v>
      </c>
      <c r="F21" s="78">
        <v>0</v>
      </c>
      <c r="G21" s="14"/>
      <c r="H21" s="4"/>
      <c r="I21" s="1"/>
      <c r="J21" s="224"/>
      <c r="K21" s="102" t="s">
        <v>90</v>
      </c>
      <c r="L21" s="54">
        <f>L22*0.95</f>
        <v>2.2324999999999999</v>
      </c>
      <c r="M21" s="114">
        <f t="shared" si="0"/>
        <v>428.06815773809512</v>
      </c>
      <c r="N21" s="115">
        <f t="shared" si="1"/>
        <v>829.91815773809503</v>
      </c>
      <c r="O21" s="115">
        <f t="shared" si="2"/>
        <v>1231.7681577380954</v>
      </c>
      <c r="P21" s="115">
        <f t="shared" si="3"/>
        <v>1633.6181577380953</v>
      </c>
      <c r="Q21" s="115">
        <f t="shared" si="4"/>
        <v>2035.4681577380957</v>
      </c>
      <c r="R21" s="115">
        <f t="shared" si="5"/>
        <v>2437.3181577380951</v>
      </c>
      <c r="S21" s="116">
        <f t="shared" si="6"/>
        <v>2839.1681577380955</v>
      </c>
      <c r="T21" s="1"/>
    </row>
    <row r="22" spans="1:22" ht="16.5" customHeight="1">
      <c r="A22" s="7"/>
      <c r="B22" s="2"/>
      <c r="C22" s="152" t="s">
        <v>91</v>
      </c>
      <c r="D22" s="17" t="s">
        <v>46</v>
      </c>
      <c r="E22" s="76">
        <v>0</v>
      </c>
      <c r="F22" s="78">
        <v>0</v>
      </c>
      <c r="G22" s="14"/>
      <c r="H22" s="4"/>
      <c r="I22" s="1"/>
      <c r="J22" s="224"/>
      <c r="K22" s="101" t="s">
        <v>81</v>
      </c>
      <c r="L22" s="32">
        <f>SUMPRODUCT(F7:F8,E7:E8)/SUM(E7:E8)</f>
        <v>2.35</v>
      </c>
      <c r="M22" s="114">
        <f t="shared" si="0"/>
        <v>576.11815773809531</v>
      </c>
      <c r="N22" s="115">
        <f t="shared" si="1"/>
        <v>999.11815773809531</v>
      </c>
      <c r="O22" s="115">
        <f t="shared" si="2"/>
        <v>1422.1181577380953</v>
      </c>
      <c r="P22" s="117">
        <f t="shared" si="3"/>
        <v>1845.1181577380953</v>
      </c>
      <c r="Q22" s="115">
        <f t="shared" si="4"/>
        <v>2268.1181577380962</v>
      </c>
      <c r="R22" s="115">
        <f t="shared" si="5"/>
        <v>2691.1181577380953</v>
      </c>
      <c r="S22" s="116">
        <f t="shared" si="6"/>
        <v>3114.1181577380953</v>
      </c>
      <c r="T22" s="1"/>
    </row>
    <row r="23" spans="1:22" ht="16.5" customHeight="1">
      <c r="A23" s="7"/>
      <c r="B23" s="2"/>
      <c r="C23" s="152" t="s">
        <v>92</v>
      </c>
      <c r="D23" s="17" t="s">
        <v>46</v>
      </c>
      <c r="E23" s="76">
        <v>0</v>
      </c>
      <c r="F23" s="78">
        <v>0</v>
      </c>
      <c r="G23" s="14"/>
      <c r="H23" s="4"/>
      <c r="I23" s="1"/>
      <c r="J23" s="224"/>
      <c r="K23" s="101" t="s">
        <v>93</v>
      </c>
      <c r="L23" s="54">
        <f>L22*105%</f>
        <v>2.4675000000000002</v>
      </c>
      <c r="M23" s="114">
        <f t="shared" si="0"/>
        <v>724.16815773809549</v>
      </c>
      <c r="N23" s="115">
        <f t="shared" si="1"/>
        <v>1168.3181577380956</v>
      </c>
      <c r="O23" s="115">
        <f t="shared" si="2"/>
        <v>1612.4681577380957</v>
      </c>
      <c r="P23" s="115">
        <f t="shared" si="3"/>
        <v>2056.6181577380953</v>
      </c>
      <c r="Q23" s="115">
        <f t="shared" si="4"/>
        <v>2500.7681577380968</v>
      </c>
      <c r="R23" s="115">
        <f t="shared" si="5"/>
        <v>2944.9181577380955</v>
      </c>
      <c r="S23" s="116">
        <f t="shared" si="6"/>
        <v>3389.068157738096</v>
      </c>
      <c r="T23" s="1"/>
    </row>
    <row r="24" spans="1:22" ht="16.5" customHeight="1">
      <c r="A24" s="7"/>
      <c r="B24" s="2" t="s">
        <v>94</v>
      </c>
      <c r="D24" s="3" t="s">
        <v>55</v>
      </c>
      <c r="E24" s="66"/>
      <c r="F24" s="14"/>
      <c r="G24" s="14">
        <f>SUMPRODUCT(E25:E27,F25:F27)</f>
        <v>0</v>
      </c>
      <c r="H24" s="4"/>
      <c r="I24" s="1"/>
      <c r="J24" s="224"/>
      <c r="K24" s="101" t="s">
        <v>82</v>
      </c>
      <c r="L24" s="54">
        <f>L22*110%</f>
        <v>2.5850000000000004</v>
      </c>
      <c r="M24" s="114">
        <f t="shared" si="0"/>
        <v>872.21815773809567</v>
      </c>
      <c r="N24" s="115">
        <f t="shared" si="1"/>
        <v>1337.5181577380959</v>
      </c>
      <c r="O24" s="115">
        <f t="shared" si="2"/>
        <v>1802.818157738096</v>
      </c>
      <c r="P24" s="115">
        <f t="shared" si="3"/>
        <v>2268.1181577380962</v>
      </c>
      <c r="Q24" s="115">
        <f t="shared" si="4"/>
        <v>2733.4181577380964</v>
      </c>
      <c r="R24" s="115">
        <f t="shared" si="5"/>
        <v>3198.7181577380966</v>
      </c>
      <c r="S24" s="116">
        <f t="shared" si="6"/>
        <v>3664.0181577380959</v>
      </c>
      <c r="T24" s="1"/>
    </row>
    <row r="25" spans="1:22" ht="16.5" customHeight="1">
      <c r="A25" s="7"/>
      <c r="B25" s="2"/>
      <c r="C25" s="152" t="s">
        <v>95</v>
      </c>
      <c r="D25" s="17" t="s">
        <v>46</v>
      </c>
      <c r="E25" s="76">
        <v>0</v>
      </c>
      <c r="F25" s="78">
        <v>0.17</v>
      </c>
      <c r="G25" s="14"/>
      <c r="H25" s="4"/>
      <c r="I25" s="1"/>
      <c r="J25" s="225"/>
      <c r="K25" s="103" t="s">
        <v>96</v>
      </c>
      <c r="L25" s="57">
        <f>L22*115%</f>
        <v>2.7024999999999997</v>
      </c>
      <c r="M25" s="118">
        <f t="shared" si="0"/>
        <v>1020.2681577380949</v>
      </c>
      <c r="N25" s="119">
        <f t="shared" si="1"/>
        <v>1506.7181577380948</v>
      </c>
      <c r="O25" s="119">
        <f t="shared" si="2"/>
        <v>1993.1681577380946</v>
      </c>
      <c r="P25" s="119">
        <f t="shared" si="3"/>
        <v>2479.6181577380944</v>
      </c>
      <c r="Q25" s="119">
        <f t="shared" si="4"/>
        <v>2966.0681577380951</v>
      </c>
      <c r="R25" s="119">
        <f t="shared" si="5"/>
        <v>3452.5181577380949</v>
      </c>
      <c r="S25" s="120">
        <f t="shared" si="6"/>
        <v>3938.9681577380948</v>
      </c>
      <c r="T25" s="1"/>
    </row>
    <row r="26" spans="1:22" ht="16.5" customHeight="1">
      <c r="A26" s="7"/>
      <c r="B26" s="2"/>
      <c r="C26" s="152" t="s">
        <v>97</v>
      </c>
      <c r="D26" s="17" t="s">
        <v>46</v>
      </c>
      <c r="E26" s="76">
        <v>0</v>
      </c>
      <c r="F26" s="78">
        <v>0.75</v>
      </c>
      <c r="G26" s="14"/>
      <c r="H26" s="4"/>
      <c r="I26" s="4"/>
      <c r="J26" s="28"/>
      <c r="K26" s="28"/>
      <c r="L26" s="28"/>
      <c r="M26" s="28"/>
      <c r="N26" s="28"/>
      <c r="O26" s="28"/>
      <c r="P26" s="28"/>
      <c r="Q26" s="28"/>
      <c r="R26" s="28"/>
      <c r="S26" s="28"/>
    </row>
    <row r="27" spans="1:22" ht="16.5" customHeight="1">
      <c r="A27" s="7"/>
      <c r="B27" s="2"/>
      <c r="C27" s="152" t="s">
        <v>98</v>
      </c>
      <c r="D27" s="17" t="s">
        <v>99</v>
      </c>
      <c r="E27" s="76">
        <v>0</v>
      </c>
      <c r="F27" s="78">
        <v>30</v>
      </c>
      <c r="G27" s="14"/>
      <c r="H27" s="4"/>
      <c r="I27" s="4"/>
      <c r="J27" s="81" t="s">
        <v>100</v>
      </c>
      <c r="K27" s="81"/>
      <c r="L27" s="81"/>
      <c r="M27" s="81"/>
      <c r="N27" s="81"/>
      <c r="O27" s="81"/>
      <c r="P27" s="81"/>
      <c r="Q27" s="81"/>
      <c r="R27" s="81"/>
      <c r="S27" s="81"/>
    </row>
    <row r="28" spans="1:22" ht="16.5" customHeight="1">
      <c r="A28" s="7"/>
      <c r="B28" s="2" t="s">
        <v>101</v>
      </c>
      <c r="C28" s="2"/>
      <c r="D28" s="38"/>
      <c r="E28" s="66"/>
      <c r="F28" s="14"/>
      <c r="G28" s="14"/>
      <c r="H28" s="4"/>
      <c r="I28" s="18"/>
      <c r="J28" s="28" t="s">
        <v>102</v>
      </c>
      <c r="K28" s="93"/>
      <c r="L28" s="93"/>
      <c r="M28" s="93"/>
      <c r="N28" s="93"/>
      <c r="O28" s="93"/>
      <c r="P28" s="93"/>
      <c r="Q28" s="93"/>
      <c r="R28" s="93"/>
      <c r="S28" s="93"/>
    </row>
    <row r="29" spans="1:22" ht="16.5" customHeight="1">
      <c r="A29" s="7"/>
      <c r="B29" s="2" t="s">
        <v>103</v>
      </c>
      <c r="C29" s="2" t="s">
        <v>104</v>
      </c>
      <c r="D29" s="38" t="s">
        <v>55</v>
      </c>
      <c r="E29" s="66"/>
      <c r="F29" s="14"/>
      <c r="G29" s="78">
        <v>0</v>
      </c>
      <c r="H29" s="4"/>
      <c r="I29" s="18"/>
      <c r="J29" s="33"/>
      <c r="K29" s="34"/>
      <c r="L29" s="34"/>
      <c r="M29" s="228" t="s">
        <v>105</v>
      </c>
      <c r="N29" s="229"/>
      <c r="O29" s="229"/>
      <c r="P29" s="229"/>
      <c r="Q29" s="229"/>
      <c r="R29" s="229"/>
      <c r="S29" s="230"/>
    </row>
    <row r="30" spans="1:22" ht="16.5" customHeight="1">
      <c r="A30" s="7"/>
      <c r="B30" s="2"/>
      <c r="C30" s="2" t="s">
        <v>106</v>
      </c>
      <c r="D30" s="38" t="s">
        <v>55</v>
      </c>
      <c r="E30" s="66"/>
      <c r="F30" s="14"/>
      <c r="G30" s="78">
        <v>7.95</v>
      </c>
      <c r="H30" s="4"/>
      <c r="I30" s="18"/>
      <c r="J30" s="31"/>
      <c r="K30" s="58"/>
      <c r="L30" s="35"/>
      <c r="M30" s="63" t="s">
        <v>88</v>
      </c>
      <c r="N30" s="61" t="s">
        <v>80</v>
      </c>
      <c r="O30" s="61" t="s">
        <v>90</v>
      </c>
      <c r="P30" s="61" t="s">
        <v>81</v>
      </c>
      <c r="Q30" s="61" t="s">
        <v>93</v>
      </c>
      <c r="R30" s="61" t="s">
        <v>82</v>
      </c>
      <c r="S30" s="62" t="s">
        <v>96</v>
      </c>
      <c r="V30" t="s">
        <v>107</v>
      </c>
    </row>
    <row r="31" spans="1:22" ht="16.5" customHeight="1">
      <c r="A31" s="7"/>
      <c r="C31" s="2" t="s">
        <v>108</v>
      </c>
      <c r="D31" s="38" t="s">
        <v>55</v>
      </c>
      <c r="E31" s="66"/>
      <c r="F31" s="14"/>
      <c r="G31" s="78">
        <v>0</v>
      </c>
      <c r="H31" s="4"/>
      <c r="I31" s="18"/>
      <c r="J31" s="224" t="s">
        <v>64</v>
      </c>
      <c r="K31" s="59"/>
      <c r="L31" s="125" t="s">
        <v>96</v>
      </c>
      <c r="M31" s="111">
        <f>($G$10*0.85)-($G$47*1.15)-$G$55</f>
        <v>962.76529211309537</v>
      </c>
      <c r="N31" s="112">
        <f>($G$10*0.9)-($G$47*1.15)-$G$55</f>
        <v>1174.2652921130953</v>
      </c>
      <c r="O31" s="112">
        <f>($G$10*0.95)-($G$47*1.15)-$G$55</f>
        <v>1385.7652921130953</v>
      </c>
      <c r="P31" s="112">
        <f>($G$10)-($G$47*1.15)-$G$55</f>
        <v>1597.2652921130953</v>
      </c>
      <c r="Q31" s="112">
        <f>($G$10*1.05)-($G$47*1.15)-$G$55</f>
        <v>1808.7652921130953</v>
      </c>
      <c r="R31" s="112">
        <f>($G$10*1.1)-($G$47*1.15)-$G$55</f>
        <v>2020.2652921130953</v>
      </c>
      <c r="S31" s="113">
        <f>($G$10*1.15)-($G$47*1.15)-$G$55</f>
        <v>2231.7652921130953</v>
      </c>
    </row>
    <row r="32" spans="1:22" ht="16.5" customHeight="1">
      <c r="A32" s="7"/>
      <c r="B32" s="2"/>
      <c r="C32" s="2" t="s">
        <v>109</v>
      </c>
      <c r="D32" s="38" t="s">
        <v>55</v>
      </c>
      <c r="E32" s="66"/>
      <c r="F32" s="14"/>
      <c r="G32" s="78">
        <v>0</v>
      </c>
      <c r="H32" s="4"/>
      <c r="I32" s="18"/>
      <c r="J32" s="224"/>
      <c r="K32" s="59"/>
      <c r="L32" s="124" t="s">
        <v>82</v>
      </c>
      <c r="M32" s="114">
        <f>($G$10*0.85)-($G$47*1.1)-$G$55</f>
        <v>1045.382913988095</v>
      </c>
      <c r="N32" s="115">
        <f>($G$10*0.9)-($G$47*1.1)-$G$55</f>
        <v>1256.882913988095</v>
      </c>
      <c r="O32" s="115">
        <f>($G$10*0.95)-($G$47*1.1)-$G$55</f>
        <v>1468.382913988095</v>
      </c>
      <c r="P32" s="115">
        <f>($G$10)-($G$47*1.1)-$G$55</f>
        <v>1679.882913988095</v>
      </c>
      <c r="Q32" s="115">
        <f>($G$10*1.05)-($G$47*1.1)-$G$55</f>
        <v>1891.382913988095</v>
      </c>
      <c r="R32" s="115">
        <f>($G$10*1.1)-($G$47*1.1)-$G$55</f>
        <v>2102.882913988095</v>
      </c>
      <c r="S32" s="116">
        <f>($G$10*1.15)-($G$47*1.1)-$G$55</f>
        <v>2314.382913988095</v>
      </c>
    </row>
    <row r="33" spans="1:22" ht="16.5" customHeight="1">
      <c r="A33" s="7"/>
      <c r="B33" s="2" t="s">
        <v>231</v>
      </c>
      <c r="C33" s="2"/>
      <c r="D33" s="3" t="s">
        <v>67</v>
      </c>
      <c r="E33" s="76">
        <v>0</v>
      </c>
      <c r="F33" s="11">
        <v>0.06</v>
      </c>
      <c r="G33" s="14">
        <f t="shared" ref="G33:G34" si="7">E33*F33</f>
        <v>0</v>
      </c>
      <c r="H33" s="4"/>
      <c r="I33" s="18"/>
      <c r="J33" s="224"/>
      <c r="K33" s="59"/>
      <c r="L33" s="124" t="s">
        <v>93</v>
      </c>
      <c r="M33" s="114">
        <f>($G$10*0.85)-($G$47*1.05)-$G$55</f>
        <v>1128.0005358630951</v>
      </c>
      <c r="N33" s="115">
        <f>($G$10*0.9)-($G$47*1.05)-$G$55</f>
        <v>1339.5005358630947</v>
      </c>
      <c r="O33" s="115">
        <f>($G$10*0.95)-($G$47*1.05)-$G$55</f>
        <v>1551.0005358630947</v>
      </c>
      <c r="P33" s="115">
        <f>($G$10)-($G$47*1.05)-$G$55</f>
        <v>1762.5005358630947</v>
      </c>
      <c r="Q33" s="115">
        <f>($G$10*1.05)-($G$47*1.05)-$G$55</f>
        <v>1974.0005358630947</v>
      </c>
      <c r="R33" s="115">
        <f>($G$10*1.1)-($G$47*1.05)-$G$55</f>
        <v>2185.5005358630947</v>
      </c>
      <c r="S33" s="116">
        <f>($G$10*1.15)-($G$47*1.05)-$G$55</f>
        <v>2397.0005358630947</v>
      </c>
    </row>
    <row r="34" spans="1:22" ht="16.5" customHeight="1">
      <c r="A34" s="7"/>
      <c r="B34" s="2" t="s">
        <v>232</v>
      </c>
      <c r="C34" s="2"/>
      <c r="D34" s="3" t="s">
        <v>67</v>
      </c>
      <c r="E34" s="76">
        <v>0</v>
      </c>
      <c r="F34" s="78">
        <v>0.49</v>
      </c>
      <c r="G34" s="14">
        <f t="shared" si="7"/>
        <v>0</v>
      </c>
      <c r="H34" s="4"/>
      <c r="I34" s="4"/>
      <c r="J34" s="224"/>
      <c r="K34" s="59"/>
      <c r="L34" s="124" t="s">
        <v>81</v>
      </c>
      <c r="M34" s="114">
        <f>($G$10*0.85)-($G$47)-$G$55</f>
        <v>1210.6181577380953</v>
      </c>
      <c r="N34" s="115">
        <f>($G$10*0.9)-($G$47)-$G$55</f>
        <v>1422.1181577380953</v>
      </c>
      <c r="O34" s="115">
        <f>($G$10*0.95)-($G$47)-$G$55</f>
        <v>1633.6181577380953</v>
      </c>
      <c r="P34" s="117">
        <f>($G$10)-($G$47)-$G$55</f>
        <v>1845.1181577380953</v>
      </c>
      <c r="Q34" s="115">
        <f>($G$10*1.05)-($G$47)-$G$55</f>
        <v>2056.6181577380953</v>
      </c>
      <c r="R34" s="115">
        <f>($G$10*1.1)-($G$47)-$G$55</f>
        <v>2268.1181577380953</v>
      </c>
      <c r="S34" s="116">
        <f>($G$10*1.15)-($G$47)-$G$55</f>
        <v>2479.6181577380953</v>
      </c>
    </row>
    <row r="35" spans="1:22" ht="16.5" customHeight="1">
      <c r="A35" s="7"/>
      <c r="B35" s="2" t="s">
        <v>115</v>
      </c>
      <c r="C35" s="2"/>
      <c r="D35" s="3" t="s">
        <v>55</v>
      </c>
      <c r="E35" s="16">
        <f>SUM(E36:E40)</f>
        <v>55</v>
      </c>
      <c r="F35" s="2"/>
      <c r="G35" s="14">
        <f>SUMPRODUCT(E36:E40,F36:F40)</f>
        <v>1023</v>
      </c>
      <c r="H35" s="4"/>
      <c r="I35" s="4"/>
      <c r="J35" s="224"/>
      <c r="K35" s="59"/>
      <c r="L35" s="124" t="s">
        <v>90</v>
      </c>
      <c r="M35" s="114">
        <f>($G$10*0.85)-($G$47*0.95)-$G$55</f>
        <v>1293.2357796130955</v>
      </c>
      <c r="N35" s="115">
        <f>($G$10*0.9)-($G$47*0.95)-$G$55</f>
        <v>1504.735779613095</v>
      </c>
      <c r="O35" s="115">
        <f>($G$10*0.95)-($G$47*0.95)-$G$55</f>
        <v>1716.235779613095</v>
      </c>
      <c r="P35" s="115">
        <f>($G$10)-($G$47*0.95)-$G$55</f>
        <v>1927.735779613095</v>
      </c>
      <c r="Q35" s="115">
        <f>($G$10*1.05)-($G$47*0.95)-$G$55</f>
        <v>2139.235779613095</v>
      </c>
      <c r="R35" s="115">
        <f>($G$10*1.1)-($G$47*0.95)-$G$55</f>
        <v>2350.735779613095</v>
      </c>
      <c r="S35" s="116">
        <f>($G$10*1.15)-($G$47*0.95)-$G$55</f>
        <v>2562.235779613095</v>
      </c>
    </row>
    <row r="36" spans="1:22" ht="16.5" customHeight="1">
      <c r="A36" s="4"/>
      <c r="B36" s="7"/>
      <c r="C36" s="2" t="s">
        <v>116</v>
      </c>
      <c r="D36" s="3" t="s">
        <v>117</v>
      </c>
      <c r="E36" s="76">
        <v>12</v>
      </c>
      <c r="F36" s="11">
        <v>18.600000000000001</v>
      </c>
      <c r="G36" s="14"/>
      <c r="H36" s="4"/>
      <c r="I36" s="4"/>
      <c r="J36" s="224"/>
      <c r="K36" s="59"/>
      <c r="L36" s="124" t="s">
        <v>80</v>
      </c>
      <c r="M36" s="114">
        <f>($G$10*0.85)-($G$47*0.9)-$G$55</f>
        <v>1375.8534014880947</v>
      </c>
      <c r="N36" s="115">
        <f>($G$10*0.9)-($G$47*0.9)-$G$55</f>
        <v>1587.3534014880947</v>
      </c>
      <c r="O36" s="115">
        <f>($G$10*0.95)-($G$47*0.9)-$G$55</f>
        <v>1798.8534014880947</v>
      </c>
      <c r="P36" s="115">
        <f>($G$10)-($G$47*0.9)-$G$55</f>
        <v>2010.3534014880947</v>
      </c>
      <c r="Q36" s="115">
        <f>($G$10*1.05)-($G$47*0.9)-$G$55</f>
        <v>2221.8534014880947</v>
      </c>
      <c r="R36" s="115">
        <f>($G$10*1.1)-($G$47*0.9)-$G$55</f>
        <v>2433.3534014880947</v>
      </c>
      <c r="S36" s="116">
        <f>($G$10*1.15)-($G$47*0.9)-$G$55</f>
        <v>2644.8534014880947</v>
      </c>
      <c r="V36" t="s">
        <v>118</v>
      </c>
    </row>
    <row r="37" spans="1:22" ht="16.5" customHeight="1">
      <c r="A37" s="4"/>
      <c r="B37" s="7"/>
      <c r="C37" s="2" t="s">
        <v>119</v>
      </c>
      <c r="D37" s="3" t="s">
        <v>117</v>
      </c>
      <c r="E37" s="76">
        <v>8</v>
      </c>
      <c r="F37" s="11">
        <v>18.600000000000001</v>
      </c>
      <c r="G37" s="14"/>
      <c r="H37" s="4"/>
      <c r="I37" s="4"/>
      <c r="J37" s="225"/>
      <c r="K37" s="60"/>
      <c r="L37" s="126" t="s">
        <v>88</v>
      </c>
      <c r="M37" s="118">
        <f>($G$10*0.85)-($G$47*0.85)-$G$55</f>
        <v>1458.4710233630954</v>
      </c>
      <c r="N37" s="119">
        <f>($G$10*0.9)-($G$47*0.85)-$G$55</f>
        <v>1669.9710233630954</v>
      </c>
      <c r="O37" s="119">
        <f>($G$10*0.95)-($G$47*0.85)-$G$55</f>
        <v>1881.4710233630954</v>
      </c>
      <c r="P37" s="119">
        <f>($G$10)-($G$47*0.85)-$G$55</f>
        <v>2092.9710233630954</v>
      </c>
      <c r="Q37" s="119">
        <f>($G$10*1.05)-($G$47*0.85)-$G$55</f>
        <v>2304.4710233630954</v>
      </c>
      <c r="R37" s="119">
        <f>($G$10*1.1)-($G$47*0.85)-$G$55</f>
        <v>2515.9710233630954</v>
      </c>
      <c r="S37" s="120">
        <f>($G$10*1.15)-($G$47*0.85)-$G$55</f>
        <v>2727.4710233630954</v>
      </c>
      <c r="V37" t="s">
        <v>118</v>
      </c>
    </row>
    <row r="38" spans="1:22" ht="16.5" customHeight="1">
      <c r="A38" s="4"/>
      <c r="B38" s="7"/>
      <c r="C38" s="2" t="s">
        <v>120</v>
      </c>
      <c r="D38" s="3" t="s">
        <v>117</v>
      </c>
      <c r="E38" s="76">
        <v>10</v>
      </c>
      <c r="F38" s="11">
        <v>18.600000000000001</v>
      </c>
      <c r="G38" s="14"/>
      <c r="H38" s="14"/>
      <c r="I38" s="4"/>
      <c r="V38" t="s">
        <v>118</v>
      </c>
    </row>
    <row r="39" spans="1:22" ht="16.5" customHeight="1">
      <c r="A39" s="4"/>
      <c r="B39" s="7"/>
      <c r="C39" s="2" t="s">
        <v>121</v>
      </c>
      <c r="D39" s="3" t="s">
        <v>117</v>
      </c>
      <c r="E39" s="76">
        <v>18</v>
      </c>
      <c r="F39" s="11">
        <v>18.600000000000001</v>
      </c>
      <c r="G39" s="14"/>
      <c r="H39" s="4"/>
      <c r="I39" s="4"/>
      <c r="V39" t="s">
        <v>118</v>
      </c>
    </row>
    <row r="40" spans="1:22" ht="16.5" customHeight="1">
      <c r="A40" s="4"/>
      <c r="B40" s="7"/>
      <c r="C40" s="2" t="s">
        <v>122</v>
      </c>
      <c r="D40" s="3" t="s">
        <v>117</v>
      </c>
      <c r="E40" s="76">
        <v>7</v>
      </c>
      <c r="F40" s="11">
        <v>18.600000000000001</v>
      </c>
      <c r="G40" s="14"/>
      <c r="H40" s="4"/>
      <c r="I40" s="4"/>
      <c r="V40" t="s">
        <v>118</v>
      </c>
    </row>
    <row r="41" spans="1:22" ht="16.5" customHeight="1">
      <c r="A41" s="4"/>
      <c r="B41" s="2" t="s">
        <v>123</v>
      </c>
      <c r="C41" s="2"/>
      <c r="D41" s="3"/>
      <c r="E41" s="66"/>
      <c r="F41" s="64"/>
      <c r="G41" s="14"/>
      <c r="H41" s="4"/>
      <c r="I41" s="4"/>
    </row>
    <row r="42" spans="1:22" ht="16.5" customHeight="1">
      <c r="A42" s="4"/>
      <c r="B42" s="7"/>
      <c r="C42" s="82" t="s">
        <v>124</v>
      </c>
      <c r="D42" s="151" t="s">
        <v>67</v>
      </c>
      <c r="E42" s="80">
        <v>18</v>
      </c>
      <c r="F42" s="11">
        <v>2.2000000000000002</v>
      </c>
      <c r="G42" s="14">
        <f t="shared" ref="G42:G43" si="8">E42*F42</f>
        <v>39.6</v>
      </c>
      <c r="H42" s="4"/>
      <c r="I42" s="4"/>
      <c r="V42" t="s">
        <v>233</v>
      </c>
    </row>
    <row r="43" spans="1:22" ht="16.5" customHeight="1">
      <c r="A43" s="4"/>
      <c r="B43" s="7"/>
      <c r="C43" s="82" t="s">
        <v>302</v>
      </c>
      <c r="D43" s="151" t="s">
        <v>67</v>
      </c>
      <c r="E43" s="80">
        <v>450</v>
      </c>
      <c r="F43" s="11">
        <v>0.03</v>
      </c>
      <c r="G43" s="14">
        <f t="shared" si="8"/>
        <v>13.5</v>
      </c>
      <c r="H43" s="4"/>
      <c r="I43" s="4"/>
      <c r="V43" t="s">
        <v>234</v>
      </c>
    </row>
    <row r="44" spans="1:22" ht="16.5" customHeight="1">
      <c r="A44" s="4"/>
      <c r="B44" s="2" t="s">
        <v>127</v>
      </c>
      <c r="C44" s="2"/>
      <c r="D44" s="19" t="s">
        <v>128</v>
      </c>
      <c r="E44" s="16"/>
      <c r="F44" s="135">
        <v>0.1</v>
      </c>
      <c r="G44" s="14">
        <f>G10*F44</f>
        <v>423</v>
      </c>
      <c r="H44" s="4"/>
      <c r="I44" s="4"/>
    </row>
    <row r="45" spans="1:22" ht="16.5" customHeight="1">
      <c r="A45" s="4"/>
      <c r="B45" s="2" t="s">
        <v>129</v>
      </c>
      <c r="C45" s="4"/>
      <c r="D45" s="3" t="s">
        <v>55</v>
      </c>
      <c r="E45" s="4"/>
      <c r="F45" s="4"/>
      <c r="G45" s="20">
        <v>10</v>
      </c>
      <c r="H45" s="4"/>
      <c r="I45" s="4"/>
    </row>
    <row r="46" spans="1:22" ht="16.5">
      <c r="B46" s="2" t="s">
        <v>130</v>
      </c>
      <c r="C46" s="4"/>
      <c r="D46" s="3" t="s">
        <v>7</v>
      </c>
      <c r="F46" s="94">
        <v>7.2499999999999995E-2</v>
      </c>
      <c r="G46" s="12">
        <f>SUM(G12:G45)/2*F46</f>
        <v>57.802437499999996</v>
      </c>
      <c r="H46" s="4"/>
    </row>
    <row r="47" spans="1:22" ht="16.5">
      <c r="B47" s="4"/>
      <c r="C47" s="13" t="s">
        <v>131</v>
      </c>
      <c r="D47" s="3"/>
      <c r="E47" s="21"/>
      <c r="F47" s="2"/>
      <c r="G47" s="14">
        <f>SUM(G13:G46)</f>
        <v>1652.3524375</v>
      </c>
      <c r="J47" s="65"/>
    </row>
    <row r="48" spans="1:22" ht="16.5">
      <c r="B48" s="4"/>
      <c r="C48" s="13"/>
      <c r="D48" s="3"/>
      <c r="E48" s="21"/>
      <c r="F48" s="2"/>
      <c r="G48" s="14"/>
    </row>
    <row r="49" spans="2:10" ht="15.75">
      <c r="B49" s="15" t="s">
        <v>132</v>
      </c>
      <c r="C49" s="15"/>
      <c r="D49" s="22" t="s">
        <v>4</v>
      </c>
      <c r="E49" s="9" t="s">
        <v>41</v>
      </c>
      <c r="F49" s="9" t="s">
        <v>42</v>
      </c>
      <c r="G49" s="9" t="s">
        <v>43</v>
      </c>
    </row>
    <row r="50" spans="2:10" ht="15.75">
      <c r="B50" s="2" t="s">
        <v>133</v>
      </c>
      <c r="C50" s="2"/>
      <c r="D50" s="3" t="s">
        <v>134</v>
      </c>
      <c r="E50" s="23">
        <v>3</v>
      </c>
      <c r="F50" s="14">
        <f>Investment!G32/12</f>
        <v>137.56230158730159</v>
      </c>
      <c r="G50" s="26">
        <f>E50*F50</f>
        <v>412.68690476190477</v>
      </c>
    </row>
    <row r="51" spans="2:10" ht="15.75">
      <c r="B51" s="2" t="s">
        <v>135</v>
      </c>
      <c r="C51" s="2"/>
      <c r="D51" s="3" t="s">
        <v>136</v>
      </c>
      <c r="E51" s="96"/>
      <c r="F51" s="14"/>
      <c r="G51" s="14">
        <f>Investment!H32*($E$50/12)</f>
        <v>191.20500000000001</v>
      </c>
    </row>
    <row r="52" spans="2:10" ht="15.75">
      <c r="B52" s="2" t="s">
        <v>137</v>
      </c>
      <c r="C52" s="2"/>
      <c r="D52" s="3" t="s">
        <v>138</v>
      </c>
      <c r="E52" s="96"/>
      <c r="F52" s="94">
        <v>1.4999999999999999E-2</v>
      </c>
      <c r="G52" s="14">
        <f>Investment!D32*F52*($E$50/12)</f>
        <v>78.637500000000003</v>
      </c>
    </row>
    <row r="53" spans="2:10" ht="15.75">
      <c r="B53" s="2" t="s">
        <v>314</v>
      </c>
      <c r="C53" s="2"/>
      <c r="D53" s="3" t="s">
        <v>136</v>
      </c>
      <c r="E53" s="96"/>
      <c r="F53" s="14"/>
      <c r="G53" s="14">
        <f>Investment!E8*(E50/12)</f>
        <v>50</v>
      </c>
    </row>
    <row r="54" spans="2:10" ht="15.75">
      <c r="B54" s="2" t="s">
        <v>139</v>
      </c>
      <c r="C54" s="2"/>
      <c r="D54" s="3" t="s">
        <v>136</v>
      </c>
      <c r="E54" s="96"/>
      <c r="F54" s="14"/>
      <c r="G54" s="129">
        <v>0</v>
      </c>
    </row>
    <row r="55" spans="2:10" ht="16.5">
      <c r="B55" s="4"/>
      <c r="C55" s="13" t="s">
        <v>140</v>
      </c>
      <c r="E55" s="2"/>
      <c r="F55" s="2"/>
      <c r="G55" s="14">
        <f>SUM(G50:G54)</f>
        <v>732.52940476190486</v>
      </c>
      <c r="J55" s="65"/>
    </row>
    <row r="56" spans="2:10" ht="16.5">
      <c r="B56" s="4"/>
      <c r="C56" s="13"/>
      <c r="E56" s="2"/>
      <c r="F56" s="2"/>
      <c r="G56" s="14"/>
    </row>
    <row r="57" spans="2:10" ht="16.5">
      <c r="B57" s="147"/>
      <c r="C57" s="77"/>
      <c r="D57" s="148"/>
      <c r="E57" s="9" t="s">
        <v>141</v>
      </c>
      <c r="F57" s="9" t="s">
        <v>142</v>
      </c>
      <c r="G57" s="9" t="s">
        <v>43</v>
      </c>
    </row>
    <row r="58" spans="2:10" ht="15.75">
      <c r="B58" s="5" t="s">
        <v>36</v>
      </c>
      <c r="C58" s="13"/>
      <c r="E58" s="141">
        <f>(G47+G55)/M8</f>
        <v>1.1924409211309523</v>
      </c>
      <c r="F58" s="141">
        <f>G58/SUM(E7:E8)</f>
        <v>1.3249343568121692</v>
      </c>
      <c r="G58" s="141">
        <f>G47+G55</f>
        <v>2384.8818422619047</v>
      </c>
    </row>
    <row r="59" spans="2:10" ht="16.5">
      <c r="B59" s="25" t="s">
        <v>143</v>
      </c>
      <c r="C59" s="150"/>
      <c r="D59" s="4"/>
      <c r="E59" s="141">
        <f>(G10-G47)/M8</f>
        <v>1.2888237812500001</v>
      </c>
      <c r="F59" s="141">
        <f>G59/SUM(E7:E8)</f>
        <v>1.4320264236111113</v>
      </c>
      <c r="G59" s="141">
        <f>G10-G47</f>
        <v>2577.6475625000003</v>
      </c>
    </row>
    <row r="60" spans="2:10" ht="16.5">
      <c r="B60" s="133" t="s">
        <v>144</v>
      </c>
      <c r="C60" s="133"/>
      <c r="D60" s="24"/>
      <c r="E60" s="142">
        <f>(G10-G58)/M8</f>
        <v>0.92255907886904764</v>
      </c>
      <c r="F60" s="142">
        <f>G60/SUM(E7:E8)</f>
        <v>1.0250656431878307</v>
      </c>
      <c r="G60" s="142">
        <f>G10-G58</f>
        <v>1845.1181577380953</v>
      </c>
    </row>
    <row r="61" spans="2:10">
      <c r="B61" s="168" t="s">
        <v>145</v>
      </c>
      <c r="C61" s="168"/>
      <c r="D61" s="168"/>
      <c r="E61" s="168"/>
      <c r="F61" s="168"/>
      <c r="G61" s="168"/>
    </row>
    <row r="62" spans="2:10">
      <c r="B62" s="168" t="s">
        <v>146</v>
      </c>
      <c r="C62" s="168"/>
      <c r="D62" s="168"/>
      <c r="E62" s="168"/>
      <c r="F62" s="168"/>
      <c r="G62" s="168"/>
    </row>
    <row r="63" spans="2:10">
      <c r="B63" s="168" t="s">
        <v>147</v>
      </c>
      <c r="C63" s="168"/>
      <c r="D63" s="168"/>
      <c r="E63" s="168"/>
      <c r="F63" s="168"/>
      <c r="G63" s="168"/>
    </row>
  </sheetData>
  <mergeCells count="5">
    <mergeCell ref="B2:G2"/>
    <mergeCell ref="E5:G5"/>
    <mergeCell ref="M29:S29"/>
    <mergeCell ref="J31:J37"/>
    <mergeCell ref="J17:J25"/>
  </mergeCells>
  <conditionalFormatting sqref="E12">
    <cfRule type="expression" dxfId="22" priority="9">
      <formula>$G$1="no"</formula>
    </cfRule>
  </conditionalFormatting>
  <conditionalFormatting sqref="E49">
    <cfRule type="expression" dxfId="21" priority="8">
      <formula>$G$1="no"</formula>
    </cfRule>
  </conditionalFormatting>
  <conditionalFormatting sqref="E57">
    <cfRule type="expression" dxfId="20" priority="1">
      <formula>$G$1="no"</formula>
    </cfRule>
  </conditionalFormatting>
  <conditionalFormatting sqref="E6:G6">
    <cfRule type="expression" dxfId="19" priority="5">
      <formula>$G$1="no"</formula>
    </cfRule>
  </conditionalFormatting>
  <conditionalFormatting sqref="G12">
    <cfRule type="expression" dxfId="18" priority="4">
      <formula>$G$1="no"</formula>
    </cfRule>
  </conditionalFormatting>
  <conditionalFormatting sqref="G49">
    <cfRule type="expression" dxfId="17" priority="3">
      <formula>$G$1="no"</formula>
    </cfRule>
  </conditionalFormatting>
  <conditionalFormatting sqref="G57">
    <cfRule type="expression" dxfId="16" priority="2">
      <formula>$G$1="no"</formula>
    </cfRule>
  </conditionalFormatting>
  <conditionalFormatting sqref="M19:S25">
    <cfRule type="cellIs" dxfId="15" priority="7" operator="lessThan">
      <formula>0</formula>
    </cfRule>
  </conditionalFormatting>
  <conditionalFormatting sqref="M31:S37">
    <cfRule type="cellIs" dxfId="14" priority="6" operator="lessThan">
      <formula>0</formula>
    </cfRule>
  </conditionalFormatting>
  <pageMargins left="0.7" right="0.7" top="0.75" bottom="0.75" header="0.3" footer="0.3"/>
  <ignoredErrors>
    <ignoredError sqref="L22 P18 E7:E8" unlockedFormula="1"/>
    <ignoredError sqref="M34:O34" formula="1"/>
    <ignoredError sqref="C2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C816F-D2D1-4445-8ABA-921F133A9AA7}">
  <dimension ref="A1:U63"/>
  <sheetViews>
    <sheetView showGridLines="0" topLeftCell="A28" zoomScale="120" zoomScaleNormal="120" workbookViewId="0">
      <selection activeCell="B53" sqref="B53"/>
    </sheetView>
  </sheetViews>
  <sheetFormatPr defaultRowHeight="15"/>
  <cols>
    <col min="1" max="1" width="3.125" customWidth="1"/>
    <col min="2" max="2" width="1.625" customWidth="1"/>
    <col min="3" max="3" width="30.875" customWidth="1"/>
    <col min="4" max="4" width="12.625" customWidth="1"/>
    <col min="5" max="5" width="11.625" customWidth="1"/>
    <col min="6" max="6" width="13.625" customWidth="1"/>
    <col min="7" max="7" width="14.625" customWidth="1"/>
    <col min="8" max="9" width="3.125" customWidth="1"/>
    <col min="11" max="19" width="10.625" customWidth="1"/>
  </cols>
  <sheetData>
    <row r="1" spans="1:21" ht="16.5" customHeight="1">
      <c r="A1" s="4"/>
      <c r="B1" s="4"/>
      <c r="C1" s="5"/>
      <c r="H1" s="4"/>
      <c r="I1" s="4"/>
    </row>
    <row r="2" spans="1:21" ht="21">
      <c r="A2" s="4"/>
      <c r="B2" s="221" t="s">
        <v>235</v>
      </c>
      <c r="C2" s="222"/>
      <c r="D2" s="222"/>
      <c r="E2" s="222"/>
      <c r="F2" s="222"/>
      <c r="G2" s="222"/>
      <c r="H2" s="4"/>
      <c r="I2" s="4"/>
    </row>
    <row r="3" spans="1:21" ht="16.5" customHeight="1">
      <c r="A3" s="4"/>
      <c r="B3" s="4"/>
      <c r="C3" s="6"/>
      <c r="D3" s="6"/>
      <c r="E3" s="223"/>
      <c r="F3" s="223"/>
      <c r="G3" s="223"/>
      <c r="H3" s="4"/>
      <c r="I3" s="4"/>
      <c r="U3" s="162" t="s">
        <v>39</v>
      </c>
    </row>
    <row r="4" spans="1:21" ht="16.5" customHeight="1">
      <c r="A4" s="7"/>
      <c r="B4" s="8" t="s">
        <v>40</v>
      </c>
      <c r="C4" s="8"/>
      <c r="D4" s="8" t="s">
        <v>4</v>
      </c>
      <c r="E4" s="9" t="s">
        <v>41</v>
      </c>
      <c r="F4" s="9" t="s">
        <v>42</v>
      </c>
      <c r="G4" s="9" t="s">
        <v>43</v>
      </c>
      <c r="H4" s="4"/>
      <c r="I4" s="4"/>
      <c r="J4" s="71" t="s">
        <v>44</v>
      </c>
      <c r="U4" s="2"/>
    </row>
    <row r="5" spans="1:21" ht="16.5" customHeight="1">
      <c r="A5" s="7"/>
      <c r="B5" s="2" t="s">
        <v>236</v>
      </c>
      <c r="C5" s="2"/>
      <c r="D5" s="3" t="s">
        <v>46</v>
      </c>
      <c r="E5" s="159">
        <f>M7*M8*M9</f>
        <v>787.5</v>
      </c>
      <c r="F5" s="11">
        <v>5.7</v>
      </c>
      <c r="G5" s="14">
        <f>E5*F5</f>
        <v>4488.75</v>
      </c>
      <c r="H5" s="4"/>
      <c r="I5" s="4"/>
      <c r="J5" s="153" t="s">
        <v>47</v>
      </c>
      <c r="K5" s="148"/>
      <c r="L5" s="148"/>
      <c r="M5" s="161" t="s">
        <v>48</v>
      </c>
      <c r="N5" s="160" t="s">
        <v>4</v>
      </c>
      <c r="O5" s="148"/>
      <c r="U5" t="s">
        <v>237</v>
      </c>
    </row>
    <row r="6" spans="1:21" ht="16.5" customHeight="1">
      <c r="A6" s="7"/>
      <c r="B6" s="2" t="s">
        <v>238</v>
      </c>
      <c r="C6" s="2"/>
      <c r="D6" s="3" t="s">
        <v>46</v>
      </c>
      <c r="E6" s="159">
        <f>M7*M8*M10</f>
        <v>262.5</v>
      </c>
      <c r="F6" s="11">
        <v>4.4000000000000004</v>
      </c>
      <c r="G6" s="14">
        <f>E6*F6</f>
        <v>1155</v>
      </c>
      <c r="H6" s="4"/>
      <c r="I6" s="4"/>
      <c r="J6" s="136" t="s">
        <v>51</v>
      </c>
      <c r="M6" s="79">
        <v>2000</v>
      </c>
      <c r="N6" s="3" t="s">
        <v>52</v>
      </c>
      <c r="U6" t="s">
        <v>239</v>
      </c>
    </row>
    <row r="7" spans="1:21" ht="16.5" customHeight="1">
      <c r="A7" s="7"/>
      <c r="B7" s="2" t="s">
        <v>54</v>
      </c>
      <c r="C7" s="2"/>
      <c r="D7" s="3" t="s">
        <v>55</v>
      </c>
      <c r="E7" s="128"/>
      <c r="F7" s="64"/>
      <c r="G7" s="129">
        <v>0</v>
      </c>
      <c r="H7" s="4"/>
      <c r="I7" s="4"/>
      <c r="J7" s="136" t="s">
        <v>56</v>
      </c>
      <c r="M7" s="79">
        <v>1050</v>
      </c>
      <c r="N7" s="3" t="s">
        <v>57</v>
      </c>
      <c r="U7" t="s">
        <v>240</v>
      </c>
    </row>
    <row r="8" spans="1:21" ht="16.5" customHeight="1">
      <c r="A8" s="7"/>
      <c r="B8" s="7"/>
      <c r="C8" s="13" t="s">
        <v>59</v>
      </c>
      <c r="E8" s="2"/>
      <c r="F8" s="2"/>
      <c r="G8" s="14">
        <f>SUM(G5:G7)</f>
        <v>5643.75</v>
      </c>
      <c r="H8" s="4"/>
      <c r="I8" s="4"/>
      <c r="J8" s="136" t="s">
        <v>60</v>
      </c>
      <c r="M8" s="76">
        <v>1</v>
      </c>
      <c r="N8" s="3" t="s">
        <v>61</v>
      </c>
    </row>
    <row r="9" spans="1:21" ht="16.5" customHeight="1">
      <c r="A9" s="7"/>
      <c r="B9" s="7"/>
      <c r="C9" s="13"/>
      <c r="E9" s="2"/>
      <c r="F9" s="2"/>
      <c r="G9" s="14"/>
      <c r="H9" s="4"/>
      <c r="I9" s="4"/>
      <c r="J9" s="136" t="s">
        <v>62</v>
      </c>
      <c r="M9" s="157">
        <v>0.75</v>
      </c>
      <c r="N9" s="3" t="s">
        <v>63</v>
      </c>
    </row>
    <row r="10" spans="1:21" ht="16.5" customHeight="1">
      <c r="A10" s="7"/>
      <c r="B10" s="15" t="s">
        <v>64</v>
      </c>
      <c r="C10" s="15"/>
      <c r="D10" s="36" t="s">
        <v>4</v>
      </c>
      <c r="E10" s="37" t="s">
        <v>41</v>
      </c>
      <c r="F10" s="37" t="s">
        <v>42</v>
      </c>
      <c r="G10" s="37" t="str">
        <f>G4</f>
        <v>Total dollars</v>
      </c>
      <c r="H10" s="4"/>
      <c r="I10" s="4"/>
      <c r="J10" s="156" t="s">
        <v>65</v>
      </c>
      <c r="K10" s="154"/>
      <c r="L10" s="154"/>
      <c r="M10" s="158">
        <v>0.25</v>
      </c>
      <c r="N10" s="155" t="s">
        <v>63</v>
      </c>
      <c r="O10" s="154"/>
    </row>
    <row r="11" spans="1:21" ht="16.5" customHeight="1">
      <c r="A11" s="7"/>
      <c r="B11" s="2" t="s">
        <v>66</v>
      </c>
      <c r="C11" s="2"/>
      <c r="D11" s="3" t="s">
        <v>67</v>
      </c>
      <c r="E11" s="16">
        <f>M7</f>
        <v>1050</v>
      </c>
      <c r="F11" s="78">
        <v>0.6</v>
      </c>
      <c r="G11" s="14">
        <f>E11*F11</f>
        <v>630</v>
      </c>
      <c r="H11" s="4"/>
      <c r="I11" s="4"/>
      <c r="U11" t="s">
        <v>241</v>
      </c>
    </row>
    <row r="12" spans="1:21" ht="16.5" customHeight="1">
      <c r="A12" s="7"/>
      <c r="B12" s="2" t="s">
        <v>69</v>
      </c>
      <c r="C12" s="2"/>
      <c r="D12" s="3" t="s">
        <v>67</v>
      </c>
      <c r="E12" s="10">
        <v>1</v>
      </c>
      <c r="F12" s="11">
        <v>25</v>
      </c>
      <c r="G12" s="14">
        <f>E12*F12</f>
        <v>25</v>
      </c>
      <c r="H12" s="4"/>
      <c r="I12" s="4"/>
      <c r="J12" s="71" t="s">
        <v>70</v>
      </c>
      <c r="K12" s="71"/>
      <c r="L12" s="71"/>
      <c r="M12" s="71"/>
      <c r="N12" s="71"/>
      <c r="O12" s="71"/>
      <c r="P12" s="71"/>
      <c r="Q12" s="71"/>
      <c r="R12" s="71"/>
      <c r="S12" s="71"/>
      <c r="T12" s="1"/>
      <c r="U12" t="s">
        <v>71</v>
      </c>
    </row>
    <row r="13" spans="1:21" ht="16.5" customHeight="1">
      <c r="A13" s="7"/>
      <c r="B13" s="2" t="s">
        <v>72</v>
      </c>
      <c r="C13" s="2"/>
      <c r="D13" s="3" t="s">
        <v>67</v>
      </c>
      <c r="E13" s="10">
        <v>4</v>
      </c>
      <c r="F13" s="11">
        <v>40</v>
      </c>
      <c r="G13" s="14">
        <f>E13*F13</f>
        <v>160</v>
      </c>
      <c r="H13" s="4"/>
      <c r="I13" s="4"/>
      <c r="J13" s="28" t="s">
        <v>73</v>
      </c>
      <c r="K13" s="106"/>
      <c r="L13" s="106"/>
      <c r="M13" s="106"/>
      <c r="N13" s="106"/>
      <c r="O13" s="106"/>
      <c r="P13" s="106"/>
      <c r="Q13" s="106"/>
      <c r="R13" s="106"/>
      <c r="S13" s="106"/>
      <c r="T13" s="1"/>
      <c r="U13" t="s">
        <v>74</v>
      </c>
    </row>
    <row r="14" spans="1:21" ht="16.5" customHeight="1">
      <c r="A14" s="7"/>
      <c r="B14" s="2" t="s">
        <v>75</v>
      </c>
      <c r="C14" s="2"/>
      <c r="D14" s="3" t="s">
        <v>55</v>
      </c>
      <c r="E14" s="128"/>
      <c r="F14" s="64"/>
      <c r="G14" s="14">
        <f>SUMPRODUCT(E15:E17,F15:F17)</f>
        <v>0</v>
      </c>
      <c r="H14" s="4"/>
      <c r="I14" s="4"/>
      <c r="J14" s="33"/>
      <c r="K14" s="43"/>
      <c r="L14" s="44"/>
      <c r="M14" s="229" t="s">
        <v>76</v>
      </c>
      <c r="N14" s="229"/>
      <c r="O14" s="229"/>
      <c r="P14" s="229"/>
      <c r="Q14" s="229"/>
      <c r="R14" s="229"/>
      <c r="S14" s="230"/>
      <c r="T14" s="1"/>
    </row>
    <row r="15" spans="1:21" ht="16.5" customHeight="1">
      <c r="A15" s="7"/>
      <c r="B15" s="2"/>
      <c r="C15" s="82" t="s">
        <v>77</v>
      </c>
      <c r="D15" s="151" t="s">
        <v>46</v>
      </c>
      <c r="E15" s="10">
        <v>0</v>
      </c>
      <c r="F15" s="11">
        <v>0</v>
      </c>
      <c r="G15" s="14"/>
      <c r="H15" s="4"/>
      <c r="I15" s="4"/>
      <c r="J15" s="224" t="s">
        <v>206</v>
      </c>
      <c r="K15" s="46"/>
      <c r="L15" s="47"/>
      <c r="M15" s="48" t="s">
        <v>78</v>
      </c>
      <c r="N15" s="48" t="s">
        <v>79</v>
      </c>
      <c r="O15" s="48" t="s">
        <v>80</v>
      </c>
      <c r="P15" s="48" t="s">
        <v>81</v>
      </c>
      <c r="Q15" s="48" t="s">
        <v>82</v>
      </c>
      <c r="R15" s="48" t="s">
        <v>83</v>
      </c>
      <c r="S15" s="49" t="s">
        <v>84</v>
      </c>
      <c r="T15" s="1"/>
    </row>
    <row r="16" spans="1:21" ht="16.5" customHeight="1">
      <c r="A16" s="7"/>
      <c r="B16" s="2"/>
      <c r="C16" s="82" t="s">
        <v>85</v>
      </c>
      <c r="D16" s="151" t="s">
        <v>46</v>
      </c>
      <c r="E16" s="10">
        <v>0</v>
      </c>
      <c r="F16" s="11">
        <v>0</v>
      </c>
      <c r="G16" s="14"/>
      <c r="H16" s="4"/>
      <c r="I16" s="4"/>
      <c r="J16" s="224"/>
      <c r="K16" s="51"/>
      <c r="L16" s="52"/>
      <c r="M16" s="40">
        <f>P16*70%</f>
        <v>735</v>
      </c>
      <c r="N16" s="40">
        <f>P16*80%</f>
        <v>840</v>
      </c>
      <c r="O16" s="40">
        <f>P16*90%</f>
        <v>945</v>
      </c>
      <c r="P16" s="41">
        <f>E5+E6</f>
        <v>1050</v>
      </c>
      <c r="Q16" s="40">
        <f>P16*110%</f>
        <v>1155</v>
      </c>
      <c r="R16" s="40">
        <f>P16*120%</f>
        <v>1260</v>
      </c>
      <c r="S16" s="42">
        <f>P16*130%</f>
        <v>1365</v>
      </c>
      <c r="T16" s="1"/>
    </row>
    <row r="17" spans="1:21" ht="16.5" customHeight="1">
      <c r="A17" s="7"/>
      <c r="B17" s="2"/>
      <c r="C17" s="82" t="s">
        <v>86</v>
      </c>
      <c r="D17" s="151" t="s">
        <v>46</v>
      </c>
      <c r="E17" s="10">
        <v>0</v>
      </c>
      <c r="F17" s="11">
        <v>0</v>
      </c>
      <c r="G17" s="14"/>
      <c r="H17" s="4"/>
      <c r="I17" s="4"/>
      <c r="J17" s="224"/>
      <c r="K17" s="53" t="s">
        <v>88</v>
      </c>
      <c r="L17" s="54">
        <f>L20*85%</f>
        <v>4.5687499999999996</v>
      </c>
      <c r="M17" s="111">
        <f t="shared" ref="M17:M23" si="0">(L17*$M$16)+$G$7-$G$57</f>
        <v>-3235.2157772817468</v>
      </c>
      <c r="N17" s="112">
        <f t="shared" ref="N17:N23" si="1">(L17*$N$16)+$G$7-$G$57</f>
        <v>-2755.4970272817468</v>
      </c>
      <c r="O17" s="112">
        <f t="shared" ref="O17:O23" si="2">(L17*$O$16)+$G$7-$G$57</f>
        <v>-2275.7782772817463</v>
      </c>
      <c r="P17" s="112">
        <f t="shared" ref="P17:P23" si="3">(L17*$P$16)+$G$7-$G$57</f>
        <v>-1796.0595272817463</v>
      </c>
      <c r="Q17" s="112">
        <f t="shared" ref="Q17:Q23" si="4">(L17*$Q$16)+$G$7-$G$57</f>
        <v>-1316.3407772817463</v>
      </c>
      <c r="R17" s="112">
        <f t="shared" ref="R17:R23" si="5">(L17*$R$16)+$G$7-$G$57</f>
        <v>-836.62202728174634</v>
      </c>
      <c r="S17" s="113">
        <f t="shared" ref="S17:S23" si="6">(L17*$S$16)+$G$7-$G$57</f>
        <v>-356.90327728174725</v>
      </c>
      <c r="T17" s="1"/>
    </row>
    <row r="18" spans="1:21" ht="16.5" customHeight="1">
      <c r="A18" s="7"/>
      <c r="B18" s="2" t="s">
        <v>89</v>
      </c>
      <c r="C18" s="2"/>
      <c r="D18" s="3" t="s">
        <v>55</v>
      </c>
      <c r="E18" s="66"/>
      <c r="F18" s="14"/>
      <c r="G18" s="14">
        <f>SUMPRODUCT(E19:E21,F19:F21)</f>
        <v>0</v>
      </c>
      <c r="H18" s="4"/>
      <c r="I18" s="4"/>
      <c r="J18" s="224"/>
      <c r="K18" s="53" t="s">
        <v>80</v>
      </c>
      <c r="L18" s="54">
        <f>L20*90%</f>
        <v>4.8375000000000004</v>
      </c>
      <c r="M18" s="114">
        <f t="shared" si="0"/>
        <v>-3037.6845272817459</v>
      </c>
      <c r="N18" s="115">
        <f t="shared" si="1"/>
        <v>-2529.7470272817459</v>
      </c>
      <c r="O18" s="115">
        <f t="shared" si="2"/>
        <v>-2021.8095272817463</v>
      </c>
      <c r="P18" s="115">
        <f t="shared" si="3"/>
        <v>-1513.8720272817463</v>
      </c>
      <c r="Q18" s="115">
        <f t="shared" si="4"/>
        <v>-1005.9345272817463</v>
      </c>
      <c r="R18" s="115">
        <f t="shared" si="5"/>
        <v>-497.99702728174634</v>
      </c>
      <c r="S18" s="116">
        <f t="shared" si="6"/>
        <v>9.9404727182545685</v>
      </c>
      <c r="T18" s="1"/>
    </row>
    <row r="19" spans="1:21" ht="16.5" customHeight="1">
      <c r="A19" s="7"/>
      <c r="B19" s="2"/>
      <c r="C19" s="152" t="s">
        <v>77</v>
      </c>
      <c r="D19" s="17" t="s">
        <v>46</v>
      </c>
      <c r="E19" s="76">
        <v>0</v>
      </c>
      <c r="F19" s="78">
        <v>0</v>
      </c>
      <c r="G19" s="14"/>
      <c r="H19" s="4"/>
      <c r="I19" s="4"/>
      <c r="J19" s="224"/>
      <c r="K19" s="55" t="s">
        <v>90</v>
      </c>
      <c r="L19" s="54">
        <f>L20*0.95</f>
        <v>5.1062500000000002</v>
      </c>
      <c r="M19" s="114">
        <f t="shared" si="0"/>
        <v>-2840.1532772817463</v>
      </c>
      <c r="N19" s="115">
        <f t="shared" si="1"/>
        <v>-2303.9970272817463</v>
      </c>
      <c r="O19" s="115">
        <f t="shared" si="2"/>
        <v>-1767.8407772817463</v>
      </c>
      <c r="P19" s="115">
        <f t="shared" si="3"/>
        <v>-1231.6845272817463</v>
      </c>
      <c r="Q19" s="115">
        <f t="shared" si="4"/>
        <v>-695.52827728174634</v>
      </c>
      <c r="R19" s="115">
        <f t="shared" si="5"/>
        <v>-159.37202728174634</v>
      </c>
      <c r="S19" s="116">
        <f t="shared" si="6"/>
        <v>376.78422271825366</v>
      </c>
      <c r="T19" s="1"/>
    </row>
    <row r="20" spans="1:21" ht="16.5" customHeight="1">
      <c r="A20" s="7"/>
      <c r="B20" s="2"/>
      <c r="C20" s="152" t="s">
        <v>91</v>
      </c>
      <c r="D20" s="17" t="s">
        <v>46</v>
      </c>
      <c r="E20" s="76">
        <v>0</v>
      </c>
      <c r="F20" s="78">
        <v>0</v>
      </c>
      <c r="G20" s="14"/>
      <c r="H20" s="4"/>
      <c r="I20" s="4"/>
      <c r="J20" s="224"/>
      <c r="K20" s="53" t="s">
        <v>81</v>
      </c>
      <c r="L20" s="32">
        <f>SUMPRODUCT(F5:F6,E5:E6)/SUM(E5:E6)</f>
        <v>5.375</v>
      </c>
      <c r="M20" s="114">
        <f t="shared" si="0"/>
        <v>-2642.6220272817463</v>
      </c>
      <c r="N20" s="115">
        <f t="shared" si="1"/>
        <v>-2078.2470272817463</v>
      </c>
      <c r="O20" s="115">
        <f t="shared" si="2"/>
        <v>-1513.8720272817463</v>
      </c>
      <c r="P20" s="117">
        <f t="shared" si="3"/>
        <v>-949.49702728174634</v>
      </c>
      <c r="Q20" s="115">
        <f t="shared" si="4"/>
        <v>-385.12202728174634</v>
      </c>
      <c r="R20" s="115">
        <f t="shared" si="5"/>
        <v>179.25297271825366</v>
      </c>
      <c r="S20" s="116">
        <f t="shared" si="6"/>
        <v>743.62797271825366</v>
      </c>
      <c r="T20" s="1"/>
    </row>
    <row r="21" spans="1:21" ht="16.5" customHeight="1">
      <c r="A21" s="7"/>
      <c r="B21" s="2"/>
      <c r="C21" s="152" t="s">
        <v>92</v>
      </c>
      <c r="D21" s="17" t="s">
        <v>46</v>
      </c>
      <c r="E21" s="76">
        <v>0</v>
      </c>
      <c r="F21" s="78">
        <v>0</v>
      </c>
      <c r="G21" s="14"/>
      <c r="H21" s="4"/>
      <c r="I21" s="4"/>
      <c r="J21" s="224"/>
      <c r="K21" s="53" t="s">
        <v>93</v>
      </c>
      <c r="L21" s="54">
        <f>L20*105%</f>
        <v>5.6437499999999998</v>
      </c>
      <c r="M21" s="114">
        <f t="shared" si="0"/>
        <v>-2445.0907772817463</v>
      </c>
      <c r="N21" s="115">
        <f t="shared" si="1"/>
        <v>-1852.4970272817463</v>
      </c>
      <c r="O21" s="115">
        <f t="shared" si="2"/>
        <v>-1259.9032772817463</v>
      </c>
      <c r="P21" s="115">
        <f t="shared" si="3"/>
        <v>-667.30952728174634</v>
      </c>
      <c r="Q21" s="115">
        <f t="shared" si="4"/>
        <v>-74.715777281746341</v>
      </c>
      <c r="R21" s="115">
        <f t="shared" si="5"/>
        <v>517.87797271825366</v>
      </c>
      <c r="S21" s="116">
        <f t="shared" si="6"/>
        <v>1110.4717227182537</v>
      </c>
      <c r="T21" s="1"/>
    </row>
    <row r="22" spans="1:21" ht="16.5" customHeight="1">
      <c r="A22" s="7"/>
      <c r="B22" s="2" t="s">
        <v>94</v>
      </c>
      <c r="D22" s="3" t="s">
        <v>55</v>
      </c>
      <c r="E22" s="66"/>
      <c r="F22" s="14"/>
      <c r="G22" s="14">
        <f>SUMPRODUCT(E23:E25,F23:F25)</f>
        <v>0</v>
      </c>
      <c r="H22" s="4"/>
      <c r="I22" s="4"/>
      <c r="J22" s="224"/>
      <c r="K22" s="53" t="s">
        <v>82</v>
      </c>
      <c r="L22" s="54">
        <f>L20*110%</f>
        <v>5.9125000000000005</v>
      </c>
      <c r="M22" s="114">
        <f t="shared" si="0"/>
        <v>-2247.5595272817463</v>
      </c>
      <c r="N22" s="115">
        <f t="shared" si="1"/>
        <v>-1626.7470272817463</v>
      </c>
      <c r="O22" s="115">
        <f t="shared" si="2"/>
        <v>-1005.9345272817454</v>
      </c>
      <c r="P22" s="115">
        <f t="shared" si="3"/>
        <v>-385.12202728174543</v>
      </c>
      <c r="Q22" s="115">
        <f t="shared" si="4"/>
        <v>235.69047271825457</v>
      </c>
      <c r="R22" s="115">
        <f t="shared" si="5"/>
        <v>856.50297271825457</v>
      </c>
      <c r="S22" s="116">
        <f t="shared" si="6"/>
        <v>1477.3154727182546</v>
      </c>
      <c r="T22" s="1"/>
    </row>
    <row r="23" spans="1:21" ht="16.5" customHeight="1">
      <c r="A23" s="7"/>
      <c r="B23" s="2"/>
      <c r="C23" s="152" t="s">
        <v>95</v>
      </c>
      <c r="D23" s="17" t="s">
        <v>46</v>
      </c>
      <c r="E23" s="76">
        <v>0</v>
      </c>
      <c r="F23" s="78">
        <v>0.17</v>
      </c>
      <c r="G23" s="14"/>
      <c r="H23" s="4"/>
      <c r="I23" s="4"/>
      <c r="J23" s="225"/>
      <c r="K23" s="56" t="s">
        <v>96</v>
      </c>
      <c r="L23" s="57">
        <f>L20*115%</f>
        <v>6.1812499999999995</v>
      </c>
      <c r="M23" s="118">
        <f t="shared" si="0"/>
        <v>-2050.0282772817463</v>
      </c>
      <c r="N23" s="119">
        <f t="shared" si="1"/>
        <v>-1400.9970272817463</v>
      </c>
      <c r="O23" s="119">
        <f t="shared" si="2"/>
        <v>-751.96577728174725</v>
      </c>
      <c r="P23" s="119">
        <f t="shared" si="3"/>
        <v>-102.93452728174725</v>
      </c>
      <c r="Q23" s="119">
        <f t="shared" si="4"/>
        <v>546.09672271825275</v>
      </c>
      <c r="R23" s="119">
        <f t="shared" si="5"/>
        <v>1195.1279727182527</v>
      </c>
      <c r="S23" s="120">
        <f t="shared" si="6"/>
        <v>1844.1592227182537</v>
      </c>
      <c r="T23" s="1"/>
    </row>
    <row r="24" spans="1:21" ht="16.5" customHeight="1">
      <c r="A24" s="7"/>
      <c r="B24" s="2"/>
      <c r="C24" s="152" t="s">
        <v>97</v>
      </c>
      <c r="D24" s="17" t="s">
        <v>46</v>
      </c>
      <c r="E24" s="76">
        <v>0</v>
      </c>
      <c r="F24" s="78">
        <v>0.75</v>
      </c>
      <c r="G24" s="14"/>
      <c r="H24" s="4"/>
      <c r="I24" s="4"/>
      <c r="J24" s="28"/>
      <c r="K24" s="28"/>
      <c r="L24" s="28"/>
      <c r="M24" s="28"/>
      <c r="N24" s="28"/>
      <c r="O24" s="28"/>
      <c r="P24" s="28"/>
      <c r="Q24" s="28"/>
      <c r="R24" s="28"/>
      <c r="S24" s="28"/>
      <c r="T24" s="1"/>
    </row>
    <row r="25" spans="1:21" ht="16.5" customHeight="1">
      <c r="A25" s="7"/>
      <c r="B25" s="2"/>
      <c r="C25" s="152" t="s">
        <v>98</v>
      </c>
      <c r="D25" s="17" t="s">
        <v>99</v>
      </c>
      <c r="E25" s="76">
        <v>0</v>
      </c>
      <c r="F25" s="78">
        <v>30</v>
      </c>
      <c r="G25" s="14"/>
      <c r="H25" s="4"/>
      <c r="I25" s="4"/>
      <c r="J25" s="81" t="s">
        <v>100</v>
      </c>
      <c r="K25" s="81"/>
      <c r="L25" s="81"/>
      <c r="M25" s="81"/>
      <c r="N25" s="81"/>
      <c r="O25" s="81"/>
      <c r="P25" s="81"/>
      <c r="Q25" s="81"/>
      <c r="R25" s="81"/>
      <c r="S25" s="81"/>
      <c r="T25" s="1"/>
    </row>
    <row r="26" spans="1:21" ht="16.5" customHeight="1">
      <c r="A26" s="7"/>
      <c r="B26" s="2" t="s">
        <v>182</v>
      </c>
      <c r="C26" s="2"/>
      <c r="D26" s="38"/>
      <c r="E26" s="66"/>
      <c r="F26" s="14"/>
      <c r="G26" s="14"/>
      <c r="H26" s="4"/>
      <c r="I26" s="4"/>
      <c r="J26" s="28" t="s">
        <v>102</v>
      </c>
      <c r="K26" s="106"/>
      <c r="L26" s="106"/>
      <c r="M26" s="106"/>
      <c r="N26" s="106"/>
      <c r="O26" s="106"/>
      <c r="P26" s="106"/>
      <c r="Q26" s="106"/>
      <c r="R26" s="106"/>
      <c r="S26" s="106"/>
      <c r="T26" s="1"/>
    </row>
    <row r="27" spans="1:21" ht="16.5" customHeight="1">
      <c r="A27" s="7"/>
      <c r="B27" s="2" t="s">
        <v>103</v>
      </c>
      <c r="C27" s="2" t="s">
        <v>104</v>
      </c>
      <c r="D27" s="38" t="s">
        <v>55</v>
      </c>
      <c r="E27" s="66"/>
      <c r="F27" s="14"/>
      <c r="G27" s="78">
        <v>12.13</v>
      </c>
      <c r="H27" s="4"/>
      <c r="I27" s="4"/>
      <c r="J27" s="33"/>
      <c r="K27" s="34"/>
      <c r="L27" s="34"/>
      <c r="M27" s="228" t="s">
        <v>105</v>
      </c>
      <c r="N27" s="229"/>
      <c r="O27" s="229"/>
      <c r="P27" s="229"/>
      <c r="Q27" s="229"/>
      <c r="R27" s="229"/>
      <c r="S27" s="230"/>
      <c r="T27" s="1"/>
      <c r="U27" t="s">
        <v>107</v>
      </c>
    </row>
    <row r="28" spans="1:21" ht="16.5" customHeight="1">
      <c r="A28" s="7"/>
      <c r="B28" s="2"/>
      <c r="C28" s="2" t="s">
        <v>106</v>
      </c>
      <c r="D28" s="38" t="s">
        <v>55</v>
      </c>
      <c r="E28" s="66"/>
      <c r="F28" s="14"/>
      <c r="G28" s="78">
        <v>10.77</v>
      </c>
      <c r="H28" s="4"/>
      <c r="I28" s="4"/>
      <c r="J28" s="31"/>
      <c r="K28" s="58"/>
      <c r="L28" s="35"/>
      <c r="M28" s="63" t="s">
        <v>88</v>
      </c>
      <c r="N28" s="61" t="s">
        <v>80</v>
      </c>
      <c r="O28" s="61" t="s">
        <v>90</v>
      </c>
      <c r="P28" s="61" t="s">
        <v>81</v>
      </c>
      <c r="Q28" s="61" t="s">
        <v>93</v>
      </c>
      <c r="R28" s="61" t="s">
        <v>82</v>
      </c>
      <c r="S28" s="62" t="s">
        <v>96</v>
      </c>
      <c r="T28" s="1"/>
      <c r="U28" t="s">
        <v>107</v>
      </c>
    </row>
    <row r="29" spans="1:21" ht="16.5" customHeight="1">
      <c r="A29" s="7"/>
      <c r="C29" s="2" t="s">
        <v>108</v>
      </c>
      <c r="D29" s="38" t="s">
        <v>55</v>
      </c>
      <c r="E29" s="66"/>
      <c r="F29" s="14"/>
      <c r="G29" s="78">
        <f t="shared" ref="G29:G30" si="7">E29*F29</f>
        <v>0</v>
      </c>
      <c r="H29" s="4"/>
      <c r="I29" s="4"/>
      <c r="J29" s="224" t="s">
        <v>64</v>
      </c>
      <c r="K29" s="59"/>
      <c r="L29" s="125" t="s">
        <v>96</v>
      </c>
      <c r="M29" s="111">
        <f>($G$8*0.85)-($G$46*1.15)-$G$54</f>
        <v>-2492.0348194692456</v>
      </c>
      <c r="N29" s="112">
        <f>($G$8*0.9)-($G$46*1.15)-$G$54</f>
        <v>-2209.8473194692456</v>
      </c>
      <c r="O29" s="112">
        <f>($G$8*0.95)-($G$46*1.15)-$G$54</f>
        <v>-1927.6598194692456</v>
      </c>
      <c r="P29" s="112">
        <f>($G$8)-($G$46*1.15)-$G$54</f>
        <v>-1645.4723194692456</v>
      </c>
      <c r="Q29" s="112">
        <f>($G$8*1.05)-($G$46*1.15)-$G$54</f>
        <v>-1363.2848194692456</v>
      </c>
      <c r="R29" s="112">
        <f>($G$8*1.1)-($G$46*1.15)-$G$54</f>
        <v>-1081.0973194692447</v>
      </c>
      <c r="S29" s="113">
        <f>($G$8*1.15)-($G$46*1.15)-$G$54</f>
        <v>-798.90981946924649</v>
      </c>
      <c r="T29" s="1"/>
    </row>
    <row r="30" spans="1:21" ht="16.5" customHeight="1">
      <c r="A30" s="7"/>
      <c r="C30" s="2" t="s">
        <v>109</v>
      </c>
      <c r="D30" s="38" t="s">
        <v>55</v>
      </c>
      <c r="E30" s="66"/>
      <c r="F30" s="14"/>
      <c r="G30" s="78">
        <f t="shared" si="7"/>
        <v>0</v>
      </c>
      <c r="H30" s="4"/>
      <c r="I30" s="4"/>
      <c r="J30" s="224"/>
      <c r="K30" s="59"/>
      <c r="L30" s="124" t="s">
        <v>82</v>
      </c>
      <c r="M30" s="114">
        <f>($G$8*0.85)-($G$46*1.1)-$G$54</f>
        <v>-2260.0430554067466</v>
      </c>
      <c r="N30" s="115">
        <f>($G$8*0.9)-($G$46*1.1)-$G$54</f>
        <v>-1977.8555554067466</v>
      </c>
      <c r="O30" s="115">
        <f>($G$8*0.95)-($G$46*1.1)-$G$54</f>
        <v>-1695.6680554067466</v>
      </c>
      <c r="P30" s="115">
        <f>($G$8)-($G$46*1.1)-$G$54</f>
        <v>-1413.4805554067466</v>
      </c>
      <c r="Q30" s="115">
        <f>($G$8*1.05)-($G$46*1.1)-$G$54</f>
        <v>-1131.2930554067466</v>
      </c>
      <c r="R30" s="115">
        <f>($G$8*1.1)-($G$46*1.1)-$G$54</f>
        <v>-849.10555540674568</v>
      </c>
      <c r="S30" s="116">
        <f>($G$8*1.15)-($G$46*1.1)-$G$54</f>
        <v>-566.9180554067475</v>
      </c>
      <c r="T30" s="1"/>
    </row>
    <row r="31" spans="1:21" ht="16.5" customHeight="1">
      <c r="A31" s="7"/>
      <c r="B31" s="2" t="s">
        <v>183</v>
      </c>
      <c r="C31" s="2"/>
      <c r="D31" s="3" t="s">
        <v>184</v>
      </c>
      <c r="E31" s="76">
        <v>400</v>
      </c>
      <c r="F31" s="78">
        <v>0.35</v>
      </c>
      <c r="G31" s="14">
        <f>E31*F31</f>
        <v>140</v>
      </c>
      <c r="H31" s="4"/>
      <c r="I31" s="4"/>
      <c r="J31" s="224"/>
      <c r="K31" s="59"/>
      <c r="L31" s="124" t="s">
        <v>93</v>
      </c>
      <c r="M31" s="114">
        <f>($G$8*0.85)-($G$46*1.05)-$G$54</f>
        <v>-2028.0512913442458</v>
      </c>
      <c r="N31" s="115">
        <f>($G$8*0.9)-($G$46*1.05)-$G$54</f>
        <v>-1745.8637913442458</v>
      </c>
      <c r="O31" s="115">
        <f>($G$8*0.95)-($G$46*1.05)-$G$54</f>
        <v>-1463.6762913442458</v>
      </c>
      <c r="P31" s="115">
        <f>($G$8)-($G$46*1.05)-$G$54</f>
        <v>-1181.4887913442458</v>
      </c>
      <c r="Q31" s="115">
        <f>($G$8*1.05)-($G$46*1.05)-$G$54</f>
        <v>-899.30129134424578</v>
      </c>
      <c r="R31" s="115">
        <f>($G$8*1.1)-($G$46*1.05)-$G$54</f>
        <v>-617.11379134424487</v>
      </c>
      <c r="S31" s="116">
        <f>($G$8*1.15)-($G$46*1.05)-$G$54</f>
        <v>-334.92629134424669</v>
      </c>
      <c r="T31" s="1"/>
    </row>
    <row r="32" spans="1:21" ht="16.5" customHeight="1">
      <c r="A32" s="7"/>
      <c r="B32" s="2" t="s">
        <v>186</v>
      </c>
      <c r="C32" s="2"/>
      <c r="D32" s="3" t="s">
        <v>67</v>
      </c>
      <c r="E32" s="76">
        <v>80</v>
      </c>
      <c r="F32" s="78">
        <v>1</v>
      </c>
      <c r="G32" s="14">
        <f>E32*F32</f>
        <v>80</v>
      </c>
      <c r="H32" s="4"/>
      <c r="I32" s="4"/>
      <c r="J32" s="224"/>
      <c r="K32" s="59"/>
      <c r="L32" s="124" t="s">
        <v>81</v>
      </c>
      <c r="M32" s="114">
        <f>($G$8*0.85)-($G$46)-$G$54</f>
        <v>-1796.0595272817459</v>
      </c>
      <c r="N32" s="115">
        <f>($G$8*0.9)-($G$46)-$G$54</f>
        <v>-1513.8720272817459</v>
      </c>
      <c r="O32" s="115">
        <f>($G$8*0.95)-($G$46)-$G$54</f>
        <v>-1231.6845272817459</v>
      </c>
      <c r="P32" s="117">
        <f>($G$8)-($G$46)-$G$54</f>
        <v>-949.49702728174589</v>
      </c>
      <c r="Q32" s="115">
        <f>($G$8*1.05)-($G$46)-$G$54</f>
        <v>-667.30952728174589</v>
      </c>
      <c r="R32" s="115">
        <f>($G$8*1.1)-($G$46)-$G$54</f>
        <v>-385.12202728174498</v>
      </c>
      <c r="S32" s="116">
        <f>($G$8*1.15)-($G$46)-$G$54</f>
        <v>-102.9345272817468</v>
      </c>
      <c r="T32" s="1"/>
    </row>
    <row r="33" spans="1:21" ht="16.5" customHeight="1">
      <c r="A33" s="7"/>
      <c r="B33" s="2" t="s">
        <v>115</v>
      </c>
      <c r="C33" s="2"/>
      <c r="D33" s="3" t="s">
        <v>55</v>
      </c>
      <c r="E33" s="16">
        <f>SUM(E34:E38)</f>
        <v>140</v>
      </c>
      <c r="F33" s="2"/>
      <c r="G33" s="14">
        <f>SUMPRODUCT(E34:E38,F34:F38)</f>
        <v>2604</v>
      </c>
      <c r="H33" s="4"/>
      <c r="I33" s="4"/>
      <c r="J33" s="224"/>
      <c r="K33" s="59"/>
      <c r="L33" s="124" t="s">
        <v>90</v>
      </c>
      <c r="M33" s="114">
        <f>($G$8*0.85)-($G$46*0.95)-$G$54</f>
        <v>-1564.067763219246</v>
      </c>
      <c r="N33" s="115">
        <f>($G$8*0.9)-($G$46*0.95)-$G$54</f>
        <v>-1281.880263219246</v>
      </c>
      <c r="O33" s="115">
        <f>($G$8*0.95)-($G$46*0.95)-$G$54</f>
        <v>-999.69276321924599</v>
      </c>
      <c r="P33" s="115">
        <f>($G$8)-($G$46*0.95)-$G$54</f>
        <v>-717.50526321924599</v>
      </c>
      <c r="Q33" s="115">
        <f>($G$8*1.05)-($G$46*0.95)-$G$54</f>
        <v>-435.31776321924599</v>
      </c>
      <c r="R33" s="115">
        <f>($G$8*1.1)-($G$46*0.95)-$G$54</f>
        <v>-153.13026321924508</v>
      </c>
      <c r="S33" s="116">
        <f>($G$8*1.15)-($G$46*0.95)-$G$54</f>
        <v>129.0572367807531</v>
      </c>
      <c r="T33" s="1"/>
    </row>
    <row r="34" spans="1:21" ht="16.5" customHeight="1">
      <c r="A34" s="4"/>
      <c r="B34" s="7"/>
      <c r="C34" s="2" t="s">
        <v>116</v>
      </c>
      <c r="D34" s="3" t="s">
        <v>117</v>
      </c>
      <c r="E34" s="76">
        <v>18</v>
      </c>
      <c r="F34" s="11">
        <v>18.600000000000001</v>
      </c>
      <c r="G34" s="14"/>
      <c r="H34" s="4"/>
      <c r="I34" s="4"/>
      <c r="J34" s="224"/>
      <c r="K34" s="59"/>
      <c r="L34" s="124" t="s">
        <v>80</v>
      </c>
      <c r="M34" s="114">
        <f>($G$8*0.85)-($G$46*0.9)-$G$54</f>
        <v>-1332.0759991567461</v>
      </c>
      <c r="N34" s="115">
        <f>($G$8*0.9)-($G$46*0.9)-$G$54</f>
        <v>-1049.8884991567461</v>
      </c>
      <c r="O34" s="115">
        <f>($G$8*0.95)-($G$46*0.9)-$G$54</f>
        <v>-767.70099915674609</v>
      </c>
      <c r="P34" s="115">
        <f>($G$8)-($G$46*0.9)-$G$54</f>
        <v>-485.51349915674609</v>
      </c>
      <c r="Q34" s="115">
        <f>($G$8*1.05)-($G$46*0.9)-$G$54</f>
        <v>-203.32599915674609</v>
      </c>
      <c r="R34" s="115">
        <f>($G$8*1.1)-($G$46*0.9)-$G$54</f>
        <v>78.861500843254817</v>
      </c>
      <c r="S34" s="116">
        <f>($G$8*1.15)-($G$46*0.9)-$G$54</f>
        <v>361.049000843253</v>
      </c>
      <c r="T34" s="1"/>
      <c r="U34" t="s">
        <v>118</v>
      </c>
    </row>
    <row r="35" spans="1:21" ht="16.5" customHeight="1">
      <c r="A35" s="4"/>
      <c r="B35" s="7"/>
      <c r="C35" s="2" t="s">
        <v>119</v>
      </c>
      <c r="D35" s="3" t="s">
        <v>117</v>
      </c>
      <c r="E35" s="76">
        <v>20</v>
      </c>
      <c r="F35" s="11">
        <v>18.600000000000001</v>
      </c>
      <c r="G35" s="14"/>
      <c r="H35" s="4"/>
      <c r="I35" s="4"/>
      <c r="J35" s="225"/>
      <c r="K35" s="60"/>
      <c r="L35" s="126" t="s">
        <v>88</v>
      </c>
      <c r="M35" s="118">
        <f>($G$8*0.85)-($G$46*0.85)-$G$54</f>
        <v>-1100.0842350942457</v>
      </c>
      <c r="N35" s="119">
        <f>($G$8*0.9)-($G$46*0.85)-$G$54</f>
        <v>-817.89673509424574</v>
      </c>
      <c r="O35" s="119">
        <f>($G$8*0.95)-($G$46*0.85)-$G$54</f>
        <v>-535.70923509424574</v>
      </c>
      <c r="P35" s="119">
        <f>($G$8)-($G$46*0.85)-$G$54</f>
        <v>-253.52173509424574</v>
      </c>
      <c r="Q35" s="119">
        <f>($G$8*1.05)-($G$46*0.85)-$G$54</f>
        <v>28.665764905754259</v>
      </c>
      <c r="R35" s="119">
        <f>($G$8*1.1)-($G$46*0.85)-$G$54</f>
        <v>310.85326490575517</v>
      </c>
      <c r="S35" s="120">
        <f>($G$8*1.15)-($G$46*0.85)-$G$54</f>
        <v>593.04076490575335</v>
      </c>
      <c r="T35" s="1"/>
      <c r="U35" t="s">
        <v>118</v>
      </c>
    </row>
    <row r="36" spans="1:21" ht="16.5" customHeight="1">
      <c r="A36" s="4"/>
      <c r="B36" s="7"/>
      <c r="C36" s="2" t="s">
        <v>120</v>
      </c>
      <c r="D36" s="3" t="s">
        <v>117</v>
      </c>
      <c r="E36" s="76">
        <v>32</v>
      </c>
      <c r="F36" s="11">
        <v>18.600000000000001</v>
      </c>
      <c r="G36" s="14"/>
      <c r="H36" s="4"/>
      <c r="I36" s="4"/>
      <c r="U36" t="s">
        <v>118</v>
      </c>
    </row>
    <row r="37" spans="1:21" ht="16.5" customHeight="1">
      <c r="A37" s="4"/>
      <c r="B37" s="7"/>
      <c r="C37" s="2" t="s">
        <v>121</v>
      </c>
      <c r="D37" s="3" t="s">
        <v>117</v>
      </c>
      <c r="E37" s="76">
        <v>55</v>
      </c>
      <c r="F37" s="11">
        <v>18.600000000000001</v>
      </c>
      <c r="G37" s="14"/>
      <c r="H37" s="4"/>
      <c r="I37" s="4"/>
      <c r="U37" t="s">
        <v>118</v>
      </c>
    </row>
    <row r="38" spans="1:21" ht="16.5" customHeight="1">
      <c r="A38" s="4"/>
      <c r="B38" s="7"/>
      <c r="C38" s="2" t="s">
        <v>122</v>
      </c>
      <c r="D38" s="3" t="s">
        <v>117</v>
      </c>
      <c r="E38" s="76">
        <v>15</v>
      </c>
      <c r="F38" s="11">
        <v>18.600000000000001</v>
      </c>
      <c r="G38" s="14"/>
      <c r="H38" s="4"/>
      <c r="I38" s="4"/>
      <c r="U38" t="s">
        <v>118</v>
      </c>
    </row>
    <row r="39" spans="1:21" ht="16.5" customHeight="1">
      <c r="A39" s="4"/>
      <c r="B39" s="2" t="s">
        <v>123</v>
      </c>
      <c r="C39" s="2"/>
      <c r="D39" s="3"/>
      <c r="E39" s="66"/>
      <c r="F39" s="64"/>
      <c r="G39" s="14"/>
      <c r="H39" s="4"/>
      <c r="I39" s="4"/>
      <c r="K39" s="84"/>
    </row>
    <row r="40" spans="1:21" ht="16.5" customHeight="1">
      <c r="A40" s="4"/>
      <c r="B40" s="7"/>
      <c r="C40" s="82" t="s">
        <v>124</v>
      </c>
      <c r="D40" s="151" t="s">
        <v>67</v>
      </c>
      <c r="E40" s="76">
        <v>0</v>
      </c>
      <c r="F40" s="11">
        <v>2.2000000000000002</v>
      </c>
      <c r="G40" s="14">
        <f t="shared" ref="G40:G42" si="8">E40*F40</f>
        <v>0</v>
      </c>
      <c r="H40" s="4"/>
      <c r="I40" s="4"/>
      <c r="K40" s="65"/>
    </row>
    <row r="41" spans="1:21" ht="16.5" customHeight="1">
      <c r="A41" s="4"/>
      <c r="B41" s="2"/>
      <c r="C41" s="82" t="s">
        <v>219</v>
      </c>
      <c r="D41" s="151" t="s">
        <v>67</v>
      </c>
      <c r="E41" s="10">
        <v>840</v>
      </c>
      <c r="F41" s="11">
        <v>0.2</v>
      </c>
      <c r="G41" s="14">
        <f t="shared" si="8"/>
        <v>168</v>
      </c>
      <c r="H41" s="4"/>
      <c r="I41" s="4"/>
      <c r="J41" s="84"/>
      <c r="U41" t="s">
        <v>242</v>
      </c>
    </row>
    <row r="42" spans="1:21" ht="16.5" customHeight="1">
      <c r="A42" s="4"/>
      <c r="B42" s="2"/>
      <c r="C42" s="82" t="s">
        <v>243</v>
      </c>
      <c r="D42" s="151" t="s">
        <v>67</v>
      </c>
      <c r="E42" s="10">
        <v>55</v>
      </c>
      <c r="F42" s="11">
        <v>1.1499999999999999</v>
      </c>
      <c r="G42" s="14">
        <f t="shared" si="8"/>
        <v>63.249999999999993</v>
      </c>
      <c r="H42" s="4"/>
      <c r="I42" s="4"/>
      <c r="U42" t="s">
        <v>244</v>
      </c>
    </row>
    <row r="43" spans="1:21" ht="16.5" customHeight="1">
      <c r="A43" s="4"/>
      <c r="B43" s="2" t="s">
        <v>127</v>
      </c>
      <c r="C43" s="2"/>
      <c r="D43" s="19" t="s">
        <v>128</v>
      </c>
      <c r="E43" s="14"/>
      <c r="F43" s="134">
        <v>0.1</v>
      </c>
      <c r="G43" s="14">
        <f>G8*F43</f>
        <v>564.375</v>
      </c>
      <c r="H43" s="4"/>
      <c r="I43" s="4"/>
    </row>
    <row r="44" spans="1:21" ht="18">
      <c r="A44" s="4"/>
      <c r="B44" s="2" t="s">
        <v>129</v>
      </c>
      <c r="C44" s="4"/>
      <c r="D44" s="3" t="s">
        <v>55</v>
      </c>
      <c r="E44" s="7"/>
      <c r="F44" s="7"/>
      <c r="G44" s="20">
        <v>20</v>
      </c>
      <c r="I44" s="4"/>
    </row>
    <row r="45" spans="1:21" ht="16.5">
      <c r="B45" s="2" t="s">
        <v>130</v>
      </c>
      <c r="C45" s="4"/>
      <c r="D45" s="3" t="s">
        <v>7</v>
      </c>
      <c r="F45" s="134">
        <v>7.2499999999999995E-2</v>
      </c>
      <c r="G45" s="12">
        <f>SUM(G11:G44)/2*F45</f>
        <v>162.31028124999997</v>
      </c>
    </row>
    <row r="46" spans="1:21" ht="16.5">
      <c r="B46" s="4"/>
      <c r="C46" s="13" t="s">
        <v>131</v>
      </c>
      <c r="D46" s="3"/>
      <c r="E46" s="21"/>
      <c r="F46" s="2"/>
      <c r="G46" s="14">
        <f>SUM(G11:G45)</f>
        <v>4639.8352812499998</v>
      </c>
      <c r="K46" s="65"/>
    </row>
    <row r="47" spans="1:21" ht="16.5">
      <c r="B47" s="4"/>
      <c r="C47" s="13"/>
      <c r="D47" s="3"/>
      <c r="E47" s="21"/>
      <c r="F47" s="2"/>
      <c r="G47" s="14"/>
    </row>
    <row r="48" spans="1:21" ht="15.75">
      <c r="B48" s="15" t="s">
        <v>132</v>
      </c>
      <c r="C48" s="15"/>
      <c r="D48" s="22" t="s">
        <v>4</v>
      </c>
      <c r="E48" s="9" t="s">
        <v>41</v>
      </c>
      <c r="F48" s="9" t="s">
        <v>42</v>
      </c>
      <c r="G48" s="9" t="str">
        <f>G4</f>
        <v>Total dollars</v>
      </c>
    </row>
    <row r="49" spans="2:7" ht="15.75">
      <c r="B49" s="2" t="s">
        <v>133</v>
      </c>
      <c r="C49" s="2"/>
      <c r="D49" s="3" t="s">
        <v>134</v>
      </c>
      <c r="E49" s="23">
        <v>8</v>
      </c>
      <c r="F49" s="14">
        <f>Investment!G32/12</f>
        <v>137.56230158730159</v>
      </c>
      <c r="G49" s="26">
        <f>E49*F49</f>
        <v>1100.4984126984127</v>
      </c>
    </row>
    <row r="50" spans="2:7" ht="15.75">
      <c r="B50" s="2" t="s">
        <v>135</v>
      </c>
      <c r="C50" s="2"/>
      <c r="D50" s="3" t="s">
        <v>136</v>
      </c>
      <c r="E50" s="96"/>
      <c r="F50" s="14"/>
      <c r="G50" s="14">
        <f>Investment!H32*($E$49/12)</f>
        <v>509.88</v>
      </c>
    </row>
    <row r="51" spans="2:7" ht="15.75">
      <c r="B51" s="2" t="s">
        <v>137</v>
      </c>
      <c r="C51" s="2"/>
      <c r="D51" s="3" t="s">
        <v>138</v>
      </c>
      <c r="E51" s="96"/>
      <c r="F51" s="94">
        <v>1.4999999999999999E-2</v>
      </c>
      <c r="G51" s="14">
        <f>Investment!D32*F51*($E$49/12)</f>
        <v>209.7</v>
      </c>
    </row>
    <row r="52" spans="2:7" ht="15.75">
      <c r="B52" s="2" t="s">
        <v>314</v>
      </c>
      <c r="C52" s="2"/>
      <c r="D52" s="3" t="s">
        <v>136</v>
      </c>
      <c r="E52" s="96"/>
      <c r="F52" s="14"/>
      <c r="G52" s="14">
        <f>Investment!E8*(E49/12)</f>
        <v>133.33333333333331</v>
      </c>
    </row>
    <row r="53" spans="2:7" ht="15.75">
      <c r="B53" s="2" t="s">
        <v>139</v>
      </c>
      <c r="C53" s="2"/>
      <c r="D53" s="3" t="s">
        <v>136</v>
      </c>
      <c r="E53" s="96"/>
      <c r="F53" s="14"/>
      <c r="G53" s="129">
        <v>0</v>
      </c>
    </row>
    <row r="54" spans="2:7" ht="16.5">
      <c r="B54" s="4"/>
      <c r="C54" s="13" t="s">
        <v>140</v>
      </c>
      <c r="E54" s="2"/>
      <c r="F54" s="2"/>
      <c r="G54" s="14">
        <f>SUM(G49:G53)</f>
        <v>1953.4117460317461</v>
      </c>
    </row>
    <row r="55" spans="2:7" ht="16.5">
      <c r="B55" s="4"/>
      <c r="C55" s="13"/>
      <c r="E55" s="2"/>
      <c r="F55" s="2"/>
      <c r="G55" s="14"/>
    </row>
    <row r="56" spans="2:7" ht="16.5">
      <c r="B56" s="147"/>
      <c r="C56" s="77"/>
      <c r="D56" s="148"/>
      <c r="E56" s="9" t="s">
        <v>141</v>
      </c>
      <c r="F56" s="9" t="s">
        <v>142</v>
      </c>
      <c r="G56" s="9" t="s">
        <v>43</v>
      </c>
    </row>
    <row r="57" spans="2:7" ht="15.75">
      <c r="B57" s="5" t="s">
        <v>36</v>
      </c>
      <c r="C57" s="13"/>
      <c r="E57" s="141">
        <f>(G46+G54)/M6</f>
        <v>3.2966235136408732</v>
      </c>
      <c r="F57" s="141">
        <f>G57/SUM(E5:E6)</f>
        <v>6.2792828831254726</v>
      </c>
      <c r="G57" s="141">
        <f>G46+G54</f>
        <v>6593.2470272817463</v>
      </c>
    </row>
    <row r="58" spans="2:7" ht="16.5">
      <c r="B58" s="25" t="s">
        <v>143</v>
      </c>
      <c r="C58" s="150"/>
      <c r="D58" s="4"/>
      <c r="E58" s="141">
        <f>(G8-G46)/M6</f>
        <v>0.50195735937500008</v>
      </c>
      <c r="F58" s="141">
        <f>G58/SUM(E5:E6)</f>
        <v>0.95610925595238117</v>
      </c>
      <c r="G58" s="141">
        <f>G8-G46</f>
        <v>1003.9147187500002</v>
      </c>
    </row>
    <row r="59" spans="2:7" ht="16.5">
      <c r="B59" s="133" t="s">
        <v>144</v>
      </c>
      <c r="C59" s="133"/>
      <c r="D59" s="24"/>
      <c r="E59" s="142">
        <f>(G8-G57)/M6</f>
        <v>-0.47474851364087317</v>
      </c>
      <c r="F59" s="142">
        <f>G59/SUM(E5:E6)</f>
        <v>-0.90428288312547267</v>
      </c>
      <c r="G59" s="142">
        <f>G8-G57</f>
        <v>-949.49702728174634</v>
      </c>
    </row>
    <row r="60" spans="2:7">
      <c r="B60" s="168" t="s">
        <v>191</v>
      </c>
      <c r="C60" s="168"/>
      <c r="D60" s="168"/>
      <c r="E60" s="168"/>
      <c r="F60" s="168"/>
      <c r="G60" s="168"/>
    </row>
    <row r="61" spans="2:7">
      <c r="B61" s="168" t="s">
        <v>192</v>
      </c>
      <c r="C61" s="168"/>
      <c r="D61" s="168"/>
      <c r="E61" s="168"/>
      <c r="F61" s="168"/>
      <c r="G61" s="168"/>
    </row>
    <row r="62" spans="2:7">
      <c r="B62" s="168" t="s">
        <v>146</v>
      </c>
      <c r="C62" s="168"/>
      <c r="D62" s="168"/>
      <c r="E62" s="168"/>
      <c r="F62" s="168"/>
      <c r="G62" s="168"/>
    </row>
    <row r="63" spans="2:7">
      <c r="B63" s="168" t="s">
        <v>147</v>
      </c>
      <c r="C63" s="168"/>
      <c r="D63" s="168"/>
      <c r="E63" s="168"/>
      <c r="F63" s="168"/>
      <c r="G63" s="168"/>
    </row>
  </sheetData>
  <mergeCells count="6">
    <mergeCell ref="J29:J35"/>
    <mergeCell ref="B2:G2"/>
    <mergeCell ref="E3:G3"/>
    <mergeCell ref="M14:S14"/>
    <mergeCell ref="M27:S27"/>
    <mergeCell ref="J15:J23"/>
  </mergeCells>
  <conditionalFormatting sqref="E48">
    <cfRule type="expression" dxfId="13" priority="5">
      <formula>$G$1="no"</formula>
    </cfRule>
  </conditionalFormatting>
  <conditionalFormatting sqref="E56">
    <cfRule type="expression" dxfId="12" priority="1">
      <formula>$G$1="no"</formula>
    </cfRule>
  </conditionalFormatting>
  <conditionalFormatting sqref="E4:G4">
    <cfRule type="expression" dxfId="11" priority="7">
      <formula>$G$1="no"</formula>
    </cfRule>
  </conditionalFormatting>
  <conditionalFormatting sqref="E10:G10">
    <cfRule type="expression" dxfId="10" priority="6">
      <formula>$G$1="no"</formula>
    </cfRule>
  </conditionalFormatting>
  <conditionalFormatting sqref="G56">
    <cfRule type="expression" dxfId="9" priority="2">
      <formula>$G$1="no"</formula>
    </cfRule>
  </conditionalFormatting>
  <conditionalFormatting sqref="M17:S23">
    <cfRule type="cellIs" dxfId="8" priority="4" operator="lessThan">
      <formula>0</formula>
    </cfRule>
  </conditionalFormatting>
  <conditionalFormatting sqref="M29:S35">
    <cfRule type="cellIs" dxfId="7" priority="3" operator="lessThan">
      <formula>0</formula>
    </cfRule>
  </conditionalFormatting>
  <pageMargins left="0.7" right="0.7" top="0.75" bottom="0.75" header="0.3" footer="0.3"/>
  <pageSetup orientation="portrait" r:id="rId1"/>
  <ignoredErrors>
    <ignoredError sqref="L20 P16 E5:E6" unlockedFormula="1"/>
    <ignoredError sqref="C21"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ba6830-88fc-4660-8252-66421c0ed606">
      <Terms xmlns="http://schemas.microsoft.com/office/infopath/2007/PartnerControls"/>
    </lcf76f155ced4ddcb4097134ff3c332f>
    <TaxCatchAll xmlns="68029b82-de8b-4bb8-a3ab-fd0183ed5d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E1293EDA749C499D09F25756402A22" ma:contentTypeVersion="19" ma:contentTypeDescription="Create a new document." ma:contentTypeScope="" ma:versionID="f610af42f5f35fc6cfbfb3e5795ca45d">
  <xsd:schema xmlns:xsd="http://www.w3.org/2001/XMLSchema" xmlns:xs="http://www.w3.org/2001/XMLSchema" xmlns:p="http://schemas.microsoft.com/office/2006/metadata/properties" xmlns:ns2="efba6830-88fc-4660-8252-66421c0ed606" xmlns:ns3="68029b82-de8b-4bb8-a3ab-fd0183ed5d77" targetNamespace="http://schemas.microsoft.com/office/2006/metadata/properties" ma:root="true" ma:fieldsID="b56cae5f79f0fb0f797c4f61633a70a8" ns2:_="" ns3:_="">
    <xsd:import namespace="efba6830-88fc-4660-8252-66421c0ed606"/>
    <xsd:import namespace="68029b82-de8b-4bb8-a3ab-fd0183ed5d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a6830-88fc-4660-8252-66421c0ed6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029b82-de8b-4bb8-a3ab-fd0183ed5d7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298e622-2bdb-4ed5-999f-2e6ceaea9292}" ma:internalName="TaxCatchAll" ma:showField="CatchAllData" ma:web="68029b82-de8b-4bb8-a3ab-fd0183ed5d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C5CA5A-6DE0-42E0-9050-36C44A07D9EB}">
  <ds:schemaRefs>
    <ds:schemaRef ds:uri="http://schemas.microsoft.com/office/2006/metadata/properties"/>
    <ds:schemaRef ds:uri="http://schemas.microsoft.com/office/infopath/2007/PartnerControls"/>
    <ds:schemaRef ds:uri="efba6830-88fc-4660-8252-66421c0ed606"/>
    <ds:schemaRef ds:uri="68029b82-de8b-4bb8-a3ab-fd0183ed5d77"/>
    <ds:schemaRef ds:uri="afeaba0f-363c-487a-9eab-504fb0ae0068"/>
    <ds:schemaRef ds:uri="3cf54786-5cbe-4eed-9d82-be7bae57988e"/>
  </ds:schemaRefs>
</ds:datastoreItem>
</file>

<file path=customXml/itemProps2.xml><?xml version="1.0" encoding="utf-8"?>
<ds:datastoreItem xmlns:ds="http://schemas.openxmlformats.org/officeDocument/2006/customXml" ds:itemID="{98325385-3275-43B5-96B6-14A722AB6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ba6830-88fc-4660-8252-66421c0ed606"/>
    <ds:schemaRef ds:uri="68029b82-de8b-4bb8-a3ab-fd0183ed5d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8E6D96-346E-447F-AA45-C88A61ED63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Introduction</vt:lpstr>
      <vt:lpstr>Investment</vt:lpstr>
      <vt:lpstr>Bell pepper</vt:lpstr>
      <vt:lpstr>Cucumber</vt:lpstr>
      <vt:lpstr>Head lettuce</vt:lpstr>
      <vt:lpstr>Leafy greens</vt:lpstr>
      <vt:lpstr>Potato</vt:lpstr>
      <vt:lpstr>Root crops</vt:lpstr>
      <vt:lpstr>Strawberry</vt:lpstr>
      <vt:lpstr>Tomato</vt:lpstr>
      <vt:lpstr>Summary</vt:lpstr>
      <vt:lpstr>'Bell pepper'!Print_Area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Staley, Clare (MU-Student)</dc:creator>
  <cp:keywords/>
  <dc:description/>
  <cp:lastModifiedBy>Stokes, Victoria</cp:lastModifiedBy>
  <cp:revision/>
  <cp:lastPrinted>2026-08-07T14:32:33Z</cp:lastPrinted>
  <dcterms:created xsi:type="dcterms:W3CDTF">2025-10-22T18:52:06Z</dcterms:created>
  <dcterms:modified xsi:type="dcterms:W3CDTF">2026-08-25T23:53:07Z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0x010100C8E1293EDA749C499D09F25756402A22</vt:lpwstr>
  </property>
</Properties>
</file>