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202300"/>
  <mc:AlternateContent xmlns:mc="http://schemas.openxmlformats.org/markup-compatibility/2006">
    <mc:Choice Requires="x15">
      <x15ac:absPath xmlns:x15ac="http://schemas.microsoft.com/office/spreadsheetml/2010/11/ac" url="https://mailmissouri-my.sharepoint.com/personal/abrfyp_umsystem_edu/Documents/Google Drive/Documentos/Assistant Ext Prof Mizzou (1)/Reports and tools/Drones/Drones review/Published version/"/>
    </mc:Choice>
  </mc:AlternateContent>
  <xr:revisionPtr revIDLastSave="147" documentId="8_{B63960FA-FB78-4AB4-855C-B337C2CB12D5}" xr6:coauthVersionLast="47" xr6:coauthVersionMax="47" xr10:uidLastSave="{EADC4224-77D5-4123-A1C6-106B590EF030}"/>
  <bookViews>
    <workbookView xWindow="-120" yWindow="-120" windowWidth="29040" windowHeight="15720" xr2:uid="{E2432907-BF4B-432B-B226-B77E0AC53E90}"/>
  </bookViews>
  <sheets>
    <sheet name="Introduction" sheetId="6" r:id="rId1"/>
    <sheet name="Inputs and summary" sheetId="5" r:id="rId2"/>
    <sheet name="Cost by acreage and interest" sheetId="4" r:id="rId3"/>
    <sheet name="Model" sheetId="3" r:id="rId4"/>
  </sheets>
  <definedNames>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Acres_applied_per_charge_cycle">'Inputs and summary'!$B$9</definedName>
    <definedName name="Acres_applied_per_flight">'Inputs and summary'!$B$8</definedName>
    <definedName name="Acres_applied_per_hour">Model!$B$7</definedName>
    <definedName name="Acres_of_lifespan_drone">'Inputs and summary'!$B$6</definedName>
    <definedName name="Applied_acres_per_year">Model!$B$4</definedName>
    <definedName name="Batteries_lifespan">'Inputs and summary'!$F$6</definedName>
    <definedName name="battery_lifespan">'Inputs and summary'!$F$9</definedName>
    <definedName name="Battery_salvage_value">'Inputs and summary'!$G$9</definedName>
    <definedName name="Capital_recovery__total_year">Model!$E$41</definedName>
    <definedName name="charge_cycles_a_year">Model!$B$8</definedName>
    <definedName name="Charge_cycles_per_year">Model!$B$8</definedName>
    <definedName name="Charges_of_lifespan__batteries">'Inputs and summary'!$B$10</definedName>
    <definedName name="Cleaning_the_drone__hours">'Inputs and summary'!$B$14</definedName>
    <definedName name="Diesel_price____gallon">'Inputs and summary'!$B$17</definedName>
    <definedName name="Diesel_use__gallon_hour">'Inputs and summary'!$B$18</definedName>
    <definedName name="Dish_soap_price____2.64L">'Inputs and summary'!$B$16</definedName>
    <definedName name="Dish_soap_qtt._L_day">'Inputs and summary'!$B$15</definedName>
    <definedName name="Drone_maintanance_cost____year_acre">'Inputs and summary'!$B$26</definedName>
    <definedName name="Drone_price">'Inputs and summary'!#REF!</definedName>
    <definedName name="drone_salvage_value">'Inputs and summary'!$H$2</definedName>
    <definedName name="drone_use_perc">'Inputs and summary'!$I$2</definedName>
    <definedName name="Extra_batteries_price">'Inputs and summary'!$E$9</definedName>
    <definedName name="Flights_per_hour">Model!$B$11</definedName>
    <definedName name="Generator_lifespan">'Inputs and summary'!$F$3</definedName>
    <definedName name="generator_maintenance_cost">'Inputs and summary'!$G$3</definedName>
    <definedName name="Generator_price">'Inputs and summary'!$E$3</definedName>
    <definedName name="generator_salvage_value">'Inputs and summary'!$H$3</definedName>
    <definedName name="generator_use_perc">'Inputs and summary'!$I$3</definedName>
    <definedName name="Hours_per_day_applying">'Inputs and summary'!$B$23</definedName>
    <definedName name="Interest_rate">Model!$B$5</definedName>
    <definedName name="Labor_cost____hour">'Inputs and summary'!$B$21</definedName>
    <definedName name="N_of_batteries_included_with_drone">'Inputs and summary'!$B$5</definedName>
    <definedName name="N_of_extra_batteries">'Inputs and summary'!#REF!</definedName>
    <definedName name="pump_and_transfer_lifespan">'Inputs and summary'!$F$5</definedName>
    <definedName name="Pump_and_transfer_system_price">'Inputs and summary'!$E$6</definedName>
    <definedName name="Pump_maintenance">'Inputs and summary'!$G$6</definedName>
    <definedName name="pump_maintenance_year">'Inputs and summary'!$G$6</definedName>
    <definedName name="pump_salvage_value">'Inputs and summary'!$H$6</definedName>
    <definedName name="pump_use_perc">'Inputs and summary'!$I$6</definedName>
    <definedName name="Pumping_in_and_mixing__hours">'Inputs and summary'!$B$13</definedName>
    <definedName name="Recharge_of_a_battery___pumping__hours">Model!$B$6</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100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Time_recharging_battery__hours">'Inputs and summary'!$B$12</definedName>
    <definedName name="Trailer_lifespan">'Inputs and summary'!$F$4</definedName>
    <definedName name="trailer_maintenance_cost">'Inputs and summary'!$G$4</definedName>
    <definedName name="Trailer_price">'Inputs and summary'!$E$4</definedName>
    <definedName name="trailer_salvage_value">'Inputs and summary'!$H$4</definedName>
    <definedName name="trailer_use_perc">'Inputs and summary'!$I$4</definedName>
    <definedName name="truck_maintenance_cost">'Inputs and summary'!$G$5</definedName>
    <definedName name="Truck_price">'Inputs and summary'!$E$5</definedName>
    <definedName name="truck_salvage_value">'Inputs and summary'!$H$5</definedName>
    <definedName name="truck_use_perc">'Inputs and summary'!$I$5</definedName>
    <definedName name="wrn.all." hidden="1">{"detail",#N/A,FALSE,"Trac_Table";"tractable",#N/A,FALSE,"Trac_Table";"sensitivity",#N/A,FALSE,"Trac_Table"}</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FD145" i="4" l="1"/>
  <c r="XFD146" i="4"/>
  <c r="XFD147" i="4"/>
  <c r="XFD148" i="4"/>
  <c r="XFD7" i="4"/>
  <c r="XFD8" i="4"/>
  <c r="XFD9" i="4"/>
  <c r="XFD10" i="4"/>
  <c r="XFD11" i="4"/>
  <c r="XFD12" i="4"/>
  <c r="XFD13" i="4"/>
  <c r="XFD14" i="4"/>
  <c r="XFD15" i="4"/>
  <c r="XFD16" i="4"/>
  <c r="XFD17" i="4"/>
  <c r="XFD18" i="4"/>
  <c r="XFD19" i="4"/>
  <c r="XFD20" i="4"/>
  <c r="XFD21" i="4"/>
  <c r="XFD22" i="4"/>
  <c r="XFD23" i="4"/>
  <c r="XFD24" i="4"/>
  <c r="XFD25" i="4"/>
  <c r="XFD26" i="4"/>
  <c r="XFD27" i="4"/>
  <c r="XFD28" i="4"/>
  <c r="XFD29" i="4"/>
  <c r="XFD30" i="4"/>
  <c r="XFD31" i="4"/>
  <c r="XFD32" i="4"/>
  <c r="XFD33" i="4"/>
  <c r="XFD34" i="4"/>
  <c r="XFD35" i="4"/>
  <c r="XFD36" i="4"/>
  <c r="XFD37" i="4"/>
  <c r="XFD38" i="4"/>
  <c r="XFD39" i="4"/>
  <c r="XFD40" i="4"/>
  <c r="XFD41" i="4"/>
  <c r="XFD42" i="4"/>
  <c r="XFD43" i="4"/>
  <c r="XFD44" i="4"/>
  <c r="XFD45" i="4"/>
  <c r="XFD46" i="4"/>
  <c r="XFD47" i="4"/>
  <c r="XFD48" i="4"/>
  <c r="XFD49" i="4"/>
  <c r="XFD50" i="4"/>
  <c r="XFD51" i="4"/>
  <c r="XFD52" i="4"/>
  <c r="XFD53" i="4"/>
  <c r="XFD54" i="4"/>
  <c r="XFD55" i="4"/>
  <c r="XFD56" i="4"/>
  <c r="XFD57" i="4"/>
  <c r="XFD58" i="4"/>
  <c r="XFD59" i="4"/>
  <c r="XFD60" i="4"/>
  <c r="XFD61" i="4"/>
  <c r="XFD62" i="4"/>
  <c r="XFD63" i="4"/>
  <c r="XFD64" i="4"/>
  <c r="XFD65" i="4"/>
  <c r="XFD66" i="4"/>
  <c r="XFD67" i="4"/>
  <c r="XFD68" i="4"/>
  <c r="XFD69" i="4"/>
  <c r="XFD70" i="4"/>
  <c r="XFD71" i="4"/>
  <c r="XFD72" i="4"/>
  <c r="XFD73" i="4"/>
  <c r="XFD74" i="4"/>
  <c r="XFD75" i="4"/>
  <c r="XFD76" i="4"/>
  <c r="XFD77" i="4"/>
  <c r="XFD78" i="4"/>
  <c r="XFD79" i="4"/>
  <c r="XFD80" i="4"/>
  <c r="XFD81" i="4"/>
  <c r="XFD82" i="4"/>
  <c r="XFD83" i="4"/>
  <c r="XFD84" i="4"/>
  <c r="XFD85" i="4"/>
  <c r="XFD86" i="4"/>
  <c r="XFD87" i="4"/>
  <c r="XFD88" i="4"/>
  <c r="XFD89" i="4"/>
  <c r="XFD90" i="4"/>
  <c r="XFD91" i="4"/>
  <c r="XFD92" i="4"/>
  <c r="XFD93" i="4"/>
  <c r="XFD94" i="4"/>
  <c r="XFD95" i="4"/>
  <c r="XFD96" i="4"/>
  <c r="XFD97" i="4"/>
  <c r="XFD98" i="4"/>
  <c r="XFD99" i="4"/>
  <c r="XFD100" i="4"/>
  <c r="XFD101" i="4"/>
  <c r="XFD102" i="4"/>
  <c r="XFD103" i="4"/>
  <c r="XFD104" i="4"/>
  <c r="XFD105" i="4"/>
  <c r="XFD106" i="4"/>
  <c r="XFD107" i="4"/>
  <c r="XFD108" i="4"/>
  <c r="XFD109" i="4"/>
  <c r="XFD110" i="4"/>
  <c r="XFD111" i="4"/>
  <c r="XFD112" i="4"/>
  <c r="XFD113" i="4"/>
  <c r="XFD114" i="4"/>
  <c r="XFD115" i="4"/>
  <c r="XFD116" i="4"/>
  <c r="XFD117" i="4"/>
  <c r="XFD118" i="4"/>
  <c r="XFD119" i="4"/>
  <c r="XFD120" i="4"/>
  <c r="XFD121" i="4"/>
  <c r="XFD122" i="4"/>
  <c r="XFD123" i="4"/>
  <c r="XFD124" i="4"/>
  <c r="XFD125" i="4"/>
  <c r="XFD126" i="4"/>
  <c r="XFD127" i="4"/>
  <c r="XFD128" i="4"/>
  <c r="XFD129" i="4"/>
  <c r="XFD130" i="4"/>
  <c r="XFD131" i="4"/>
  <c r="XFD132" i="4"/>
  <c r="XFD133" i="4"/>
  <c r="XFD134" i="4"/>
  <c r="XFD135" i="4"/>
  <c r="XFD136" i="4"/>
  <c r="XFD137" i="4"/>
  <c r="XFD138" i="4"/>
  <c r="XFD139" i="4"/>
  <c r="XFD140" i="4"/>
  <c r="XFD141" i="4"/>
  <c r="XFD142" i="4"/>
  <c r="XFD143" i="4"/>
  <c r="XFD144" i="4"/>
  <c r="XFD6" i="4"/>
  <c r="XFD5" i="4"/>
  <c r="XFD4" i="4"/>
  <c r="XFD3" i="4"/>
  <c r="B15" i="5"/>
  <c r="H5" i="5"/>
  <c r="G6" i="5"/>
  <c r="G5" i="5"/>
  <c r="G4" i="5"/>
  <c r="G3" i="5"/>
  <c r="H3" i="5"/>
  <c r="H2" i="5"/>
  <c r="B13" i="5"/>
  <c r="B12" i="5"/>
  <c r="G2" i="5"/>
  <c r="E15" i="5"/>
  <c r="Q41" i="4" l="1"/>
  <c r="A27" i="5"/>
  <c r="A13" i="3"/>
  <c r="Z4" i="3" a="1"/>
  <c r="Z4" i="3" s="1"/>
  <c r="Z5" i="3" a="1"/>
  <c r="Z5" i="3" s="1"/>
  <c r="Z6" i="3" a="1"/>
  <c r="Z6" i="3" s="1"/>
  <c r="Z7" i="3" a="1"/>
  <c r="Z7" i="3" s="1"/>
  <c r="Z8" i="3" a="1"/>
  <c r="Z8" i="3" s="1"/>
  <c r="Z9" i="3" a="1"/>
  <c r="Z9" i="3" s="1"/>
  <c r="Z10" i="3" a="1"/>
  <c r="Z10" i="3" s="1"/>
  <c r="Z11" i="3" a="1"/>
  <c r="Z11" i="3" s="1"/>
  <c r="Z12" i="3" a="1"/>
  <c r="Z12" i="3" s="1"/>
  <c r="Z13" i="3" a="1"/>
  <c r="Z13" i="3" s="1"/>
  <c r="Z14" i="3" a="1"/>
  <c r="Z14" i="3" s="1"/>
  <c r="Z15" i="3" a="1"/>
  <c r="Z15" i="3" s="1"/>
  <c r="Z16" i="3" a="1"/>
  <c r="Z16" i="3" s="1"/>
  <c r="Z17" i="3" a="1"/>
  <c r="Z17" i="3" s="1"/>
  <c r="Z18" i="3" a="1"/>
  <c r="Z18" i="3" s="1"/>
  <c r="Z19" i="3" a="1"/>
  <c r="Z19" i="3" s="1"/>
  <c r="Z20" i="3" a="1"/>
  <c r="Z20" i="3" s="1"/>
  <c r="Z21" i="3" a="1"/>
  <c r="Z21" i="3" s="1"/>
  <c r="Z22" i="3" a="1"/>
  <c r="Z22" i="3" s="1"/>
  <c r="Z23" i="3" a="1"/>
  <c r="Z23" i="3" s="1"/>
  <c r="Z24" i="3" a="1"/>
  <c r="Z24" i="3" s="1"/>
  <c r="Z25" i="3" a="1"/>
  <c r="Z25" i="3" s="1"/>
  <c r="Z26" i="3" a="1"/>
  <c r="Z26" i="3" s="1"/>
  <c r="Z27" i="3" a="1"/>
  <c r="Z27" i="3" s="1"/>
  <c r="Z28" i="3" a="1"/>
  <c r="Z28" i="3" s="1"/>
  <c r="Z29" i="3" a="1"/>
  <c r="Z29" i="3" s="1"/>
  <c r="Z30" i="3" a="1"/>
  <c r="Z30" i="3" s="1"/>
  <c r="Z31" i="3" a="1"/>
  <c r="Z31" i="3" s="1"/>
  <c r="Z32" i="3" a="1"/>
  <c r="Z32" i="3" s="1"/>
  <c r="Z33" i="3" a="1"/>
  <c r="Z33" i="3" s="1"/>
  <c r="Z34" i="3" a="1"/>
  <c r="Z34" i="3" s="1"/>
  <c r="Z35" i="3" a="1"/>
  <c r="Z35" i="3" s="1"/>
  <c r="Z36" i="3" a="1"/>
  <c r="Z36" i="3" s="1"/>
  <c r="Z37" i="3" a="1"/>
  <c r="Z37" i="3" s="1"/>
  <c r="Z38" i="3" a="1"/>
  <c r="Z38" i="3" s="1"/>
  <c r="Z39" i="3" a="1"/>
  <c r="Z39" i="3" s="1"/>
  <c r="Z40" i="3" a="1"/>
  <c r="Z40" i="3" s="1"/>
  <c r="Z41" i="3" a="1"/>
  <c r="Z41" i="3" s="1"/>
  <c r="Z42" i="3" a="1"/>
  <c r="Z42" i="3" s="1"/>
  <c r="Z43" i="3" a="1"/>
  <c r="Z43" i="3" s="1"/>
  <c r="Z44" i="3" a="1"/>
  <c r="Z44" i="3" s="1"/>
  <c r="Z45" i="3" a="1"/>
  <c r="Z45" i="3" s="1"/>
  <c r="Z46" i="3" a="1"/>
  <c r="Z46" i="3" s="1"/>
  <c r="Z47" i="3" a="1"/>
  <c r="Z47" i="3" s="1"/>
  <c r="Z48" i="3" a="1"/>
  <c r="Z48" i="3" s="1"/>
  <c r="Z49" i="3" a="1"/>
  <c r="Z49" i="3" s="1"/>
  <c r="Z50" i="3" a="1"/>
  <c r="Z50" i="3" s="1"/>
  <c r="Z51" i="3" a="1"/>
  <c r="Z51" i="3" s="1"/>
  <c r="Z52" i="3" a="1"/>
  <c r="Z52" i="3" s="1"/>
  <c r="Z53" i="3" a="1"/>
  <c r="Z53" i="3" s="1"/>
  <c r="Z54" i="3" a="1"/>
  <c r="Z54" i="3" s="1"/>
  <c r="Z55" i="3" a="1"/>
  <c r="Z55" i="3" s="1"/>
  <c r="Z56" i="3" a="1"/>
  <c r="Z56" i="3" s="1"/>
  <c r="Z57" i="3" a="1"/>
  <c r="Z57" i="3" s="1"/>
  <c r="Z58" i="3" a="1"/>
  <c r="Z58" i="3" s="1"/>
  <c r="Z59" i="3" a="1"/>
  <c r="Z59" i="3" s="1"/>
  <c r="Z60" i="3" a="1"/>
  <c r="Z60" i="3" s="1"/>
  <c r="Z61" i="3" a="1"/>
  <c r="Z61" i="3" s="1"/>
  <c r="Z62" i="3" a="1"/>
  <c r="Z62" i="3" s="1"/>
  <c r="Z63" i="3" a="1"/>
  <c r="Z63" i="3" s="1"/>
  <c r="Z64" i="3" a="1"/>
  <c r="Z64" i="3" s="1"/>
  <c r="Z65" i="3" a="1"/>
  <c r="Z65" i="3" s="1"/>
  <c r="Z66" i="3" a="1"/>
  <c r="Z66" i="3" s="1"/>
  <c r="Z67" i="3" a="1"/>
  <c r="Z67" i="3" s="1"/>
  <c r="Z68" i="3" a="1"/>
  <c r="Z68" i="3" s="1"/>
  <c r="Z69" i="3" a="1"/>
  <c r="Z69" i="3" s="1"/>
  <c r="Z70" i="3" a="1"/>
  <c r="Z70" i="3" s="1"/>
  <c r="Z71" i="3" a="1"/>
  <c r="Z71" i="3" s="1"/>
  <c r="Z72" i="3" a="1"/>
  <c r="Z72" i="3" s="1"/>
  <c r="Z73" i="3" a="1"/>
  <c r="Z73" i="3" s="1"/>
  <c r="Z74" i="3" a="1"/>
  <c r="Z74" i="3" s="1"/>
  <c r="Z75" i="3" a="1"/>
  <c r="Z75" i="3" s="1"/>
  <c r="Z76" i="3" a="1"/>
  <c r="Z76" i="3" s="1"/>
  <c r="Z77" i="3" a="1"/>
  <c r="Z77" i="3" s="1"/>
  <c r="Z78" i="3" a="1"/>
  <c r="Z78" i="3" s="1"/>
  <c r="Z79" i="3" a="1"/>
  <c r="Z79" i="3" s="1"/>
  <c r="Z80" i="3" a="1"/>
  <c r="Z80" i="3" s="1"/>
  <c r="Z81" i="3" a="1"/>
  <c r="Z81" i="3" s="1"/>
  <c r="Z82" i="3" a="1"/>
  <c r="Z82" i="3" s="1"/>
  <c r="Z83" i="3" a="1"/>
  <c r="Z83" i="3" s="1"/>
  <c r="Z84" i="3" a="1"/>
  <c r="Z84" i="3" s="1"/>
  <c r="Z85" i="3" a="1"/>
  <c r="Z85" i="3" s="1"/>
  <c r="Z86" i="3" a="1"/>
  <c r="Z86" i="3" s="1"/>
  <c r="Z87" i="3" a="1"/>
  <c r="Z87" i="3" s="1"/>
  <c r="Z88" i="3" a="1"/>
  <c r="Z88" i="3" s="1"/>
  <c r="Z89" i="3" a="1"/>
  <c r="Z89" i="3" s="1"/>
  <c r="Z90" i="3" a="1"/>
  <c r="Z90" i="3" s="1"/>
  <c r="Z91" i="3" a="1"/>
  <c r="Z91" i="3" s="1"/>
  <c r="Z92" i="3" a="1"/>
  <c r="Z92" i="3" s="1"/>
  <c r="Z93" i="3" a="1"/>
  <c r="Z93" i="3" s="1"/>
  <c r="Z94" i="3" a="1"/>
  <c r="Z94" i="3" s="1"/>
  <c r="Z95" i="3" a="1"/>
  <c r="Z95" i="3" s="1"/>
  <c r="Z96" i="3" a="1"/>
  <c r="Z96" i="3" s="1"/>
  <c r="Z97" i="3" a="1"/>
  <c r="Z97" i="3" s="1"/>
  <c r="Z98" i="3" a="1"/>
  <c r="Z98" i="3" s="1"/>
  <c r="Z99" i="3" a="1"/>
  <c r="Z99" i="3" s="1"/>
  <c r="Z100" i="3" a="1"/>
  <c r="Z100" i="3" s="1"/>
  <c r="Z101" i="3" a="1"/>
  <c r="Z101" i="3" s="1"/>
  <c r="Z102" i="3" a="1"/>
  <c r="Z102" i="3" s="1"/>
  <c r="Z103" i="3" a="1"/>
  <c r="Z103" i="3" s="1"/>
  <c r="Z104" i="3" a="1"/>
  <c r="Z104" i="3" s="1"/>
  <c r="Z105" i="3" a="1"/>
  <c r="Z105" i="3" s="1"/>
  <c r="Z106" i="3" a="1"/>
  <c r="Z106" i="3" s="1"/>
  <c r="Z107" i="3" a="1"/>
  <c r="Z107" i="3" s="1"/>
  <c r="Z108" i="3" a="1"/>
  <c r="Z108" i="3" s="1"/>
  <c r="Z109" i="3" a="1"/>
  <c r="Z109" i="3" s="1"/>
  <c r="Z110" i="3" a="1"/>
  <c r="Z110" i="3" s="1"/>
  <c r="Z111" i="3" a="1"/>
  <c r="Z111" i="3" s="1"/>
  <c r="Z112" i="3" a="1"/>
  <c r="Z112" i="3" s="1"/>
  <c r="Z113" i="3" a="1"/>
  <c r="Z113" i="3" s="1"/>
  <c r="Z114" i="3" a="1"/>
  <c r="Z114" i="3" s="1"/>
  <c r="Z115" i="3" a="1"/>
  <c r="Z115" i="3" s="1"/>
  <c r="Z116" i="3" a="1"/>
  <c r="Z116" i="3" s="1"/>
  <c r="Z117" i="3" a="1"/>
  <c r="Z117" i="3" s="1"/>
  <c r="Z118" i="3" a="1"/>
  <c r="Z118" i="3" s="1"/>
  <c r="Z119" i="3" a="1"/>
  <c r="Z119" i="3" s="1"/>
  <c r="Z120" i="3" a="1"/>
  <c r="Z120" i="3" s="1"/>
  <c r="Z121" i="3" a="1"/>
  <c r="Z121" i="3" s="1"/>
  <c r="Z122" i="3" a="1"/>
  <c r="Z122" i="3" s="1"/>
  <c r="Z123" i="3" a="1"/>
  <c r="Z123" i="3" s="1"/>
  <c r="Z124" i="3" a="1"/>
  <c r="Z124" i="3" s="1"/>
  <c r="Z125" i="3" a="1"/>
  <c r="Z125" i="3" s="1"/>
  <c r="Z126" i="3" a="1"/>
  <c r="Z126" i="3" s="1"/>
  <c r="Z127" i="3" a="1"/>
  <c r="Z127" i="3" s="1"/>
  <c r="Z128" i="3" a="1"/>
  <c r="Z128" i="3" s="1"/>
  <c r="Z129" i="3" a="1"/>
  <c r="Z129" i="3" s="1"/>
  <c r="Z130" i="3" a="1"/>
  <c r="Z130" i="3" s="1"/>
  <c r="Z131" i="3" a="1"/>
  <c r="Z131" i="3" s="1"/>
  <c r="Z132" i="3" a="1"/>
  <c r="Z132" i="3" s="1"/>
  <c r="Z133" i="3" a="1"/>
  <c r="Z133" i="3" s="1"/>
  <c r="Z134" i="3" a="1"/>
  <c r="Z134" i="3" s="1"/>
  <c r="Z135" i="3" a="1"/>
  <c r="Z135" i="3" s="1"/>
  <c r="Z136" i="3" a="1"/>
  <c r="Z136" i="3" s="1"/>
  <c r="Z137" i="3" a="1"/>
  <c r="Z137" i="3" s="1"/>
  <c r="Z138" i="3" a="1"/>
  <c r="Z138" i="3" s="1"/>
  <c r="Z139" i="3" a="1"/>
  <c r="Z139" i="3" s="1"/>
  <c r="Z140" i="3" a="1"/>
  <c r="Z140" i="3" s="1"/>
  <c r="Z141" i="3" a="1"/>
  <c r="Z141" i="3" s="1"/>
  <c r="Z142" i="3" a="1"/>
  <c r="Z142" i="3" s="1"/>
  <c r="Z143" i="3" a="1"/>
  <c r="Z143" i="3" s="1"/>
  <c r="Z144" i="3" a="1"/>
  <c r="Z144" i="3" s="1"/>
  <c r="Z145" i="3" a="1"/>
  <c r="Z145" i="3" s="1"/>
  <c r="Z146" i="3" a="1"/>
  <c r="Z146" i="3" s="1"/>
  <c r="Z147" i="3" a="1"/>
  <c r="Z147" i="3" s="1"/>
  <c r="Z148" i="3" a="1"/>
  <c r="Z148" i="3" s="1"/>
  <c r="Z3" i="3" a="1"/>
  <c r="Z3" i="3" s="1"/>
  <c r="Q4" i="4"/>
  <c r="Q5" i="4"/>
  <c r="Q6" i="4"/>
  <c r="Q7" i="4"/>
  <c r="Q8" i="4"/>
  <c r="Q9" i="4"/>
  <c r="Q10" i="4"/>
  <c r="Q11" i="4"/>
  <c r="Q12" i="4"/>
  <c r="Q13" i="4"/>
  <c r="Q14" i="4"/>
  <c r="Q15" i="4"/>
  <c r="Q16" i="4"/>
  <c r="Q17" i="4"/>
  <c r="Q18" i="4"/>
  <c r="Q19" i="4"/>
  <c r="Q20" i="4"/>
  <c r="Q21" i="4"/>
  <c r="Q22" i="4"/>
  <c r="Q23" i="4"/>
  <c r="Q24" i="4"/>
  <c r="Q25" i="4"/>
  <c r="Q26" i="4"/>
  <c r="Q27" i="4"/>
  <c r="Q28" i="4"/>
  <c r="Q29" i="4"/>
  <c r="Q30" i="4"/>
  <c r="Q31" i="4"/>
  <c r="Q32" i="4"/>
  <c r="Q33" i="4"/>
  <c r="Q34" i="4"/>
  <c r="Q35" i="4"/>
  <c r="Q36" i="4"/>
  <c r="Q37" i="4"/>
  <c r="Q38" i="4"/>
  <c r="Q39" i="4"/>
  <c r="Q40" i="4"/>
  <c r="Q42" i="4"/>
  <c r="Q43" i="4"/>
  <c r="Q44" i="4"/>
  <c r="Q45" i="4"/>
  <c r="Q46" i="4"/>
  <c r="Q47" i="4"/>
  <c r="Q48" i="4"/>
  <c r="Q49" i="4"/>
  <c r="Q50" i="4"/>
  <c r="Q51" i="4"/>
  <c r="Q52" i="4"/>
  <c r="Q53" i="4"/>
  <c r="Q54" i="4"/>
  <c r="Q55" i="4"/>
  <c r="Q56" i="4"/>
  <c r="Q57" i="4"/>
  <c r="Q58" i="4"/>
  <c r="Q59" i="4"/>
  <c r="Q60" i="4"/>
  <c r="Q61" i="4"/>
  <c r="Q62" i="4"/>
  <c r="Q63" i="4"/>
  <c r="Q64" i="4"/>
  <c r="Q65" i="4"/>
  <c r="Q66" i="4"/>
  <c r="Q67" i="4"/>
  <c r="Q68" i="4"/>
  <c r="Q69" i="4"/>
  <c r="Q70" i="4"/>
  <c r="Q71" i="4"/>
  <c r="Q72" i="4"/>
  <c r="Q73" i="4"/>
  <c r="Q74" i="4"/>
  <c r="Q75" i="4"/>
  <c r="Q76" i="4"/>
  <c r="Q77" i="4"/>
  <c r="Q78" i="4"/>
  <c r="Q79" i="4"/>
  <c r="Q80" i="4"/>
  <c r="Q81" i="4"/>
  <c r="Q82" i="4"/>
  <c r="Q83" i="4"/>
  <c r="Q84" i="4"/>
  <c r="Q85" i="4"/>
  <c r="Q86" i="4"/>
  <c r="Q87" i="4"/>
  <c r="Q88" i="4"/>
  <c r="Q89" i="4"/>
  <c r="Q90" i="4"/>
  <c r="Q91" i="4"/>
  <c r="Q92" i="4"/>
  <c r="Q93" i="4"/>
  <c r="Q94" i="4"/>
  <c r="Q95" i="4"/>
  <c r="Q96" i="4"/>
  <c r="Q97" i="4"/>
  <c r="Q98" i="4"/>
  <c r="Q99" i="4"/>
  <c r="Q100" i="4"/>
  <c r="Q101" i="4"/>
  <c r="Q102" i="4"/>
  <c r="Q103" i="4"/>
  <c r="Q104" i="4"/>
  <c r="Q105" i="4"/>
  <c r="Q106" i="4"/>
  <c r="Q107" i="4"/>
  <c r="Q108" i="4"/>
  <c r="Q109" i="4"/>
  <c r="Q110" i="4"/>
  <c r="Q111" i="4"/>
  <c r="Q112" i="4"/>
  <c r="Q113" i="4"/>
  <c r="Q114" i="4"/>
  <c r="Q115" i="4"/>
  <c r="Q116" i="4"/>
  <c r="Q117" i="4"/>
  <c r="Q118" i="4"/>
  <c r="Q119" i="4"/>
  <c r="Q120" i="4"/>
  <c r="Q121" i="4"/>
  <c r="Q122" i="4"/>
  <c r="Q123" i="4"/>
  <c r="Q124" i="4"/>
  <c r="Q125" i="4"/>
  <c r="Q126" i="4"/>
  <c r="Q127" i="4"/>
  <c r="Q128" i="4"/>
  <c r="Q129" i="4"/>
  <c r="Q130" i="4"/>
  <c r="Q131" i="4"/>
  <c r="Q132" i="4"/>
  <c r="Q133" i="4"/>
  <c r="Q134" i="4"/>
  <c r="Q135" i="4"/>
  <c r="Q136" i="4"/>
  <c r="Q137" i="4"/>
  <c r="Q138" i="4"/>
  <c r="Q139" i="4"/>
  <c r="Q140" i="4"/>
  <c r="Q141" i="4"/>
  <c r="Q142" i="4"/>
  <c r="Q143" i="4"/>
  <c r="Q144" i="4"/>
  <c r="Q145" i="4"/>
  <c r="Q146" i="4"/>
  <c r="Q147" i="4"/>
  <c r="Q148" i="4"/>
  <c r="Q3" i="4"/>
  <c r="E14" i="5"/>
  <c r="H4" i="5"/>
  <c r="B45" i="5" l="1" a="1"/>
  <c r="B45" i="5" s="1"/>
  <c r="B46" i="5" a="1"/>
  <c r="B46" i="5" s="1"/>
  <c r="B44" i="5" a="1"/>
  <c r="B44" i="5" s="1"/>
  <c r="A46" i="5" s="1"/>
  <c r="Y4" i="3" l="1"/>
  <c r="Y5" i="3"/>
  <c r="Y6" i="3"/>
  <c r="Y7" i="3"/>
  <c r="Y8" i="3"/>
  <c r="Y9" i="3"/>
  <c r="Y10" i="3"/>
  <c r="Y11" i="3"/>
  <c r="Y12" i="3"/>
  <c r="Y13" i="3"/>
  <c r="Y14" i="3"/>
  <c r="Y15" i="3"/>
  <c r="Y16" i="3"/>
  <c r="Y17" i="3"/>
  <c r="Y18" i="3"/>
  <c r="Y19" i="3"/>
  <c r="Y20" i="3"/>
  <c r="Y21" i="3"/>
  <c r="Y22" i="3"/>
  <c r="Y23" i="3"/>
  <c r="Y24" i="3"/>
  <c r="Y25" i="3"/>
  <c r="Y26" i="3"/>
  <c r="Y27" i="3"/>
  <c r="Y28" i="3"/>
  <c r="Y29" i="3"/>
  <c r="Y30" i="3"/>
  <c r="Y31" i="3"/>
  <c r="Y32" i="3"/>
  <c r="Y33" i="3"/>
  <c r="Y34" i="3"/>
  <c r="Y35" i="3"/>
  <c r="Y36" i="3"/>
  <c r="Y37" i="3"/>
  <c r="Y38" i="3"/>
  <c r="Y39" i="3"/>
  <c r="Y40" i="3"/>
  <c r="Y41" i="3"/>
  <c r="Y42" i="3"/>
  <c r="Y43" i="3"/>
  <c r="Y44" i="3"/>
  <c r="Y45" i="3"/>
  <c r="Y46" i="3"/>
  <c r="Y47" i="3"/>
  <c r="Y48" i="3"/>
  <c r="Y49" i="3"/>
  <c r="Y50" i="3"/>
  <c r="Y51" i="3"/>
  <c r="Y52" i="3"/>
  <c r="Y53" i="3"/>
  <c r="Y54" i="3"/>
  <c r="Y55" i="3"/>
  <c r="Y56" i="3"/>
  <c r="Y57" i="3"/>
  <c r="Y58" i="3"/>
  <c r="Y59" i="3"/>
  <c r="Y60" i="3"/>
  <c r="Y61" i="3"/>
  <c r="Y62" i="3"/>
  <c r="Y63" i="3"/>
  <c r="Y64" i="3"/>
  <c r="Y65" i="3"/>
  <c r="Y66" i="3"/>
  <c r="Y67" i="3"/>
  <c r="Y68" i="3"/>
  <c r="Y69" i="3"/>
  <c r="Y70" i="3"/>
  <c r="Y71" i="3"/>
  <c r="Y72" i="3"/>
  <c r="Y73" i="3"/>
  <c r="Y74" i="3"/>
  <c r="Y75" i="3"/>
  <c r="Y76" i="3"/>
  <c r="Y77" i="3"/>
  <c r="Y78" i="3"/>
  <c r="Y79" i="3"/>
  <c r="Y80" i="3"/>
  <c r="Y81" i="3"/>
  <c r="Y82" i="3"/>
  <c r="Y83" i="3"/>
  <c r="Y84" i="3"/>
  <c r="Y85" i="3"/>
  <c r="Y86" i="3"/>
  <c r="Y87" i="3"/>
  <c r="Y88" i="3"/>
  <c r="Y89" i="3"/>
  <c r="Y90" i="3"/>
  <c r="Y91" i="3"/>
  <c r="Y92" i="3"/>
  <c r="Y93" i="3"/>
  <c r="Y94" i="3"/>
  <c r="Y95" i="3"/>
  <c r="Y96" i="3"/>
  <c r="Y97" i="3"/>
  <c r="Y98" i="3"/>
  <c r="Y99" i="3"/>
  <c r="Y100" i="3"/>
  <c r="Y101" i="3"/>
  <c r="Y102" i="3"/>
  <c r="Y103" i="3"/>
  <c r="Y104" i="3"/>
  <c r="Y105" i="3"/>
  <c r="Y106" i="3"/>
  <c r="Y107" i="3"/>
  <c r="Y108" i="3"/>
  <c r="Y109" i="3"/>
  <c r="Y110" i="3"/>
  <c r="Y111" i="3"/>
  <c r="Y112" i="3"/>
  <c r="Y113" i="3"/>
  <c r="Y114" i="3"/>
  <c r="Y115" i="3"/>
  <c r="Y116" i="3"/>
  <c r="Y117" i="3"/>
  <c r="Y118" i="3"/>
  <c r="Y119" i="3"/>
  <c r="Y120" i="3"/>
  <c r="Y121" i="3"/>
  <c r="Y122" i="3"/>
  <c r="Y123" i="3"/>
  <c r="Y124" i="3"/>
  <c r="Y125" i="3"/>
  <c r="Y126" i="3"/>
  <c r="Y127" i="3"/>
  <c r="Y128" i="3"/>
  <c r="Y129" i="3"/>
  <c r="Y130" i="3"/>
  <c r="Y131" i="3"/>
  <c r="Y132" i="3"/>
  <c r="Y133" i="3"/>
  <c r="Y134" i="3"/>
  <c r="Y135" i="3"/>
  <c r="Y136" i="3"/>
  <c r="Y137" i="3"/>
  <c r="Y138" i="3"/>
  <c r="Y139" i="3"/>
  <c r="Y140" i="3"/>
  <c r="Y141" i="3"/>
  <c r="Y142" i="3"/>
  <c r="Y143" i="3"/>
  <c r="Y144" i="3"/>
  <c r="Y145" i="3"/>
  <c r="Y146" i="3"/>
  <c r="Y147" i="3"/>
  <c r="Y148" i="3"/>
  <c r="Y3" i="3"/>
  <c r="B33" i="3"/>
  <c r="H37" i="3" l="1"/>
  <c r="H6" i="5"/>
  <c r="C4" i="4"/>
  <c r="C5" i="4"/>
  <c r="C6" i="4"/>
  <c r="C7" i="4"/>
  <c r="C8" i="4"/>
  <c r="C9" i="4"/>
  <c r="C10" i="4"/>
  <c r="C11" i="4"/>
  <c r="C12" i="4"/>
  <c r="C13" i="4"/>
  <c r="C14" i="4"/>
  <c r="C15" i="4"/>
  <c r="C16" i="4"/>
  <c r="C17" i="4"/>
  <c r="C18" i="4"/>
  <c r="C19" i="4"/>
  <c r="C20" i="4"/>
  <c r="C21" i="4"/>
  <c r="C22" i="4"/>
  <c r="C23" i="4"/>
  <c r="C24" i="4"/>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88" i="4"/>
  <c r="C89" i="4"/>
  <c r="C90" i="4"/>
  <c r="C91" i="4"/>
  <c r="C92" i="4"/>
  <c r="C93" i="4"/>
  <c r="C94" i="4"/>
  <c r="C95" i="4"/>
  <c r="C96" i="4"/>
  <c r="C97" i="4"/>
  <c r="C98" i="4"/>
  <c r="C99" i="4"/>
  <c r="C100" i="4"/>
  <c r="C101" i="4"/>
  <c r="C102" i="4"/>
  <c r="C103" i="4"/>
  <c r="C104" i="4"/>
  <c r="C105" i="4"/>
  <c r="C106" i="4"/>
  <c r="C107"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3" i="4"/>
  <c r="B5" i="3"/>
  <c r="B4" i="3"/>
  <c r="D41" i="3"/>
  <c r="C41" i="3"/>
  <c r="B41" i="3"/>
  <c r="E41" i="3" l="1"/>
  <c r="F41" i="3" s="1"/>
  <c r="C33" i="3"/>
  <c r="A29" i="5"/>
  <c r="F2" i="5"/>
  <c r="H33" i="3"/>
  <c r="E37" i="3"/>
  <c r="E36" i="3"/>
  <c r="E35" i="3"/>
  <c r="E34" i="3"/>
  <c r="E33" i="3"/>
  <c r="C37" i="3"/>
  <c r="C36" i="3"/>
  <c r="C35" i="3"/>
  <c r="C34" i="3"/>
  <c r="B37" i="3"/>
  <c r="B36" i="3"/>
  <c r="B35" i="3"/>
  <c r="B34" i="3"/>
  <c r="B8" i="3"/>
  <c r="G41" i="3" l="1"/>
  <c r="B23" i="3" s="1"/>
  <c r="B13" i="3"/>
  <c r="C13" i="3" s="1"/>
  <c r="C27" i="5" s="1"/>
  <c r="D33" i="3"/>
  <c r="F33" i="3" s="1"/>
  <c r="G33" i="3" s="1"/>
  <c r="D34" i="3"/>
  <c r="F34" i="3" s="1"/>
  <c r="G34" i="3" s="1"/>
  <c r="D35" i="3"/>
  <c r="F35" i="3" s="1"/>
  <c r="G35" i="3" s="1"/>
  <c r="D36" i="3"/>
  <c r="H36" i="3" s="1"/>
  <c r="I36" i="3" s="1"/>
  <c r="D37" i="3"/>
  <c r="F37" i="3" s="1"/>
  <c r="G37" i="3" s="1"/>
  <c r="B9" i="3"/>
  <c r="F36" i="3" l="1"/>
  <c r="H35" i="3"/>
  <c r="H34" i="3"/>
  <c r="B24" i="3"/>
  <c r="B19" i="3" l="1"/>
  <c r="C19" i="3" s="1"/>
  <c r="C34" i="5" s="1"/>
  <c r="G36" i="3"/>
  <c r="B22" i="3" s="1"/>
  <c r="C24" i="3"/>
  <c r="C39" i="5" s="1"/>
  <c r="B39" i="5"/>
  <c r="B34" i="5" l="1"/>
  <c r="B37" i="5"/>
  <c r="C22" i="3"/>
  <c r="C37" i="5" s="1"/>
  <c r="C23" i="3"/>
  <c r="C38" i="5" s="1"/>
  <c r="B38" i="5"/>
  <c r="B25" i="3"/>
  <c r="C25" i="3" l="1"/>
  <c r="C40" i="5" s="1"/>
  <c r="B40" i="5"/>
  <c r="D6" i="4"/>
  <c r="E6" i="4"/>
  <c r="F6" i="4"/>
  <c r="G6" i="4"/>
  <c r="H6" i="4"/>
  <c r="I6" i="4"/>
  <c r="J6" i="4"/>
  <c r="K6" i="4"/>
  <c r="L6" i="4"/>
  <c r="M6" i="4"/>
  <c r="N6" i="4"/>
  <c r="O6" i="4"/>
  <c r="P6" i="4"/>
  <c r="D7" i="4"/>
  <c r="E7" i="4"/>
  <c r="F7" i="4"/>
  <c r="G7" i="4"/>
  <c r="H7" i="4"/>
  <c r="I7" i="4"/>
  <c r="J7" i="4"/>
  <c r="K7" i="4"/>
  <c r="L7" i="4"/>
  <c r="M7" i="4"/>
  <c r="N7" i="4"/>
  <c r="O7" i="4"/>
  <c r="P7" i="4"/>
  <c r="D8" i="4"/>
  <c r="E8" i="4"/>
  <c r="F8" i="4"/>
  <c r="G8" i="4"/>
  <c r="H8" i="4"/>
  <c r="I8" i="4"/>
  <c r="J8" i="4"/>
  <c r="K8" i="4"/>
  <c r="L8" i="4"/>
  <c r="M8" i="4"/>
  <c r="N8" i="4"/>
  <c r="O8" i="4"/>
  <c r="P8" i="4"/>
  <c r="D9" i="4"/>
  <c r="E9" i="4"/>
  <c r="F9" i="4"/>
  <c r="G9" i="4"/>
  <c r="H9" i="4"/>
  <c r="I9" i="4"/>
  <c r="J9" i="4"/>
  <c r="K9" i="4"/>
  <c r="L9" i="4"/>
  <c r="M9" i="4"/>
  <c r="N9" i="4"/>
  <c r="O9" i="4"/>
  <c r="P9" i="4"/>
  <c r="D10" i="4"/>
  <c r="E10" i="4"/>
  <c r="F10" i="4"/>
  <c r="G10" i="4"/>
  <c r="H10" i="4"/>
  <c r="I10" i="4"/>
  <c r="J10" i="4"/>
  <c r="K10" i="4"/>
  <c r="L10" i="4"/>
  <c r="M10" i="4"/>
  <c r="N10" i="4"/>
  <c r="O10" i="4"/>
  <c r="P10" i="4"/>
  <c r="D11" i="4"/>
  <c r="E11" i="4"/>
  <c r="F11" i="4"/>
  <c r="G11" i="4"/>
  <c r="H11" i="4"/>
  <c r="I11" i="4"/>
  <c r="J11" i="4"/>
  <c r="K11" i="4"/>
  <c r="L11" i="4"/>
  <c r="M11" i="4"/>
  <c r="N11" i="4"/>
  <c r="O11" i="4"/>
  <c r="P11" i="4"/>
  <c r="D12" i="4"/>
  <c r="E12" i="4"/>
  <c r="F12" i="4"/>
  <c r="G12" i="4"/>
  <c r="H12" i="4"/>
  <c r="I12" i="4"/>
  <c r="J12" i="4"/>
  <c r="K12" i="4"/>
  <c r="L12" i="4"/>
  <c r="M12" i="4"/>
  <c r="N12" i="4"/>
  <c r="O12" i="4"/>
  <c r="P12" i="4"/>
  <c r="D13" i="4"/>
  <c r="E13" i="4"/>
  <c r="F13" i="4"/>
  <c r="G13" i="4"/>
  <c r="H13" i="4"/>
  <c r="I13" i="4"/>
  <c r="J13" i="4"/>
  <c r="K13" i="4"/>
  <c r="L13" i="4"/>
  <c r="M13" i="4"/>
  <c r="N13" i="4"/>
  <c r="O13" i="4"/>
  <c r="P13" i="4"/>
  <c r="D14" i="4"/>
  <c r="E14" i="4"/>
  <c r="F14" i="4"/>
  <c r="G14" i="4"/>
  <c r="H14" i="4"/>
  <c r="I14" i="4"/>
  <c r="J14" i="4"/>
  <c r="K14" i="4"/>
  <c r="L14" i="4"/>
  <c r="M14" i="4"/>
  <c r="N14" i="4"/>
  <c r="O14" i="4"/>
  <c r="P14" i="4"/>
  <c r="D15" i="4"/>
  <c r="E15" i="4"/>
  <c r="F15" i="4"/>
  <c r="G15" i="4"/>
  <c r="H15" i="4"/>
  <c r="I15" i="4"/>
  <c r="J15" i="4"/>
  <c r="K15" i="4"/>
  <c r="L15" i="4"/>
  <c r="M15" i="4"/>
  <c r="N15" i="4"/>
  <c r="O15" i="4"/>
  <c r="P15" i="4"/>
  <c r="D16" i="4"/>
  <c r="E16" i="4"/>
  <c r="F16" i="4"/>
  <c r="G16" i="4"/>
  <c r="H16" i="4"/>
  <c r="I16" i="4"/>
  <c r="J16" i="4"/>
  <c r="K16" i="4"/>
  <c r="L16" i="4"/>
  <c r="M16" i="4"/>
  <c r="N16" i="4"/>
  <c r="O16" i="4"/>
  <c r="P16" i="4"/>
  <c r="D17" i="4"/>
  <c r="E17" i="4"/>
  <c r="F17" i="4"/>
  <c r="G17" i="4"/>
  <c r="H17" i="4"/>
  <c r="I17" i="4"/>
  <c r="J17" i="4"/>
  <c r="K17" i="4"/>
  <c r="L17" i="4"/>
  <c r="M17" i="4"/>
  <c r="N17" i="4"/>
  <c r="O17" i="4"/>
  <c r="P17" i="4"/>
  <c r="D18" i="4"/>
  <c r="E18" i="4"/>
  <c r="F18" i="4"/>
  <c r="G18" i="4"/>
  <c r="H18" i="4"/>
  <c r="I18" i="4"/>
  <c r="J18" i="4"/>
  <c r="K18" i="4"/>
  <c r="L18" i="4"/>
  <c r="M18" i="4"/>
  <c r="N18" i="4"/>
  <c r="O18" i="4"/>
  <c r="P18" i="4"/>
  <c r="D19" i="4"/>
  <c r="E19" i="4"/>
  <c r="F19" i="4"/>
  <c r="G19" i="4"/>
  <c r="H19" i="4"/>
  <c r="I19" i="4"/>
  <c r="J19" i="4"/>
  <c r="K19" i="4"/>
  <c r="L19" i="4"/>
  <c r="M19" i="4"/>
  <c r="N19" i="4"/>
  <c r="O19" i="4"/>
  <c r="P19" i="4"/>
  <c r="D20" i="4"/>
  <c r="E20" i="4"/>
  <c r="F20" i="4"/>
  <c r="G20" i="4"/>
  <c r="H20" i="4"/>
  <c r="I20" i="4"/>
  <c r="J20" i="4"/>
  <c r="K20" i="4"/>
  <c r="L20" i="4"/>
  <c r="M20" i="4"/>
  <c r="N20" i="4"/>
  <c r="O20" i="4"/>
  <c r="P20" i="4"/>
  <c r="D21" i="4"/>
  <c r="E21" i="4"/>
  <c r="F21" i="4"/>
  <c r="G21" i="4"/>
  <c r="H21" i="4"/>
  <c r="I21" i="4"/>
  <c r="J21" i="4"/>
  <c r="K21" i="4"/>
  <c r="L21" i="4"/>
  <c r="M21" i="4"/>
  <c r="N21" i="4"/>
  <c r="O21" i="4"/>
  <c r="P21" i="4"/>
  <c r="D22" i="4"/>
  <c r="E22" i="4"/>
  <c r="F22" i="4"/>
  <c r="G22" i="4"/>
  <c r="H22" i="4"/>
  <c r="I22" i="4"/>
  <c r="J22" i="4"/>
  <c r="K22" i="4"/>
  <c r="L22" i="4"/>
  <c r="M22" i="4"/>
  <c r="N22" i="4"/>
  <c r="O22" i="4"/>
  <c r="P22" i="4"/>
  <c r="D23" i="4"/>
  <c r="E23" i="4"/>
  <c r="F23" i="4"/>
  <c r="G23" i="4"/>
  <c r="H23" i="4"/>
  <c r="I23" i="4"/>
  <c r="J23" i="4"/>
  <c r="K23" i="4"/>
  <c r="L23" i="4"/>
  <c r="M23" i="4"/>
  <c r="N23" i="4"/>
  <c r="O23" i="4"/>
  <c r="P23" i="4"/>
  <c r="D24" i="4"/>
  <c r="E24" i="4"/>
  <c r="F24" i="4"/>
  <c r="G24" i="4"/>
  <c r="H24" i="4"/>
  <c r="I24" i="4"/>
  <c r="J24" i="4"/>
  <c r="K24" i="4"/>
  <c r="L24" i="4"/>
  <c r="M24" i="4"/>
  <c r="N24" i="4"/>
  <c r="O24" i="4"/>
  <c r="P24" i="4"/>
  <c r="D25" i="4"/>
  <c r="E25" i="4"/>
  <c r="F25" i="4"/>
  <c r="G25" i="4"/>
  <c r="H25" i="4"/>
  <c r="I25" i="4"/>
  <c r="J25" i="4"/>
  <c r="K25" i="4"/>
  <c r="L25" i="4"/>
  <c r="M25" i="4"/>
  <c r="N25" i="4"/>
  <c r="O25" i="4"/>
  <c r="P25" i="4"/>
  <c r="D26" i="4"/>
  <c r="E26" i="4"/>
  <c r="F26" i="4"/>
  <c r="G26" i="4"/>
  <c r="H26" i="4"/>
  <c r="I26" i="4"/>
  <c r="J26" i="4"/>
  <c r="K26" i="4"/>
  <c r="L26" i="4"/>
  <c r="M26" i="4"/>
  <c r="N26" i="4"/>
  <c r="O26" i="4"/>
  <c r="P26" i="4"/>
  <c r="D27" i="4"/>
  <c r="E27" i="4"/>
  <c r="F27" i="4"/>
  <c r="G27" i="4"/>
  <c r="H27" i="4"/>
  <c r="I27" i="4"/>
  <c r="J27" i="4"/>
  <c r="K27" i="4"/>
  <c r="L27" i="4"/>
  <c r="M27" i="4"/>
  <c r="N27" i="4"/>
  <c r="O27" i="4"/>
  <c r="P27" i="4"/>
  <c r="D28" i="4"/>
  <c r="E28" i="4"/>
  <c r="F28" i="4"/>
  <c r="G28" i="4"/>
  <c r="H28" i="4"/>
  <c r="I28" i="4"/>
  <c r="J28" i="4"/>
  <c r="K28" i="4"/>
  <c r="L28" i="4"/>
  <c r="M28" i="4"/>
  <c r="N28" i="4"/>
  <c r="O28" i="4"/>
  <c r="P28" i="4"/>
  <c r="D29" i="4"/>
  <c r="E29" i="4"/>
  <c r="F29" i="4"/>
  <c r="G29" i="4"/>
  <c r="H29" i="4"/>
  <c r="I29" i="4"/>
  <c r="J29" i="4"/>
  <c r="K29" i="4"/>
  <c r="L29" i="4"/>
  <c r="M29" i="4"/>
  <c r="N29" i="4"/>
  <c r="O29" i="4"/>
  <c r="P29" i="4"/>
  <c r="D30" i="4"/>
  <c r="E30" i="4"/>
  <c r="F30" i="4"/>
  <c r="G30" i="4"/>
  <c r="H30" i="4"/>
  <c r="I30" i="4"/>
  <c r="J30" i="4"/>
  <c r="K30" i="4"/>
  <c r="L30" i="4"/>
  <c r="M30" i="4"/>
  <c r="N30" i="4"/>
  <c r="O30" i="4"/>
  <c r="P30" i="4"/>
  <c r="D31" i="4"/>
  <c r="E31" i="4"/>
  <c r="F31" i="4"/>
  <c r="G31" i="4"/>
  <c r="H31" i="4"/>
  <c r="I31" i="4"/>
  <c r="J31" i="4"/>
  <c r="K31" i="4"/>
  <c r="L31" i="4"/>
  <c r="M31" i="4"/>
  <c r="N31" i="4"/>
  <c r="O31" i="4"/>
  <c r="P31" i="4"/>
  <c r="D32" i="4"/>
  <c r="E32" i="4"/>
  <c r="F32" i="4"/>
  <c r="G32" i="4"/>
  <c r="H32" i="4"/>
  <c r="I32" i="4"/>
  <c r="J32" i="4"/>
  <c r="K32" i="4"/>
  <c r="L32" i="4"/>
  <c r="M32" i="4"/>
  <c r="N32" i="4"/>
  <c r="O32" i="4"/>
  <c r="P32" i="4"/>
  <c r="D33" i="4"/>
  <c r="E33" i="4"/>
  <c r="F33" i="4"/>
  <c r="G33" i="4"/>
  <c r="H33" i="4"/>
  <c r="I33" i="4"/>
  <c r="J33" i="4"/>
  <c r="K33" i="4"/>
  <c r="L33" i="4"/>
  <c r="M33" i="4"/>
  <c r="N33" i="4"/>
  <c r="O33" i="4"/>
  <c r="P33" i="4"/>
  <c r="D34" i="4"/>
  <c r="E34" i="4"/>
  <c r="F34" i="4"/>
  <c r="G34" i="4"/>
  <c r="H34" i="4"/>
  <c r="I34" i="4"/>
  <c r="J34" i="4"/>
  <c r="K34" i="4"/>
  <c r="L34" i="4"/>
  <c r="M34" i="4"/>
  <c r="N34" i="4"/>
  <c r="O34" i="4"/>
  <c r="P34" i="4"/>
  <c r="D35" i="4"/>
  <c r="E35" i="4"/>
  <c r="F35" i="4"/>
  <c r="G35" i="4"/>
  <c r="H35" i="4"/>
  <c r="I35" i="4"/>
  <c r="J35" i="4"/>
  <c r="K35" i="4"/>
  <c r="L35" i="4"/>
  <c r="M35" i="4"/>
  <c r="N35" i="4"/>
  <c r="O35" i="4"/>
  <c r="P35" i="4"/>
  <c r="D36" i="4"/>
  <c r="E36" i="4"/>
  <c r="F36" i="4"/>
  <c r="G36" i="4"/>
  <c r="H36" i="4"/>
  <c r="I36" i="4"/>
  <c r="J36" i="4"/>
  <c r="K36" i="4"/>
  <c r="L36" i="4"/>
  <c r="M36" i="4"/>
  <c r="N36" i="4"/>
  <c r="O36" i="4"/>
  <c r="P36" i="4"/>
  <c r="D37" i="4"/>
  <c r="E37" i="4"/>
  <c r="F37" i="4"/>
  <c r="G37" i="4"/>
  <c r="H37" i="4"/>
  <c r="I37" i="4"/>
  <c r="J37" i="4"/>
  <c r="K37" i="4"/>
  <c r="L37" i="4"/>
  <c r="M37" i="4"/>
  <c r="N37" i="4"/>
  <c r="O37" i="4"/>
  <c r="P37" i="4"/>
  <c r="D38" i="4"/>
  <c r="E38" i="4"/>
  <c r="F38" i="4"/>
  <c r="G38" i="4"/>
  <c r="H38" i="4"/>
  <c r="I38" i="4"/>
  <c r="J38" i="4"/>
  <c r="K38" i="4"/>
  <c r="L38" i="4"/>
  <c r="M38" i="4"/>
  <c r="N38" i="4"/>
  <c r="O38" i="4"/>
  <c r="P38" i="4"/>
  <c r="D39" i="4"/>
  <c r="E39" i="4"/>
  <c r="F39" i="4"/>
  <c r="G39" i="4"/>
  <c r="H39" i="4"/>
  <c r="I39" i="4"/>
  <c r="J39" i="4"/>
  <c r="K39" i="4"/>
  <c r="L39" i="4"/>
  <c r="M39" i="4"/>
  <c r="N39" i="4"/>
  <c r="O39" i="4"/>
  <c r="P39" i="4"/>
  <c r="D40" i="4"/>
  <c r="E40" i="4"/>
  <c r="F40" i="4"/>
  <c r="G40" i="4"/>
  <c r="H40" i="4"/>
  <c r="I40" i="4"/>
  <c r="J40" i="4"/>
  <c r="K40" i="4"/>
  <c r="L40" i="4"/>
  <c r="M40" i="4"/>
  <c r="N40" i="4"/>
  <c r="O40" i="4"/>
  <c r="P40" i="4"/>
  <c r="D41" i="4"/>
  <c r="E41" i="4"/>
  <c r="F41" i="4"/>
  <c r="G41" i="4"/>
  <c r="H41" i="4"/>
  <c r="I41" i="4"/>
  <c r="J41" i="4"/>
  <c r="K41" i="4"/>
  <c r="L41" i="4"/>
  <c r="M41" i="4"/>
  <c r="N41" i="4"/>
  <c r="O41" i="4"/>
  <c r="P41" i="4"/>
  <c r="D42" i="4"/>
  <c r="E42" i="4"/>
  <c r="F42" i="4"/>
  <c r="G42" i="4"/>
  <c r="H42" i="4"/>
  <c r="I42" i="4"/>
  <c r="J42" i="4"/>
  <c r="K42" i="4"/>
  <c r="L42" i="4"/>
  <c r="M42" i="4"/>
  <c r="N42" i="4"/>
  <c r="O42" i="4"/>
  <c r="P42" i="4"/>
  <c r="D43" i="4"/>
  <c r="E43" i="4"/>
  <c r="F43" i="4"/>
  <c r="G43" i="4"/>
  <c r="H43" i="4"/>
  <c r="I43" i="4"/>
  <c r="J43" i="4"/>
  <c r="K43" i="4"/>
  <c r="L43" i="4"/>
  <c r="M43" i="4"/>
  <c r="N43" i="4"/>
  <c r="O43" i="4"/>
  <c r="P43" i="4"/>
  <c r="D44" i="4"/>
  <c r="E44" i="4"/>
  <c r="F44" i="4"/>
  <c r="G44" i="4"/>
  <c r="H44" i="4"/>
  <c r="I44" i="4"/>
  <c r="J44" i="4"/>
  <c r="K44" i="4"/>
  <c r="L44" i="4"/>
  <c r="M44" i="4"/>
  <c r="N44" i="4"/>
  <c r="O44" i="4"/>
  <c r="P44" i="4"/>
  <c r="D45" i="4"/>
  <c r="E45" i="4"/>
  <c r="F45" i="4"/>
  <c r="G45" i="4"/>
  <c r="H45" i="4"/>
  <c r="I45" i="4"/>
  <c r="J45" i="4"/>
  <c r="K45" i="4"/>
  <c r="L45" i="4"/>
  <c r="M45" i="4"/>
  <c r="N45" i="4"/>
  <c r="O45" i="4"/>
  <c r="P45" i="4"/>
  <c r="D46" i="4"/>
  <c r="E46" i="4"/>
  <c r="F46" i="4"/>
  <c r="G46" i="4"/>
  <c r="H46" i="4"/>
  <c r="I46" i="4"/>
  <c r="J46" i="4"/>
  <c r="K46" i="4"/>
  <c r="L46" i="4"/>
  <c r="M46" i="4"/>
  <c r="N46" i="4"/>
  <c r="O46" i="4"/>
  <c r="P46" i="4"/>
  <c r="D47" i="4"/>
  <c r="E47" i="4"/>
  <c r="F47" i="4"/>
  <c r="G47" i="4"/>
  <c r="H47" i="4"/>
  <c r="I47" i="4"/>
  <c r="J47" i="4"/>
  <c r="K47" i="4"/>
  <c r="L47" i="4"/>
  <c r="M47" i="4"/>
  <c r="N47" i="4"/>
  <c r="O47" i="4"/>
  <c r="P47" i="4"/>
  <c r="D48" i="4"/>
  <c r="E48" i="4"/>
  <c r="F48" i="4"/>
  <c r="G48" i="4"/>
  <c r="H48" i="4"/>
  <c r="I48" i="4"/>
  <c r="J48" i="4"/>
  <c r="K48" i="4"/>
  <c r="L48" i="4"/>
  <c r="M48" i="4"/>
  <c r="N48" i="4"/>
  <c r="O48" i="4"/>
  <c r="P48" i="4"/>
  <c r="D49" i="4"/>
  <c r="E49" i="4"/>
  <c r="F49" i="4"/>
  <c r="G49" i="4"/>
  <c r="H49" i="4"/>
  <c r="I49" i="4"/>
  <c r="J49" i="4"/>
  <c r="K49" i="4"/>
  <c r="L49" i="4"/>
  <c r="M49" i="4"/>
  <c r="N49" i="4"/>
  <c r="O49" i="4"/>
  <c r="P49" i="4"/>
  <c r="D50" i="4"/>
  <c r="E50" i="4"/>
  <c r="F50" i="4"/>
  <c r="G50" i="4"/>
  <c r="H50" i="4"/>
  <c r="I50" i="4"/>
  <c r="J50" i="4"/>
  <c r="K50" i="4"/>
  <c r="L50" i="4"/>
  <c r="M50" i="4"/>
  <c r="N50" i="4"/>
  <c r="O50" i="4"/>
  <c r="P50" i="4"/>
  <c r="D51" i="4"/>
  <c r="E51" i="4"/>
  <c r="F51" i="4"/>
  <c r="G51" i="4"/>
  <c r="H51" i="4"/>
  <c r="I51" i="4"/>
  <c r="J51" i="4"/>
  <c r="K51" i="4"/>
  <c r="L51" i="4"/>
  <c r="M51" i="4"/>
  <c r="N51" i="4"/>
  <c r="O51" i="4"/>
  <c r="P51" i="4"/>
  <c r="S51" i="4" s="1"/>
  <c r="D52" i="4"/>
  <c r="E52" i="4"/>
  <c r="F52" i="4"/>
  <c r="G52" i="4"/>
  <c r="H52" i="4"/>
  <c r="I52" i="4"/>
  <c r="J52" i="4"/>
  <c r="K52" i="4"/>
  <c r="L52" i="4"/>
  <c r="M52" i="4"/>
  <c r="N52" i="4"/>
  <c r="O52" i="4"/>
  <c r="P52" i="4"/>
  <c r="D53" i="4"/>
  <c r="E53" i="4"/>
  <c r="F53" i="4"/>
  <c r="G53" i="4"/>
  <c r="H53" i="4"/>
  <c r="I53" i="4"/>
  <c r="J53" i="4"/>
  <c r="K53" i="4"/>
  <c r="L53" i="4"/>
  <c r="M53" i="4"/>
  <c r="N53" i="4"/>
  <c r="O53" i="4"/>
  <c r="P53" i="4"/>
  <c r="D54" i="4"/>
  <c r="E54" i="4"/>
  <c r="F54" i="4"/>
  <c r="G54" i="4"/>
  <c r="H54" i="4"/>
  <c r="I54" i="4"/>
  <c r="J54" i="4"/>
  <c r="K54" i="4"/>
  <c r="L54" i="4"/>
  <c r="M54" i="4"/>
  <c r="N54" i="4"/>
  <c r="O54" i="4"/>
  <c r="P54" i="4"/>
  <c r="D55" i="4"/>
  <c r="E55" i="4"/>
  <c r="F55" i="4"/>
  <c r="G55" i="4"/>
  <c r="H55" i="4"/>
  <c r="I55" i="4"/>
  <c r="J55" i="4"/>
  <c r="K55" i="4"/>
  <c r="L55" i="4"/>
  <c r="M55" i="4"/>
  <c r="N55" i="4"/>
  <c r="O55" i="4"/>
  <c r="P55" i="4"/>
  <c r="D56" i="4"/>
  <c r="E56" i="4"/>
  <c r="F56" i="4"/>
  <c r="G56" i="4"/>
  <c r="H56" i="4"/>
  <c r="I56" i="4"/>
  <c r="J56" i="4"/>
  <c r="K56" i="4"/>
  <c r="L56" i="4"/>
  <c r="M56" i="4"/>
  <c r="N56" i="4"/>
  <c r="O56" i="4"/>
  <c r="P56" i="4"/>
  <c r="D57" i="4"/>
  <c r="E57" i="4"/>
  <c r="F57" i="4"/>
  <c r="G57" i="4"/>
  <c r="H57" i="4"/>
  <c r="I57" i="4"/>
  <c r="J57" i="4"/>
  <c r="K57" i="4"/>
  <c r="L57" i="4"/>
  <c r="M57" i="4"/>
  <c r="N57" i="4"/>
  <c r="O57" i="4"/>
  <c r="P57" i="4"/>
  <c r="D58" i="4"/>
  <c r="E58" i="4"/>
  <c r="F58" i="4"/>
  <c r="G58" i="4"/>
  <c r="H58" i="4"/>
  <c r="I58" i="4"/>
  <c r="J58" i="4"/>
  <c r="K58" i="4"/>
  <c r="L58" i="4"/>
  <c r="M58" i="4"/>
  <c r="N58" i="4"/>
  <c r="O58" i="4"/>
  <c r="P58" i="4"/>
  <c r="D59" i="4"/>
  <c r="E59" i="4"/>
  <c r="F59" i="4"/>
  <c r="G59" i="4"/>
  <c r="H59" i="4"/>
  <c r="I59" i="4"/>
  <c r="J59" i="4"/>
  <c r="K59" i="4"/>
  <c r="L59" i="4"/>
  <c r="M59" i="4"/>
  <c r="N59" i="4"/>
  <c r="O59" i="4"/>
  <c r="P59" i="4"/>
  <c r="D60" i="4"/>
  <c r="E60" i="4"/>
  <c r="F60" i="4"/>
  <c r="G60" i="4"/>
  <c r="H60" i="4"/>
  <c r="I60" i="4"/>
  <c r="J60" i="4"/>
  <c r="K60" i="4"/>
  <c r="L60" i="4"/>
  <c r="M60" i="4"/>
  <c r="N60" i="4"/>
  <c r="O60" i="4"/>
  <c r="P60" i="4"/>
  <c r="D61" i="4"/>
  <c r="E61" i="4"/>
  <c r="F61" i="4"/>
  <c r="G61" i="4"/>
  <c r="H61" i="4"/>
  <c r="I61" i="4"/>
  <c r="J61" i="4"/>
  <c r="K61" i="4"/>
  <c r="L61" i="4"/>
  <c r="M61" i="4"/>
  <c r="N61" i="4"/>
  <c r="O61" i="4"/>
  <c r="P61" i="4"/>
  <c r="D62" i="4"/>
  <c r="E62" i="4"/>
  <c r="F62" i="4"/>
  <c r="G62" i="4"/>
  <c r="H62" i="4"/>
  <c r="I62" i="4"/>
  <c r="J62" i="4"/>
  <c r="K62" i="4"/>
  <c r="L62" i="4"/>
  <c r="M62" i="4"/>
  <c r="N62" i="4"/>
  <c r="O62" i="4"/>
  <c r="P62" i="4"/>
  <c r="D63" i="4"/>
  <c r="E63" i="4"/>
  <c r="F63" i="4"/>
  <c r="G63" i="4"/>
  <c r="H63" i="4"/>
  <c r="I63" i="4"/>
  <c r="J63" i="4"/>
  <c r="K63" i="4"/>
  <c r="L63" i="4"/>
  <c r="M63" i="4"/>
  <c r="N63" i="4"/>
  <c r="O63" i="4"/>
  <c r="P63" i="4"/>
  <c r="D64" i="4"/>
  <c r="E64" i="4"/>
  <c r="F64" i="4"/>
  <c r="G64" i="4"/>
  <c r="H64" i="4"/>
  <c r="I64" i="4"/>
  <c r="J64" i="4"/>
  <c r="K64" i="4"/>
  <c r="L64" i="4"/>
  <c r="M64" i="4"/>
  <c r="N64" i="4"/>
  <c r="O64" i="4"/>
  <c r="P64" i="4"/>
  <c r="D65" i="4"/>
  <c r="E65" i="4"/>
  <c r="F65" i="4"/>
  <c r="G65" i="4"/>
  <c r="H65" i="4"/>
  <c r="I65" i="4"/>
  <c r="J65" i="4"/>
  <c r="K65" i="4"/>
  <c r="L65" i="4"/>
  <c r="M65" i="4"/>
  <c r="N65" i="4"/>
  <c r="O65" i="4"/>
  <c r="P65" i="4"/>
  <c r="D66" i="4"/>
  <c r="E66" i="4"/>
  <c r="F66" i="4"/>
  <c r="G66" i="4"/>
  <c r="H66" i="4"/>
  <c r="I66" i="4"/>
  <c r="J66" i="4"/>
  <c r="K66" i="4"/>
  <c r="L66" i="4"/>
  <c r="M66" i="4"/>
  <c r="N66" i="4"/>
  <c r="O66" i="4"/>
  <c r="P66" i="4"/>
  <c r="D67" i="4"/>
  <c r="E67" i="4"/>
  <c r="F67" i="4"/>
  <c r="G67" i="4"/>
  <c r="H67" i="4"/>
  <c r="I67" i="4"/>
  <c r="J67" i="4"/>
  <c r="K67" i="4"/>
  <c r="L67" i="4"/>
  <c r="M67" i="4"/>
  <c r="N67" i="4"/>
  <c r="O67" i="4"/>
  <c r="P67" i="4"/>
  <c r="D68" i="4"/>
  <c r="E68" i="4"/>
  <c r="F68" i="4"/>
  <c r="G68" i="4"/>
  <c r="H68" i="4"/>
  <c r="I68" i="4"/>
  <c r="J68" i="4"/>
  <c r="K68" i="4"/>
  <c r="L68" i="4"/>
  <c r="M68" i="4"/>
  <c r="N68" i="4"/>
  <c r="O68" i="4"/>
  <c r="P68" i="4"/>
  <c r="D69" i="4"/>
  <c r="E69" i="4"/>
  <c r="F69" i="4"/>
  <c r="G69" i="4"/>
  <c r="H69" i="4"/>
  <c r="I69" i="4"/>
  <c r="J69" i="4"/>
  <c r="K69" i="4"/>
  <c r="L69" i="4"/>
  <c r="M69" i="4"/>
  <c r="N69" i="4"/>
  <c r="O69" i="4"/>
  <c r="P69" i="4"/>
  <c r="D70" i="4"/>
  <c r="E70" i="4"/>
  <c r="F70" i="4"/>
  <c r="G70" i="4"/>
  <c r="H70" i="4"/>
  <c r="I70" i="4"/>
  <c r="J70" i="4"/>
  <c r="K70" i="4"/>
  <c r="L70" i="4"/>
  <c r="M70" i="4"/>
  <c r="N70" i="4"/>
  <c r="O70" i="4"/>
  <c r="P70" i="4"/>
  <c r="D71" i="4"/>
  <c r="E71" i="4"/>
  <c r="F71" i="4"/>
  <c r="G71" i="4"/>
  <c r="H71" i="4"/>
  <c r="I71" i="4"/>
  <c r="J71" i="4"/>
  <c r="K71" i="4"/>
  <c r="L71" i="4"/>
  <c r="M71" i="4"/>
  <c r="N71" i="4"/>
  <c r="O71" i="4"/>
  <c r="P71" i="4"/>
  <c r="D72" i="4"/>
  <c r="E72" i="4"/>
  <c r="F72" i="4"/>
  <c r="G72" i="4"/>
  <c r="H72" i="4"/>
  <c r="I72" i="4"/>
  <c r="J72" i="4"/>
  <c r="K72" i="4"/>
  <c r="L72" i="4"/>
  <c r="M72" i="4"/>
  <c r="N72" i="4"/>
  <c r="O72" i="4"/>
  <c r="P72" i="4"/>
  <c r="D73" i="4"/>
  <c r="E73" i="4"/>
  <c r="F73" i="4"/>
  <c r="G73" i="4"/>
  <c r="H73" i="4"/>
  <c r="I73" i="4"/>
  <c r="J73" i="4"/>
  <c r="K73" i="4"/>
  <c r="L73" i="4"/>
  <c r="M73" i="4"/>
  <c r="N73" i="4"/>
  <c r="O73" i="4"/>
  <c r="P73" i="4"/>
  <c r="D74" i="4"/>
  <c r="E74" i="4"/>
  <c r="F74" i="4"/>
  <c r="G74" i="4"/>
  <c r="H74" i="4"/>
  <c r="I74" i="4"/>
  <c r="J74" i="4"/>
  <c r="K74" i="4"/>
  <c r="L74" i="4"/>
  <c r="M74" i="4"/>
  <c r="N74" i="4"/>
  <c r="O74" i="4"/>
  <c r="P74" i="4"/>
  <c r="D75" i="4"/>
  <c r="E75" i="4"/>
  <c r="F75" i="4"/>
  <c r="G75" i="4"/>
  <c r="H75" i="4"/>
  <c r="I75" i="4"/>
  <c r="J75" i="4"/>
  <c r="K75" i="4"/>
  <c r="L75" i="4"/>
  <c r="M75" i="4"/>
  <c r="N75" i="4"/>
  <c r="O75" i="4"/>
  <c r="P75" i="4"/>
  <c r="D76" i="4"/>
  <c r="E76" i="4"/>
  <c r="F76" i="4"/>
  <c r="G76" i="4"/>
  <c r="H76" i="4"/>
  <c r="I76" i="4"/>
  <c r="J76" i="4"/>
  <c r="K76" i="4"/>
  <c r="L76" i="4"/>
  <c r="M76" i="4"/>
  <c r="N76" i="4"/>
  <c r="O76" i="4"/>
  <c r="P76" i="4"/>
  <c r="D77" i="4"/>
  <c r="E77" i="4"/>
  <c r="F77" i="4"/>
  <c r="G77" i="4"/>
  <c r="H77" i="4"/>
  <c r="I77" i="4"/>
  <c r="J77" i="4"/>
  <c r="K77" i="4"/>
  <c r="L77" i="4"/>
  <c r="M77" i="4"/>
  <c r="N77" i="4"/>
  <c r="O77" i="4"/>
  <c r="P77" i="4"/>
  <c r="D78" i="4"/>
  <c r="E78" i="4"/>
  <c r="F78" i="4"/>
  <c r="G78" i="4"/>
  <c r="H78" i="4"/>
  <c r="I78" i="4"/>
  <c r="J78" i="4"/>
  <c r="K78" i="4"/>
  <c r="L78" i="4"/>
  <c r="M78" i="4"/>
  <c r="N78" i="4"/>
  <c r="O78" i="4"/>
  <c r="P78" i="4"/>
  <c r="D79" i="4"/>
  <c r="E79" i="4"/>
  <c r="F79" i="4"/>
  <c r="G79" i="4"/>
  <c r="H79" i="4"/>
  <c r="I79" i="4"/>
  <c r="J79" i="4"/>
  <c r="K79" i="4"/>
  <c r="L79" i="4"/>
  <c r="M79" i="4"/>
  <c r="N79" i="4"/>
  <c r="O79" i="4"/>
  <c r="P79" i="4"/>
  <c r="D80" i="4"/>
  <c r="E80" i="4"/>
  <c r="F80" i="4"/>
  <c r="G80" i="4"/>
  <c r="H80" i="4"/>
  <c r="I80" i="4"/>
  <c r="J80" i="4"/>
  <c r="K80" i="4"/>
  <c r="L80" i="4"/>
  <c r="M80" i="4"/>
  <c r="N80" i="4"/>
  <c r="O80" i="4"/>
  <c r="P80" i="4"/>
  <c r="D81" i="4"/>
  <c r="E81" i="4"/>
  <c r="F81" i="4"/>
  <c r="G81" i="4"/>
  <c r="H81" i="4"/>
  <c r="I81" i="4"/>
  <c r="J81" i="4"/>
  <c r="K81" i="4"/>
  <c r="L81" i="4"/>
  <c r="M81" i="4"/>
  <c r="N81" i="4"/>
  <c r="O81" i="4"/>
  <c r="P81" i="4"/>
  <c r="D82" i="4"/>
  <c r="E82" i="4"/>
  <c r="F82" i="4"/>
  <c r="G82" i="4"/>
  <c r="H82" i="4"/>
  <c r="I82" i="4"/>
  <c r="J82" i="4"/>
  <c r="K82" i="4"/>
  <c r="L82" i="4"/>
  <c r="M82" i="4"/>
  <c r="N82" i="4"/>
  <c r="O82" i="4"/>
  <c r="P82" i="4"/>
  <c r="D83" i="4"/>
  <c r="E83" i="4"/>
  <c r="F83" i="4"/>
  <c r="G83" i="4"/>
  <c r="H83" i="4"/>
  <c r="I83" i="4"/>
  <c r="J83" i="4"/>
  <c r="K83" i="4"/>
  <c r="L83" i="4"/>
  <c r="M83" i="4"/>
  <c r="N83" i="4"/>
  <c r="O83" i="4"/>
  <c r="P83" i="4"/>
  <c r="D84" i="4"/>
  <c r="E84" i="4"/>
  <c r="F84" i="4"/>
  <c r="G84" i="4"/>
  <c r="H84" i="4"/>
  <c r="I84" i="4"/>
  <c r="J84" i="4"/>
  <c r="K84" i="4"/>
  <c r="L84" i="4"/>
  <c r="M84" i="4"/>
  <c r="N84" i="4"/>
  <c r="O84" i="4"/>
  <c r="P84" i="4"/>
  <c r="D85" i="4"/>
  <c r="E85" i="4"/>
  <c r="F85" i="4"/>
  <c r="G85" i="4"/>
  <c r="H85" i="4"/>
  <c r="I85" i="4"/>
  <c r="J85" i="4"/>
  <c r="K85" i="4"/>
  <c r="L85" i="4"/>
  <c r="M85" i="4"/>
  <c r="N85" i="4"/>
  <c r="O85" i="4"/>
  <c r="P85" i="4"/>
  <c r="D86" i="4"/>
  <c r="E86" i="4"/>
  <c r="F86" i="4"/>
  <c r="G86" i="4"/>
  <c r="H86" i="4"/>
  <c r="I86" i="4"/>
  <c r="J86" i="4"/>
  <c r="K86" i="4"/>
  <c r="L86" i="4"/>
  <c r="M86" i="4"/>
  <c r="N86" i="4"/>
  <c r="O86" i="4"/>
  <c r="P86" i="4"/>
  <c r="D87" i="4"/>
  <c r="E87" i="4"/>
  <c r="F87" i="4"/>
  <c r="G87" i="4"/>
  <c r="H87" i="4"/>
  <c r="I87" i="4"/>
  <c r="J87" i="4"/>
  <c r="K87" i="4"/>
  <c r="L87" i="4"/>
  <c r="M87" i="4"/>
  <c r="N87" i="4"/>
  <c r="O87" i="4"/>
  <c r="P87" i="4"/>
  <c r="D88" i="4"/>
  <c r="E88" i="4"/>
  <c r="F88" i="4"/>
  <c r="G88" i="4"/>
  <c r="H88" i="4"/>
  <c r="I88" i="4"/>
  <c r="J88" i="4"/>
  <c r="K88" i="4"/>
  <c r="L88" i="4"/>
  <c r="M88" i="4"/>
  <c r="N88" i="4"/>
  <c r="O88" i="4"/>
  <c r="P88" i="4"/>
  <c r="D89" i="4"/>
  <c r="E89" i="4"/>
  <c r="F89" i="4"/>
  <c r="G89" i="4"/>
  <c r="H89" i="4"/>
  <c r="I89" i="4"/>
  <c r="J89" i="4"/>
  <c r="K89" i="4"/>
  <c r="L89" i="4"/>
  <c r="M89" i="4"/>
  <c r="N89" i="4"/>
  <c r="O89" i="4"/>
  <c r="P89" i="4"/>
  <c r="D90" i="4"/>
  <c r="E90" i="4"/>
  <c r="F90" i="4"/>
  <c r="G90" i="4"/>
  <c r="H90" i="4"/>
  <c r="I90" i="4"/>
  <c r="J90" i="4"/>
  <c r="K90" i="4"/>
  <c r="L90" i="4"/>
  <c r="M90" i="4"/>
  <c r="N90" i="4"/>
  <c r="O90" i="4"/>
  <c r="P90" i="4"/>
  <c r="D91" i="4"/>
  <c r="E91" i="4"/>
  <c r="F91" i="4"/>
  <c r="G91" i="4"/>
  <c r="H91" i="4"/>
  <c r="I91" i="4"/>
  <c r="J91" i="4"/>
  <c r="K91" i="4"/>
  <c r="L91" i="4"/>
  <c r="M91" i="4"/>
  <c r="N91" i="4"/>
  <c r="O91" i="4"/>
  <c r="P91" i="4"/>
  <c r="D92" i="4"/>
  <c r="E92" i="4"/>
  <c r="F92" i="4"/>
  <c r="G92" i="4"/>
  <c r="H92" i="4"/>
  <c r="I92" i="4"/>
  <c r="J92" i="4"/>
  <c r="K92" i="4"/>
  <c r="L92" i="4"/>
  <c r="M92" i="4"/>
  <c r="N92" i="4"/>
  <c r="O92" i="4"/>
  <c r="P92" i="4"/>
  <c r="D93" i="4"/>
  <c r="E93" i="4"/>
  <c r="F93" i="4"/>
  <c r="G93" i="4"/>
  <c r="H93" i="4"/>
  <c r="I93" i="4"/>
  <c r="J93" i="4"/>
  <c r="K93" i="4"/>
  <c r="L93" i="4"/>
  <c r="M93" i="4"/>
  <c r="N93" i="4"/>
  <c r="O93" i="4"/>
  <c r="P93" i="4"/>
  <c r="D94" i="4"/>
  <c r="E94" i="4"/>
  <c r="F94" i="4"/>
  <c r="G94" i="4"/>
  <c r="H94" i="4"/>
  <c r="I94" i="4"/>
  <c r="J94" i="4"/>
  <c r="K94" i="4"/>
  <c r="L94" i="4"/>
  <c r="M94" i="4"/>
  <c r="N94" i="4"/>
  <c r="O94" i="4"/>
  <c r="P94" i="4"/>
  <c r="D95" i="4"/>
  <c r="E95" i="4"/>
  <c r="F95" i="4"/>
  <c r="G95" i="4"/>
  <c r="H95" i="4"/>
  <c r="I95" i="4"/>
  <c r="J95" i="4"/>
  <c r="K95" i="4"/>
  <c r="L95" i="4"/>
  <c r="M95" i="4"/>
  <c r="N95" i="4"/>
  <c r="O95" i="4"/>
  <c r="P95" i="4"/>
  <c r="D96" i="4"/>
  <c r="E96" i="4"/>
  <c r="F96" i="4"/>
  <c r="G96" i="4"/>
  <c r="H96" i="4"/>
  <c r="I96" i="4"/>
  <c r="J96" i="4"/>
  <c r="K96" i="4"/>
  <c r="L96" i="4"/>
  <c r="M96" i="4"/>
  <c r="N96" i="4"/>
  <c r="O96" i="4"/>
  <c r="P96" i="4"/>
  <c r="D97" i="4"/>
  <c r="E97" i="4"/>
  <c r="F97" i="4"/>
  <c r="G97" i="4"/>
  <c r="H97" i="4"/>
  <c r="I97" i="4"/>
  <c r="J97" i="4"/>
  <c r="K97" i="4"/>
  <c r="L97" i="4"/>
  <c r="M97" i="4"/>
  <c r="N97" i="4"/>
  <c r="O97" i="4"/>
  <c r="P97" i="4"/>
  <c r="D98" i="4"/>
  <c r="E98" i="4"/>
  <c r="F98" i="4"/>
  <c r="G98" i="4"/>
  <c r="H98" i="4"/>
  <c r="I98" i="4"/>
  <c r="J98" i="4"/>
  <c r="K98" i="4"/>
  <c r="L98" i="4"/>
  <c r="M98" i="4"/>
  <c r="N98" i="4"/>
  <c r="O98" i="4"/>
  <c r="P98" i="4"/>
  <c r="D99" i="4"/>
  <c r="E99" i="4"/>
  <c r="F99" i="4"/>
  <c r="G99" i="4"/>
  <c r="H99" i="4"/>
  <c r="I99" i="4"/>
  <c r="J99" i="4"/>
  <c r="K99" i="4"/>
  <c r="L99" i="4"/>
  <c r="M99" i="4"/>
  <c r="N99" i="4"/>
  <c r="O99" i="4"/>
  <c r="P99" i="4"/>
  <c r="D100" i="4"/>
  <c r="E100" i="4"/>
  <c r="F100" i="4"/>
  <c r="G100" i="4"/>
  <c r="H100" i="4"/>
  <c r="I100" i="4"/>
  <c r="J100" i="4"/>
  <c r="K100" i="4"/>
  <c r="L100" i="4"/>
  <c r="M100" i="4"/>
  <c r="N100" i="4"/>
  <c r="O100" i="4"/>
  <c r="P100" i="4"/>
  <c r="D101" i="4"/>
  <c r="E101" i="4"/>
  <c r="F101" i="4"/>
  <c r="G101" i="4"/>
  <c r="H101" i="4"/>
  <c r="I101" i="4"/>
  <c r="J101" i="4"/>
  <c r="K101" i="4"/>
  <c r="L101" i="4"/>
  <c r="M101" i="4"/>
  <c r="N101" i="4"/>
  <c r="O101" i="4"/>
  <c r="P101" i="4"/>
  <c r="D102" i="4"/>
  <c r="E102" i="4"/>
  <c r="F102" i="4"/>
  <c r="G102" i="4"/>
  <c r="H102" i="4"/>
  <c r="I102" i="4"/>
  <c r="J102" i="4"/>
  <c r="K102" i="4"/>
  <c r="L102" i="4"/>
  <c r="M102" i="4"/>
  <c r="N102" i="4"/>
  <c r="O102" i="4"/>
  <c r="P102" i="4"/>
  <c r="D103" i="4"/>
  <c r="E103" i="4"/>
  <c r="F103" i="4"/>
  <c r="G103" i="4"/>
  <c r="H103" i="4"/>
  <c r="I103" i="4"/>
  <c r="J103" i="4"/>
  <c r="K103" i="4"/>
  <c r="L103" i="4"/>
  <c r="M103" i="4"/>
  <c r="N103" i="4"/>
  <c r="O103" i="4"/>
  <c r="P103" i="4"/>
  <c r="D104" i="4"/>
  <c r="E104" i="4"/>
  <c r="F104" i="4"/>
  <c r="G104" i="4"/>
  <c r="H104" i="4"/>
  <c r="I104" i="4"/>
  <c r="J104" i="4"/>
  <c r="K104" i="4"/>
  <c r="L104" i="4"/>
  <c r="M104" i="4"/>
  <c r="N104" i="4"/>
  <c r="O104" i="4"/>
  <c r="P104" i="4"/>
  <c r="D105" i="4"/>
  <c r="E105" i="4"/>
  <c r="F105" i="4"/>
  <c r="G105" i="4"/>
  <c r="H105" i="4"/>
  <c r="I105" i="4"/>
  <c r="J105" i="4"/>
  <c r="K105" i="4"/>
  <c r="L105" i="4"/>
  <c r="M105" i="4"/>
  <c r="N105" i="4"/>
  <c r="O105" i="4"/>
  <c r="P105" i="4"/>
  <c r="D106" i="4"/>
  <c r="E106" i="4"/>
  <c r="F106" i="4"/>
  <c r="G106" i="4"/>
  <c r="H106" i="4"/>
  <c r="I106" i="4"/>
  <c r="J106" i="4"/>
  <c r="K106" i="4"/>
  <c r="L106" i="4"/>
  <c r="M106" i="4"/>
  <c r="N106" i="4"/>
  <c r="O106" i="4"/>
  <c r="P106" i="4"/>
  <c r="D107" i="4"/>
  <c r="E107" i="4"/>
  <c r="F107" i="4"/>
  <c r="G107" i="4"/>
  <c r="H107" i="4"/>
  <c r="I107" i="4"/>
  <c r="J107" i="4"/>
  <c r="K107" i="4"/>
  <c r="L107" i="4"/>
  <c r="M107" i="4"/>
  <c r="N107" i="4"/>
  <c r="O107" i="4"/>
  <c r="P107" i="4"/>
  <c r="D108" i="4"/>
  <c r="E108" i="4"/>
  <c r="F108" i="4"/>
  <c r="G108" i="4"/>
  <c r="H108" i="4"/>
  <c r="I108" i="4"/>
  <c r="J108" i="4"/>
  <c r="K108" i="4"/>
  <c r="L108" i="4"/>
  <c r="M108" i="4"/>
  <c r="N108" i="4"/>
  <c r="O108" i="4"/>
  <c r="P108" i="4"/>
  <c r="D109" i="4"/>
  <c r="E109" i="4"/>
  <c r="F109" i="4"/>
  <c r="G109" i="4"/>
  <c r="H109" i="4"/>
  <c r="I109" i="4"/>
  <c r="J109" i="4"/>
  <c r="K109" i="4"/>
  <c r="L109" i="4"/>
  <c r="M109" i="4"/>
  <c r="N109" i="4"/>
  <c r="O109" i="4"/>
  <c r="P109" i="4"/>
  <c r="D110" i="4"/>
  <c r="E110" i="4"/>
  <c r="F110" i="4"/>
  <c r="G110" i="4"/>
  <c r="H110" i="4"/>
  <c r="I110" i="4"/>
  <c r="J110" i="4"/>
  <c r="K110" i="4"/>
  <c r="L110" i="4"/>
  <c r="M110" i="4"/>
  <c r="N110" i="4"/>
  <c r="O110" i="4"/>
  <c r="P110" i="4"/>
  <c r="D111" i="4"/>
  <c r="E111" i="4"/>
  <c r="F111" i="4"/>
  <c r="G111" i="4"/>
  <c r="H111" i="4"/>
  <c r="I111" i="4"/>
  <c r="J111" i="4"/>
  <c r="K111" i="4"/>
  <c r="L111" i="4"/>
  <c r="M111" i="4"/>
  <c r="N111" i="4"/>
  <c r="O111" i="4"/>
  <c r="P111" i="4"/>
  <c r="D112" i="4"/>
  <c r="E112" i="4"/>
  <c r="F112" i="4"/>
  <c r="G112" i="4"/>
  <c r="H112" i="4"/>
  <c r="I112" i="4"/>
  <c r="J112" i="4"/>
  <c r="K112" i="4"/>
  <c r="L112" i="4"/>
  <c r="M112" i="4"/>
  <c r="N112" i="4"/>
  <c r="O112" i="4"/>
  <c r="P112" i="4"/>
  <c r="D113" i="4"/>
  <c r="E113" i="4"/>
  <c r="F113" i="4"/>
  <c r="G113" i="4"/>
  <c r="H113" i="4"/>
  <c r="I113" i="4"/>
  <c r="J113" i="4"/>
  <c r="K113" i="4"/>
  <c r="L113" i="4"/>
  <c r="M113" i="4"/>
  <c r="N113" i="4"/>
  <c r="O113" i="4"/>
  <c r="P113" i="4"/>
  <c r="D114" i="4"/>
  <c r="E114" i="4"/>
  <c r="F114" i="4"/>
  <c r="G114" i="4"/>
  <c r="H114" i="4"/>
  <c r="I114" i="4"/>
  <c r="J114" i="4"/>
  <c r="K114" i="4"/>
  <c r="L114" i="4"/>
  <c r="M114" i="4"/>
  <c r="N114" i="4"/>
  <c r="O114" i="4"/>
  <c r="P114" i="4"/>
  <c r="D115" i="4"/>
  <c r="E115" i="4"/>
  <c r="F115" i="4"/>
  <c r="G115" i="4"/>
  <c r="H115" i="4"/>
  <c r="I115" i="4"/>
  <c r="J115" i="4"/>
  <c r="K115" i="4"/>
  <c r="L115" i="4"/>
  <c r="M115" i="4"/>
  <c r="N115" i="4"/>
  <c r="O115" i="4"/>
  <c r="P115" i="4"/>
  <c r="D116" i="4"/>
  <c r="E116" i="4"/>
  <c r="F116" i="4"/>
  <c r="G116" i="4"/>
  <c r="H116" i="4"/>
  <c r="I116" i="4"/>
  <c r="J116" i="4"/>
  <c r="K116" i="4"/>
  <c r="L116" i="4"/>
  <c r="M116" i="4"/>
  <c r="N116" i="4"/>
  <c r="O116" i="4"/>
  <c r="P116" i="4"/>
  <c r="D117" i="4"/>
  <c r="E117" i="4"/>
  <c r="F117" i="4"/>
  <c r="G117" i="4"/>
  <c r="H117" i="4"/>
  <c r="I117" i="4"/>
  <c r="J117" i="4"/>
  <c r="K117" i="4"/>
  <c r="L117" i="4"/>
  <c r="M117" i="4"/>
  <c r="N117" i="4"/>
  <c r="O117" i="4"/>
  <c r="P117" i="4"/>
  <c r="D118" i="4"/>
  <c r="E118" i="4"/>
  <c r="F118" i="4"/>
  <c r="G118" i="4"/>
  <c r="H118" i="4"/>
  <c r="I118" i="4"/>
  <c r="J118" i="4"/>
  <c r="K118" i="4"/>
  <c r="L118" i="4"/>
  <c r="M118" i="4"/>
  <c r="N118" i="4"/>
  <c r="O118" i="4"/>
  <c r="P118" i="4"/>
  <c r="D119" i="4"/>
  <c r="E119" i="4"/>
  <c r="F119" i="4"/>
  <c r="G119" i="4"/>
  <c r="H119" i="4"/>
  <c r="I119" i="4"/>
  <c r="J119" i="4"/>
  <c r="K119" i="4"/>
  <c r="L119" i="4"/>
  <c r="M119" i="4"/>
  <c r="N119" i="4"/>
  <c r="O119" i="4"/>
  <c r="P119" i="4"/>
  <c r="D120" i="4"/>
  <c r="E120" i="4"/>
  <c r="F120" i="4"/>
  <c r="G120" i="4"/>
  <c r="H120" i="4"/>
  <c r="I120" i="4"/>
  <c r="J120" i="4"/>
  <c r="K120" i="4"/>
  <c r="L120" i="4"/>
  <c r="M120" i="4"/>
  <c r="N120" i="4"/>
  <c r="O120" i="4"/>
  <c r="P120" i="4"/>
  <c r="D121" i="4"/>
  <c r="E121" i="4"/>
  <c r="F121" i="4"/>
  <c r="G121" i="4"/>
  <c r="H121" i="4"/>
  <c r="I121" i="4"/>
  <c r="J121" i="4"/>
  <c r="K121" i="4"/>
  <c r="L121" i="4"/>
  <c r="M121" i="4"/>
  <c r="N121" i="4"/>
  <c r="O121" i="4"/>
  <c r="P121" i="4"/>
  <c r="D122" i="4"/>
  <c r="E122" i="4"/>
  <c r="F122" i="4"/>
  <c r="G122" i="4"/>
  <c r="H122" i="4"/>
  <c r="I122" i="4"/>
  <c r="J122" i="4"/>
  <c r="K122" i="4"/>
  <c r="L122" i="4"/>
  <c r="M122" i="4"/>
  <c r="N122" i="4"/>
  <c r="O122" i="4"/>
  <c r="P122" i="4"/>
  <c r="D123" i="4"/>
  <c r="E123" i="4"/>
  <c r="F123" i="4"/>
  <c r="G123" i="4"/>
  <c r="H123" i="4"/>
  <c r="I123" i="4"/>
  <c r="J123" i="4"/>
  <c r="K123" i="4"/>
  <c r="L123" i="4"/>
  <c r="M123" i="4"/>
  <c r="N123" i="4"/>
  <c r="O123" i="4"/>
  <c r="P123" i="4"/>
  <c r="D124" i="4"/>
  <c r="E124" i="4"/>
  <c r="F124" i="4"/>
  <c r="G124" i="4"/>
  <c r="H124" i="4"/>
  <c r="I124" i="4"/>
  <c r="J124" i="4"/>
  <c r="K124" i="4"/>
  <c r="L124" i="4"/>
  <c r="M124" i="4"/>
  <c r="N124" i="4"/>
  <c r="O124" i="4"/>
  <c r="P124" i="4"/>
  <c r="D125" i="4"/>
  <c r="E125" i="4"/>
  <c r="F125" i="4"/>
  <c r="G125" i="4"/>
  <c r="H125" i="4"/>
  <c r="I125" i="4"/>
  <c r="J125" i="4"/>
  <c r="K125" i="4"/>
  <c r="L125" i="4"/>
  <c r="M125" i="4"/>
  <c r="N125" i="4"/>
  <c r="O125" i="4"/>
  <c r="P125" i="4"/>
  <c r="D126" i="4"/>
  <c r="E126" i="4"/>
  <c r="F126" i="4"/>
  <c r="G126" i="4"/>
  <c r="H126" i="4"/>
  <c r="I126" i="4"/>
  <c r="J126" i="4"/>
  <c r="K126" i="4"/>
  <c r="L126" i="4"/>
  <c r="M126" i="4"/>
  <c r="N126" i="4"/>
  <c r="O126" i="4"/>
  <c r="P126" i="4"/>
  <c r="D127" i="4"/>
  <c r="E127" i="4"/>
  <c r="F127" i="4"/>
  <c r="G127" i="4"/>
  <c r="H127" i="4"/>
  <c r="I127" i="4"/>
  <c r="J127" i="4"/>
  <c r="K127" i="4"/>
  <c r="L127" i="4"/>
  <c r="M127" i="4"/>
  <c r="N127" i="4"/>
  <c r="O127" i="4"/>
  <c r="P127" i="4"/>
  <c r="D128" i="4"/>
  <c r="E128" i="4"/>
  <c r="F128" i="4"/>
  <c r="G128" i="4"/>
  <c r="H128" i="4"/>
  <c r="I128" i="4"/>
  <c r="J128" i="4"/>
  <c r="K128" i="4"/>
  <c r="L128" i="4"/>
  <c r="M128" i="4"/>
  <c r="N128" i="4"/>
  <c r="O128" i="4"/>
  <c r="P128" i="4"/>
  <c r="D129" i="4"/>
  <c r="E129" i="4"/>
  <c r="F129" i="4"/>
  <c r="G129" i="4"/>
  <c r="H129" i="4"/>
  <c r="I129" i="4"/>
  <c r="J129" i="4"/>
  <c r="K129" i="4"/>
  <c r="L129" i="4"/>
  <c r="M129" i="4"/>
  <c r="N129" i="4"/>
  <c r="O129" i="4"/>
  <c r="P129" i="4"/>
  <c r="D130" i="4"/>
  <c r="E130" i="4"/>
  <c r="F130" i="4"/>
  <c r="G130" i="4"/>
  <c r="H130" i="4"/>
  <c r="I130" i="4"/>
  <c r="J130" i="4"/>
  <c r="K130" i="4"/>
  <c r="L130" i="4"/>
  <c r="M130" i="4"/>
  <c r="N130" i="4"/>
  <c r="O130" i="4"/>
  <c r="P130" i="4"/>
  <c r="D131" i="4"/>
  <c r="E131" i="4"/>
  <c r="F131" i="4"/>
  <c r="G131" i="4"/>
  <c r="H131" i="4"/>
  <c r="I131" i="4"/>
  <c r="J131" i="4"/>
  <c r="K131" i="4"/>
  <c r="L131" i="4"/>
  <c r="M131" i="4"/>
  <c r="N131" i="4"/>
  <c r="O131" i="4"/>
  <c r="P131" i="4"/>
  <c r="D132" i="4"/>
  <c r="E132" i="4"/>
  <c r="F132" i="4"/>
  <c r="G132" i="4"/>
  <c r="H132" i="4"/>
  <c r="I132" i="4"/>
  <c r="J132" i="4"/>
  <c r="K132" i="4"/>
  <c r="L132" i="4"/>
  <c r="M132" i="4"/>
  <c r="N132" i="4"/>
  <c r="O132" i="4"/>
  <c r="P132" i="4"/>
  <c r="D133" i="4"/>
  <c r="E133" i="4"/>
  <c r="F133" i="4"/>
  <c r="G133" i="4"/>
  <c r="H133" i="4"/>
  <c r="I133" i="4"/>
  <c r="J133" i="4"/>
  <c r="K133" i="4"/>
  <c r="L133" i="4"/>
  <c r="M133" i="4"/>
  <c r="N133" i="4"/>
  <c r="O133" i="4"/>
  <c r="P133" i="4"/>
  <c r="D134" i="4"/>
  <c r="E134" i="4"/>
  <c r="F134" i="4"/>
  <c r="G134" i="4"/>
  <c r="H134" i="4"/>
  <c r="I134" i="4"/>
  <c r="J134" i="4"/>
  <c r="K134" i="4"/>
  <c r="L134" i="4"/>
  <c r="M134" i="4"/>
  <c r="N134" i="4"/>
  <c r="O134" i="4"/>
  <c r="P134" i="4"/>
  <c r="D135" i="4"/>
  <c r="E135" i="4"/>
  <c r="F135" i="4"/>
  <c r="G135" i="4"/>
  <c r="H135" i="4"/>
  <c r="I135" i="4"/>
  <c r="J135" i="4"/>
  <c r="K135" i="4"/>
  <c r="L135" i="4"/>
  <c r="M135" i="4"/>
  <c r="N135" i="4"/>
  <c r="O135" i="4"/>
  <c r="P135" i="4"/>
  <c r="D136" i="4"/>
  <c r="E136" i="4"/>
  <c r="F136" i="4"/>
  <c r="G136" i="4"/>
  <c r="H136" i="4"/>
  <c r="I136" i="4"/>
  <c r="J136" i="4"/>
  <c r="K136" i="4"/>
  <c r="L136" i="4"/>
  <c r="M136" i="4"/>
  <c r="N136" i="4"/>
  <c r="O136" i="4"/>
  <c r="P136" i="4"/>
  <c r="D137" i="4"/>
  <c r="E137" i="4"/>
  <c r="F137" i="4"/>
  <c r="G137" i="4"/>
  <c r="H137" i="4"/>
  <c r="I137" i="4"/>
  <c r="J137" i="4"/>
  <c r="K137" i="4"/>
  <c r="L137" i="4"/>
  <c r="M137" i="4"/>
  <c r="N137" i="4"/>
  <c r="O137" i="4"/>
  <c r="P137" i="4"/>
  <c r="D138" i="4"/>
  <c r="E138" i="4"/>
  <c r="F138" i="4"/>
  <c r="G138" i="4"/>
  <c r="H138" i="4"/>
  <c r="I138" i="4"/>
  <c r="J138" i="4"/>
  <c r="K138" i="4"/>
  <c r="L138" i="4"/>
  <c r="M138" i="4"/>
  <c r="N138" i="4"/>
  <c r="O138" i="4"/>
  <c r="P138" i="4"/>
  <c r="D139" i="4"/>
  <c r="E139" i="4"/>
  <c r="F139" i="4"/>
  <c r="G139" i="4"/>
  <c r="H139" i="4"/>
  <c r="I139" i="4"/>
  <c r="J139" i="4"/>
  <c r="K139" i="4"/>
  <c r="L139" i="4"/>
  <c r="M139" i="4"/>
  <c r="N139" i="4"/>
  <c r="O139" i="4"/>
  <c r="P139" i="4"/>
  <c r="D140" i="4"/>
  <c r="E140" i="4"/>
  <c r="F140" i="4"/>
  <c r="G140" i="4"/>
  <c r="H140" i="4"/>
  <c r="I140" i="4"/>
  <c r="J140" i="4"/>
  <c r="K140" i="4"/>
  <c r="L140" i="4"/>
  <c r="M140" i="4"/>
  <c r="N140" i="4"/>
  <c r="O140" i="4"/>
  <c r="P140" i="4"/>
  <c r="D141" i="4"/>
  <c r="E141" i="4"/>
  <c r="F141" i="4"/>
  <c r="G141" i="4"/>
  <c r="H141" i="4"/>
  <c r="I141" i="4"/>
  <c r="J141" i="4"/>
  <c r="K141" i="4"/>
  <c r="L141" i="4"/>
  <c r="M141" i="4"/>
  <c r="N141" i="4"/>
  <c r="O141" i="4"/>
  <c r="P141" i="4"/>
  <c r="D142" i="4"/>
  <c r="E142" i="4"/>
  <c r="F142" i="4"/>
  <c r="G142" i="4"/>
  <c r="H142" i="4"/>
  <c r="I142" i="4"/>
  <c r="J142" i="4"/>
  <c r="K142" i="4"/>
  <c r="L142" i="4"/>
  <c r="M142" i="4"/>
  <c r="N142" i="4"/>
  <c r="O142" i="4"/>
  <c r="P142" i="4"/>
  <c r="D143" i="4"/>
  <c r="E143" i="4"/>
  <c r="F143" i="4"/>
  <c r="G143" i="4"/>
  <c r="H143" i="4"/>
  <c r="I143" i="4"/>
  <c r="J143" i="4"/>
  <c r="K143" i="4"/>
  <c r="L143" i="4"/>
  <c r="M143" i="4"/>
  <c r="N143" i="4"/>
  <c r="O143" i="4"/>
  <c r="P143" i="4"/>
  <c r="D144" i="4"/>
  <c r="E144" i="4"/>
  <c r="F144" i="4"/>
  <c r="G144" i="4"/>
  <c r="H144" i="4"/>
  <c r="I144" i="4"/>
  <c r="J144" i="4"/>
  <c r="K144" i="4"/>
  <c r="L144" i="4"/>
  <c r="M144" i="4"/>
  <c r="N144" i="4"/>
  <c r="O144" i="4"/>
  <c r="P144" i="4"/>
  <c r="D145" i="4"/>
  <c r="E145" i="4"/>
  <c r="F145" i="4"/>
  <c r="G145" i="4"/>
  <c r="H145" i="4"/>
  <c r="I145" i="4"/>
  <c r="J145" i="4"/>
  <c r="K145" i="4"/>
  <c r="L145" i="4"/>
  <c r="M145" i="4"/>
  <c r="N145" i="4"/>
  <c r="O145" i="4"/>
  <c r="P145" i="4"/>
  <c r="D146" i="4"/>
  <c r="E146" i="4"/>
  <c r="F146" i="4"/>
  <c r="G146" i="4"/>
  <c r="H146" i="4"/>
  <c r="I146" i="4"/>
  <c r="J146" i="4"/>
  <c r="K146" i="4"/>
  <c r="L146" i="4"/>
  <c r="M146" i="4"/>
  <c r="N146" i="4"/>
  <c r="O146" i="4"/>
  <c r="P146" i="4"/>
  <c r="D147" i="4"/>
  <c r="E147" i="4"/>
  <c r="F147" i="4"/>
  <c r="G147" i="4"/>
  <c r="H147" i="4"/>
  <c r="I147" i="4"/>
  <c r="J147" i="4"/>
  <c r="K147" i="4"/>
  <c r="L147" i="4"/>
  <c r="M147" i="4"/>
  <c r="N147" i="4"/>
  <c r="O147" i="4"/>
  <c r="P147" i="4"/>
  <c r="D148" i="4"/>
  <c r="E148" i="4"/>
  <c r="F148" i="4"/>
  <c r="G148" i="4"/>
  <c r="H148" i="4"/>
  <c r="I148" i="4"/>
  <c r="J148" i="4"/>
  <c r="K148" i="4"/>
  <c r="L148" i="4"/>
  <c r="M148" i="4"/>
  <c r="N148" i="4"/>
  <c r="O148" i="4"/>
  <c r="P148" i="4"/>
  <c r="D2" i="4"/>
  <c r="E2" i="4"/>
  <c r="F2" i="4"/>
  <c r="G2" i="4"/>
  <c r="H2" i="4"/>
  <c r="I2" i="4"/>
  <c r="J2" i="4"/>
  <c r="K2" i="4"/>
  <c r="L2" i="4"/>
  <c r="M2" i="4"/>
  <c r="N2" i="4"/>
  <c r="O2" i="4"/>
  <c r="P2" i="4"/>
  <c r="D3" i="4"/>
  <c r="E3" i="4"/>
  <c r="F3" i="4"/>
  <c r="G3" i="4"/>
  <c r="H3" i="4"/>
  <c r="I3" i="4"/>
  <c r="J3" i="4"/>
  <c r="K3" i="4"/>
  <c r="L3" i="4"/>
  <c r="M3" i="4"/>
  <c r="N3" i="4"/>
  <c r="O3" i="4"/>
  <c r="P3" i="4"/>
  <c r="D4" i="4"/>
  <c r="E4" i="4"/>
  <c r="F4" i="4"/>
  <c r="G4" i="4"/>
  <c r="H4" i="4"/>
  <c r="I4" i="4"/>
  <c r="J4" i="4"/>
  <c r="K4" i="4"/>
  <c r="L4" i="4"/>
  <c r="M4" i="4"/>
  <c r="N4" i="4"/>
  <c r="O4" i="4"/>
  <c r="P4" i="4"/>
  <c r="D5" i="4"/>
  <c r="E5" i="4"/>
  <c r="F5" i="4"/>
  <c r="G5" i="4"/>
  <c r="H5" i="4"/>
  <c r="I5" i="4"/>
  <c r="J5" i="4"/>
  <c r="K5" i="4"/>
  <c r="L5" i="4"/>
  <c r="M5" i="4"/>
  <c r="N5" i="4"/>
  <c r="O5" i="4"/>
  <c r="P5" i="4"/>
  <c r="B1" i="4"/>
  <c r="S87" i="4" l="1"/>
  <c r="S111" i="4"/>
  <c r="S75" i="4"/>
  <c r="S99" i="4"/>
  <c r="S63" i="4"/>
  <c r="S122" i="4"/>
  <c r="S110" i="4"/>
  <c r="S98" i="4"/>
  <c r="S50" i="4"/>
  <c r="S90" i="4"/>
  <c r="S66" i="4"/>
  <c r="S114" i="4"/>
  <c r="S102" i="4"/>
  <c r="S78" i="4"/>
  <c r="S42" i="4"/>
  <c r="S126" i="4"/>
  <c r="S123" i="4"/>
  <c r="S86" i="4"/>
  <c r="S74" i="4"/>
  <c r="S62" i="4"/>
  <c r="S120" i="4"/>
  <c r="S108" i="4"/>
  <c r="S96" i="4"/>
  <c r="S84" i="4"/>
  <c r="S72" i="4"/>
  <c r="S60" i="4"/>
  <c r="S48" i="4"/>
  <c r="S125" i="4"/>
  <c r="S113" i="4"/>
  <c r="S77" i="4"/>
  <c r="S65" i="4"/>
  <c r="S53" i="4"/>
  <c r="S41" i="4"/>
  <c r="S101" i="4"/>
  <c r="S89" i="4"/>
  <c r="S124" i="4"/>
  <c r="S112" i="4"/>
  <c r="S100" i="4"/>
  <c r="S88" i="4"/>
  <c r="S76" i="4"/>
  <c r="S64" i="4"/>
  <c r="S52" i="4"/>
  <c r="S118" i="4"/>
  <c r="S106" i="4"/>
  <c r="S94" i="4"/>
  <c r="S82" i="4"/>
  <c r="S70" i="4"/>
  <c r="S58" i="4"/>
  <c r="S46" i="4"/>
  <c r="S117" i="4"/>
  <c r="S105" i="4"/>
  <c r="S93" i="4"/>
  <c r="S81" i="4"/>
  <c r="S69" i="4"/>
  <c r="S57" i="4"/>
  <c r="S45" i="4"/>
  <c r="S128" i="4"/>
  <c r="S116" i="4"/>
  <c r="S104" i="4"/>
  <c r="S92" i="4"/>
  <c r="S80" i="4"/>
  <c r="S68" i="4"/>
  <c r="S56" i="4"/>
  <c r="S44" i="4"/>
  <c r="S127" i="4"/>
  <c r="S115" i="4"/>
  <c r="S103" i="4"/>
  <c r="S91" i="4"/>
  <c r="S79" i="4"/>
  <c r="S67" i="4"/>
  <c r="S55" i="4"/>
  <c r="S43" i="4"/>
  <c r="S54" i="4"/>
  <c r="S121" i="4"/>
  <c r="S109" i="4"/>
  <c r="S97" i="4"/>
  <c r="S85" i="4"/>
  <c r="S73" i="4"/>
  <c r="S61" i="4"/>
  <c r="S49" i="4"/>
  <c r="S119" i="4"/>
  <c r="S107" i="4"/>
  <c r="S95" i="4"/>
  <c r="S83" i="4"/>
  <c r="S71" i="4"/>
  <c r="S59" i="4"/>
  <c r="S47" i="4"/>
  <c r="B6" i="3"/>
  <c r="B7" i="3" s="1"/>
  <c r="B10" i="3" l="1"/>
  <c r="B27" i="5"/>
  <c r="B16" i="3" l="1"/>
  <c r="B31" i="5" s="1"/>
  <c r="J4" i="3"/>
  <c r="J148" i="3"/>
  <c r="J98" i="3"/>
  <c r="J101" i="3"/>
  <c r="J49" i="3"/>
  <c r="J6" i="3"/>
  <c r="J135" i="3"/>
  <c r="J139" i="3"/>
  <c r="J128" i="3"/>
  <c r="J129" i="3"/>
  <c r="J130" i="3"/>
  <c r="J13" i="3"/>
  <c r="J15" i="3"/>
  <c r="J10" i="3"/>
  <c r="J32" i="3"/>
  <c r="J50" i="3"/>
  <c r="J17" i="3"/>
  <c r="J55" i="3"/>
  <c r="J86" i="3"/>
  <c r="J57" i="3"/>
  <c r="J59" i="3"/>
  <c r="J132" i="3"/>
  <c r="J90" i="3"/>
  <c r="J70" i="3"/>
  <c r="J145" i="3"/>
  <c r="J74" i="3"/>
  <c r="J127" i="3"/>
  <c r="J16" i="3"/>
  <c r="J95" i="3"/>
  <c r="J146" i="3"/>
  <c r="J113" i="3"/>
  <c r="J61" i="3"/>
  <c r="J18" i="3"/>
  <c r="J7" i="3"/>
  <c r="J123" i="3"/>
  <c r="J140" i="3"/>
  <c r="J141" i="3"/>
  <c r="J142" i="3"/>
  <c r="J73" i="3"/>
  <c r="J99" i="3"/>
  <c r="J30" i="3"/>
  <c r="J19" i="3"/>
  <c r="J9" i="3"/>
  <c r="B9" i="4" s="1"/>
  <c r="J11" i="3"/>
  <c r="J23" i="3"/>
  <c r="B11" i="3"/>
  <c r="B11" i="5" s="1"/>
  <c r="J34" i="3"/>
  <c r="J83" i="3"/>
  <c r="J45" i="3"/>
  <c r="J38" i="3"/>
  <c r="J58" i="3"/>
  <c r="J41" i="3"/>
  <c r="J79" i="3"/>
  <c r="J71" i="3"/>
  <c r="J53" i="3"/>
  <c r="J102" i="3"/>
  <c r="J80" i="3"/>
  <c r="J25" i="3"/>
  <c r="J28" i="3"/>
  <c r="J143" i="3"/>
  <c r="J39" i="3"/>
  <c r="J125" i="3"/>
  <c r="J85" i="3"/>
  <c r="J8" i="3"/>
  <c r="J121" i="3"/>
  <c r="J14" i="3"/>
  <c r="J35" i="3"/>
  <c r="J84" i="3"/>
  <c r="J44" i="3"/>
  <c r="J56" i="3"/>
  <c r="J107" i="3"/>
  <c r="J51" i="3"/>
  <c r="J63" i="3"/>
  <c r="J40" i="3"/>
  <c r="J36" i="3"/>
  <c r="J87" i="3"/>
  <c r="J137" i="3"/>
  <c r="J109" i="3"/>
  <c r="J42" i="3"/>
  <c r="J31" i="3"/>
  <c r="J20" i="3"/>
  <c r="J21" i="3"/>
  <c r="J22" i="3"/>
  <c r="J47" i="3"/>
  <c r="J78" i="3"/>
  <c r="J122" i="3"/>
  <c r="J68" i="3"/>
  <c r="J75" i="3"/>
  <c r="J27" i="3"/>
  <c r="J82" i="3"/>
  <c r="J96" i="3"/>
  <c r="J92" i="3"/>
  <c r="J144" i="3"/>
  <c r="J48" i="3"/>
  <c r="J138" i="3"/>
  <c r="J52" i="3"/>
  <c r="J72" i="3"/>
  <c r="J5" i="3"/>
  <c r="J3" i="3"/>
  <c r="J133" i="3"/>
  <c r="J54" i="3"/>
  <c r="J43" i="3"/>
  <c r="J33" i="3"/>
  <c r="J66" i="3"/>
  <c r="J46" i="3"/>
  <c r="J100" i="3"/>
  <c r="J114" i="3"/>
  <c r="J119" i="3"/>
  <c r="J77" i="3"/>
  <c r="J106" i="3"/>
  <c r="J111" i="3"/>
  <c r="J110" i="3"/>
  <c r="J64" i="3"/>
  <c r="J26" i="3"/>
  <c r="J60" i="3"/>
  <c r="J81" i="3"/>
  <c r="J97" i="3"/>
  <c r="J94" i="3"/>
  <c r="J104" i="3"/>
  <c r="J62" i="3"/>
  <c r="J116" i="3"/>
  <c r="J76" i="3"/>
  <c r="J120" i="3"/>
  <c r="J29" i="3"/>
  <c r="J131" i="3"/>
  <c r="J67" i="3"/>
  <c r="J134" i="3"/>
  <c r="J24" i="3"/>
  <c r="J69" i="3"/>
  <c r="J37" i="3"/>
  <c r="J91" i="3"/>
  <c r="J147" i="3"/>
  <c r="J65" i="3"/>
  <c r="J103" i="3"/>
  <c r="J88" i="3"/>
  <c r="J12" i="3"/>
  <c r="J126" i="3"/>
  <c r="J89" i="3"/>
  <c r="J108" i="3"/>
  <c r="J115" i="3"/>
  <c r="J112" i="3"/>
  <c r="J93" i="3"/>
  <c r="J136" i="3"/>
  <c r="J118" i="3"/>
  <c r="J124" i="3"/>
  <c r="J105" i="3"/>
  <c r="J117" i="3"/>
  <c r="B18" i="3"/>
  <c r="C16" i="3" l="1"/>
  <c r="C31" i="5" s="1"/>
  <c r="B12" i="3"/>
  <c r="B25" i="5"/>
  <c r="B17" i="3" s="1"/>
  <c r="B32" i="5" s="1"/>
  <c r="C18" i="3"/>
  <c r="C33" i="5" s="1"/>
  <c r="B33" i="5"/>
  <c r="B66" i="4"/>
  <c r="B107" i="4"/>
  <c r="B38" i="4"/>
  <c r="B90" i="4"/>
  <c r="B91" i="4"/>
  <c r="B143" i="4"/>
  <c r="B118" i="4"/>
  <c r="B119" i="4"/>
  <c r="B84" i="4"/>
  <c r="B54" i="4"/>
  <c r="B8" i="4"/>
  <c r="B44" i="4"/>
  <c r="B24" i="4"/>
  <c r="B58" i="4"/>
  <c r="B108" i="4"/>
  <c r="B43" i="4"/>
  <c r="B148" i="4"/>
  <c r="B86" i="4"/>
  <c r="B113" i="4"/>
  <c r="B80" i="4"/>
  <c r="B57" i="4"/>
  <c r="B120" i="4"/>
  <c r="B123" i="4"/>
  <c r="B94" i="4"/>
  <c r="B56" i="4"/>
  <c r="B21" i="4"/>
  <c r="B46" i="4"/>
  <c r="B145" i="4"/>
  <c r="B75" i="4"/>
  <c r="B101" i="4"/>
  <c r="B117" i="4"/>
  <c r="B97" i="4"/>
  <c r="B25" i="4"/>
  <c r="B77" i="4"/>
  <c r="B96" i="4"/>
  <c r="B112" i="4"/>
  <c r="B114" i="4"/>
  <c r="B111" i="4"/>
  <c r="B4" i="4"/>
  <c r="B51" i="4"/>
  <c r="B19" i="4"/>
  <c r="B15" i="4"/>
  <c r="B109" i="4"/>
  <c r="B92" i="4"/>
  <c r="B35" i="4"/>
  <c r="B32" i="4"/>
  <c r="B47" i="4"/>
  <c r="B26" i="4"/>
  <c r="B116" i="4"/>
  <c r="B34" i="4"/>
  <c r="B144" i="4"/>
  <c r="B128" i="4"/>
  <c r="B100" i="4"/>
  <c r="B45" i="4"/>
  <c r="B121" i="4"/>
  <c r="B41" i="4"/>
  <c r="B65" i="4"/>
  <c r="B16" i="4"/>
  <c r="B48" i="4"/>
  <c r="B140" i="4"/>
  <c r="B11" i="4"/>
  <c r="B138" i="4"/>
  <c r="B18" i="4"/>
  <c r="B50" i="4"/>
  <c r="B27" i="4"/>
  <c r="B67" i="4"/>
  <c r="B71" i="4"/>
  <c r="B42" i="4"/>
  <c r="B115" i="4"/>
  <c r="B127" i="4"/>
  <c r="B33" i="4"/>
  <c r="B110" i="4"/>
  <c r="B99" i="4"/>
  <c r="B87" i="4"/>
  <c r="B69" i="4"/>
  <c r="B31" i="4"/>
  <c r="B81" i="4"/>
  <c r="B61" i="4"/>
  <c r="B130" i="4"/>
  <c r="B39" i="4"/>
  <c r="B102" i="4"/>
  <c r="B64" i="4"/>
  <c r="B122" i="4"/>
  <c r="B131" i="4"/>
  <c r="B62" i="4"/>
  <c r="B79" i="4"/>
  <c r="B142" i="4"/>
  <c r="B95" i="4"/>
  <c r="B76" i="4"/>
  <c r="B134" i="4"/>
  <c r="B93" i="4"/>
  <c r="B88" i="4"/>
  <c r="B30" i="4"/>
  <c r="B124" i="4"/>
  <c r="B141" i="4"/>
  <c r="B85" i="4"/>
  <c r="B13" i="4"/>
  <c r="B89" i="4"/>
  <c r="B72" i="4"/>
  <c r="B52" i="4"/>
  <c r="B23" i="4"/>
  <c r="B147" i="4"/>
  <c r="B133" i="4"/>
  <c r="B7" i="4"/>
  <c r="B132" i="4"/>
  <c r="B20" i="4"/>
  <c r="B59" i="4"/>
  <c r="B5" i="4"/>
  <c r="B70" i="4"/>
  <c r="B49" i="4"/>
  <c r="B12" i="4"/>
  <c r="B137" i="4"/>
  <c r="B29" i="4"/>
  <c r="B40" i="4"/>
  <c r="B63" i="4"/>
  <c r="B104" i="4"/>
  <c r="B105" i="4"/>
  <c r="B37" i="4"/>
  <c r="B53" i="4"/>
  <c r="B6" i="4"/>
  <c r="B98" i="4"/>
  <c r="B82" i="4"/>
  <c r="B146" i="4"/>
  <c r="B125" i="4"/>
  <c r="B83" i="4"/>
  <c r="B103" i="4"/>
  <c r="B60" i="4"/>
  <c r="B55" i="4"/>
  <c r="B22" i="4"/>
  <c r="B78" i="4"/>
  <c r="B74" i="4"/>
  <c r="B139" i="4"/>
  <c r="B14" i="4"/>
  <c r="B73" i="4"/>
  <c r="B126" i="4"/>
  <c r="B3" i="4"/>
  <c r="B129" i="4"/>
  <c r="B17" i="4"/>
  <c r="B135" i="4"/>
  <c r="B28" i="4"/>
  <c r="B36" i="4"/>
  <c r="B136" i="4"/>
  <c r="B10" i="4"/>
  <c r="B106" i="4"/>
  <c r="B68" i="4"/>
  <c r="B20" i="3" l="1"/>
  <c r="C20" i="3" s="1"/>
  <c r="C35" i="5" s="1"/>
  <c r="C17" i="3"/>
  <c r="C32" i="5" s="1"/>
  <c r="B21" i="3" l="1"/>
  <c r="B36" i="5" s="1"/>
  <c r="B35" i="5"/>
  <c r="B26" i="3" l="1"/>
  <c r="K2" i="3" s="1"/>
  <c r="C21" i="3"/>
  <c r="C36" i="5" s="1"/>
  <c r="C26" i="3" l="1"/>
  <c r="C41" i="5" s="1"/>
  <c r="B41"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<sst xmlns="http://schemas.openxmlformats.org/spreadsheetml/2006/main" count="130" uniqueCount="98">
  <si>
    <t>Interest rate</t>
  </si>
  <si>
    <t>Price of new unit ($)</t>
  </si>
  <si>
    <t>Lifespan (years)</t>
  </si>
  <si>
    <t>Salvage value ($)</t>
  </si>
  <si>
    <t>% use for drone application</t>
  </si>
  <si>
    <t>Capital recovery (total, $/year)</t>
  </si>
  <si>
    <t>Capital recovery (drone business, $/year)</t>
  </si>
  <si>
    <t>Maintenance costs ($/year)</t>
  </si>
  <si>
    <t>Generator</t>
  </si>
  <si>
    <t>Trailer</t>
  </si>
  <si>
    <t>Truck</t>
  </si>
  <si>
    <t>Depreciation per cycle</t>
  </si>
  <si>
    <t>Fuel</t>
  </si>
  <si>
    <t>Labor</t>
  </si>
  <si>
    <t>Total Operating costs ($/acre)</t>
  </si>
  <si>
    <t>Total Ownership costs ($/acre)</t>
  </si>
  <si>
    <t>TOTAL COSTS ($/acre)</t>
  </si>
  <si>
    <t>Years per battery</t>
  </si>
  <si>
    <t>Acres applied per hour</t>
  </si>
  <si>
    <t>Hours per year</t>
  </si>
  <si>
    <t>Flights per hour</t>
  </si>
  <si>
    <t>Time per flight+recharge (hours)</t>
  </si>
  <si>
    <t>Diesel price ($/gallon)</t>
  </si>
  <si>
    <t>Diesel use (gallon/hour)</t>
  </si>
  <si>
    <t>Labor cost ($/hour)</t>
  </si>
  <si>
    <t>Assumptions:</t>
  </si>
  <si>
    <t>Truck one year old, salvage value as % of new at 11 years old/% of new as 1 yea old</t>
  </si>
  <si>
    <t>Battery (interest on 3 extra units+depreciation of 5 units)</t>
  </si>
  <si>
    <t>Recharge of a battery + pumping (hours)</t>
  </si>
  <si>
    <t>Pump and transfer system</t>
  </si>
  <si>
    <t>Hours per day applying</t>
  </si>
  <si>
    <t>Other materials</t>
  </si>
  <si>
    <t>Costs</t>
  </si>
  <si>
    <t>Interest over operating capital</t>
  </si>
  <si>
    <t>Batteries</t>
  </si>
  <si>
    <t>Taxes + Insurance + Housing</t>
  </si>
  <si>
    <t>Maintenance/Repairs</t>
  </si>
  <si>
    <t>Lifespan (Max. years to achieve 1,000 charge cycles)</t>
  </si>
  <si>
    <t>Interest over capital ($/year)</t>
  </si>
  <si>
    <t>Applied acres per year</t>
  </si>
  <si>
    <t>Charges of lifespan (batteries)</t>
  </si>
  <si>
    <t>Acres applied per flight</t>
  </si>
  <si>
    <t>Acres applied per charge cycle</t>
  </si>
  <si>
    <t>Charge cycles per year</t>
  </si>
  <si>
    <t>Depreciation + Interest over capital (excluding batteries)</t>
  </si>
  <si>
    <t>Cost per acre applied ($/acre)</t>
  </si>
  <si>
    <t>Cost per year for the operation ($)</t>
  </si>
  <si>
    <t>Total cost ($/acre)</t>
  </si>
  <si>
    <t>Batteries*</t>
  </si>
  <si>
    <t>Drone maintanance cost ($/year/acre)</t>
  </si>
  <si>
    <t>Acres of lifespan (drone)</t>
  </si>
  <si>
    <t>Dish soap qtt. (L/day)</t>
  </si>
  <si>
    <t>Dish soap price ($/2.64L)</t>
  </si>
  <si>
    <t>Drone (includes charger and 2 batteries)</t>
  </si>
  <si>
    <t>Acres applied \ interest rate</t>
  </si>
  <si>
    <t>Hours of application/year</t>
  </si>
  <si>
    <t>Applied acres/year</t>
  </si>
  <si>
    <t>Interest is calculated assuming financing in 5 years</t>
  </si>
  <si>
    <t>N of drones</t>
  </si>
  <si>
    <t>Drone package (includes 1 charger)</t>
  </si>
  <si>
    <t>N of batteries</t>
  </si>
  <si>
    <t>Price of new unit(s) ($)</t>
  </si>
  <si>
    <t>Time recharging battery (hours per load)</t>
  </si>
  <si>
    <t>Pumping in and mixing (hours per load)</t>
  </si>
  <si>
    <t>Cleaning the drone (hours per day)</t>
  </si>
  <si>
    <t>Non-operating field hours</t>
  </si>
  <si>
    <t>Drone crew members</t>
  </si>
  <si>
    <t>Loads per day</t>
  </si>
  <si>
    <t>Hours per day driving to and from fields</t>
  </si>
  <si>
    <t>Daily miles driven</t>
  </si>
  <si>
    <t>Pickup fuel economy (miles per gallon)</t>
  </si>
  <si>
    <t>Target application cost</t>
  </si>
  <si>
    <t>Helper</t>
  </si>
  <si>
    <t>Breakeven acreage to achieve target cost (acres/year)</t>
  </si>
  <si>
    <t>Hours of application to achieve target cost (hours/year)</t>
  </si>
  <si>
    <t>Total equipment investment</t>
  </si>
  <si>
    <t>Applied equipment investment</t>
  </si>
  <si>
    <t>Updated: 2/28/2025</t>
  </si>
  <si>
    <t>Developed by:</t>
  </si>
  <si>
    <t>The "Model" sheet contains the economic model used for all calculations.</t>
  </si>
  <si>
    <t>Steps:</t>
  </si>
  <si>
    <t>This worksheet is for educational purposes only and the user assumes all risks associated with its use.</t>
  </si>
  <si>
    <t>Custom operations can use this tool to estimate the cost per acre of using drones for agricultural spray applications.</t>
  </si>
  <si>
    <t>Lifespan (Max. years to use all charge cycles)</t>
  </si>
  <si>
    <t>Drone batteries</t>
  </si>
  <si>
    <t>Adauto B. Rocha Jr., Drew Kientzy, Gurbir Singh</t>
  </si>
  <si>
    <r>
      <rPr>
        <b/>
        <sz val="10"/>
        <color theme="1"/>
        <rFont val="Segoe UI"/>
        <family val="2"/>
      </rPr>
      <t>1. Use "Inputs and summary" to input your own numbers in the colored cells.</t>
    </r>
    <r>
      <rPr>
        <sz val="10"/>
        <color theme="1"/>
        <rFont val="Segoe UI"/>
        <family val="2"/>
      </rPr>
      <t xml:space="preserve"> Insert any known costs, prices, or values in the gray cells. Orange cells can also be modified, but they contain formulas that automatically estimate their values based on the numbers entered in the gray cells. If you are just starting operations, prefilled estimates for a Agras T40 drone are available for you.</t>
    </r>
  </si>
  <si>
    <t>© 2025 Curators of the University of Missouri</t>
  </si>
  <si>
    <t>Users are permitted to use this tool for extension and educational purposes, as well as in research, presentations or publications, provided proper attribution is given.</t>
  </si>
  <si>
    <r>
      <rPr>
        <b/>
        <sz val="10"/>
        <color theme="1"/>
        <rFont val="Segoe UI"/>
        <family val="2"/>
      </rPr>
      <t>Suggested citation:</t>
    </r>
    <r>
      <rPr>
        <sz val="10"/>
        <color theme="1"/>
        <rFont val="Segoe UI"/>
        <family val="2"/>
      </rPr>
      <t xml:space="preserve">
Rocha Jr., A. B., Kientzy, D., &amp; Singh, G. (2025). Drone Spray Cost Estimator: Custom Operation (XLSX). University of Missouri Extension.</t>
    </r>
  </si>
  <si>
    <t>Users may modify and adapt this tool for their needs as long as they cite the original authors. However, copying and rebranding this tool without proper attribution is strictly prohibited.</t>
  </si>
  <si>
    <r>
      <rPr>
        <b/>
        <sz val="10"/>
        <color theme="1"/>
        <rFont val="Segoe UI"/>
        <family val="2"/>
      </rPr>
      <t xml:space="preserve">2. Visualize summarized cost and breakeven estimates in "Inputs and summary." </t>
    </r>
    <r>
      <rPr>
        <sz val="10"/>
        <color theme="1"/>
        <rFont val="Segoe UI"/>
        <family val="2"/>
      </rPr>
      <t>You can view the costs per acre and the annual operation cost in cells A29 to C41. Estimates of the number of acres you need to apply annually to reach your target cost, along with the required application time, are presented in cells A45 to B47.</t>
    </r>
  </si>
  <si>
    <t>3. Use "Cost by acreage and interest" to visualize simulated costs and application time across different combinations of acreage and interest rates.</t>
  </si>
  <si>
    <t>This publication was supported by the NRCS-USDA Missouri Conservation Innovation Grant (CIG) 
No. NR236424XXXXG013.</t>
  </si>
  <si>
    <t>The University of Missouri intends neither endorsement of products named herein nor criticism of similar products that are not mentioned.</t>
  </si>
  <si>
    <t>If you have questions, contact Adauto Rocha at arochajunior@missouri.edu or Drew Kientzy at dkientzy@missouri.edu.</t>
  </si>
  <si>
    <t>For more information, consult MU Extension publication G1274, Economics of Drone Ownership for Agricultural Spray Applications.</t>
  </si>
  <si>
    <t>Drone Spray Cost Estimator: Custom Operation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</si>
</sst>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0.0%"/>
    <numFmt numFmtId="165" formatCode="&quot;$&quot;#,##0.00"/>
  </numFmts>
  <fonts count="18" x14ac:knownFonts="1">
    <font>
      <sz val="11"/>
      <color theme="1"/>
      <name val="Aptos Narrow"/>
      <family val="2"/>
      <scheme val="minor"/>
    </font>
    <font>
      <sz val="11"/>
      <color theme="1"/>
      <name val="Aptos Narrow"/>
      <family val="2"/>
      <scheme val="minor"/>
    </font>
    <font>
      <b/>
      <sz val="8"/>
      <color theme="1"/>
      <name val="Aptos Narrow"/>
      <family val="2"/>
      <scheme val="minor"/>
    </font>
    <font>
      <sz val="8"/>
      <color theme="1"/>
      <name val="Aptos Narrow"/>
      <family val="2"/>
      <scheme val="minor"/>
    </font>
    <font>
      <sz val="8"/>
      <color rgb="FFFF0000"/>
      <name val="Aptos Narrow"/>
      <family val="2"/>
      <scheme val="minor"/>
    </font>
    <font>
      <b/>
      <sz val="11"/>
      <color theme="1"/>
      <name val="Aptos Narrow"/>
      <family val="2"/>
      <scheme val="minor"/>
    </font>
    <font>
      <b/>
      <sz val="11"/>
      <color theme="0"/>
      <name val="Aptos Narrow"/>
      <family val="2"/>
      <scheme val="minor"/>
    </font>
    <font>
      <sz val="11"/>
      <color theme="0"/>
      <name val="Aptos Narrow"/>
      <family val="2"/>
      <scheme val="minor"/>
    </font>
    <font>
      <sz val="8"/>
      <color theme="0" tint="-0.499984740745262"/>
      <name val="Aptos Narrow"/>
      <family val="2"/>
      <scheme val="minor"/>
    </font>
    <font>
      <b/>
      <sz val="11"/>
      <color rgb="FF3F3F3F"/>
      <name val="Aptos Narrow"/>
      <family val="2"/>
      <scheme val="minor"/>
    </font>
    <font>
      <sz val="10"/>
      <color theme="1"/>
      <name val="Segoe UI"/>
      <family val="2"/>
    </font>
    <font>
      <sz val="11"/>
      <color theme="2"/>
      <name val="Aptos Narrow"/>
      <family val="2"/>
      <scheme val="minor"/>
    </font>
    <font>
      <b/>
      <sz val="14"/>
      <color rgb="FFF1B82D"/>
      <name val="Segoe UI"/>
      <family val="2"/>
    </font>
    <font>
      <sz val="11"/>
      <color theme="1"/>
      <name val="Segoe UI"/>
      <family val="2"/>
    </font>
    <font>
      <b/>
      <sz val="10"/>
      <color theme="1"/>
      <name val="Segoe UI"/>
      <family val="2"/>
    </font>
    <font>
      <b/>
      <sz val="10"/>
      <color rgb="FF3F3F3F"/>
      <name val="Segoe UI"/>
      <family val="2"/>
    </font>
    <font>
      <u/>
      <sz val="11"/>
      <color theme="10"/>
      <name val="Aptos Narrow"/>
      <family val="2"/>
      <scheme val="minor"/>
    </font>
    <font>
      <sz val="8"/>
      <color theme="0"/>
      <name val="Aptos Narrow"/>
      <family val="2"/>
      <scheme val="minor"/>
    </font>
  </fonts>
  <fills count="8">
    <fill>
      <patternFill patternType="none"/>
    </fill>
    <fill>
      <patternFill patternType="gray125"/>
    </fill>
    <fill>
      <patternFill patternType="solid">
        <fgColor theme="2"/>
        <bgColor indexed="64"/>
      </patternFill>
    </fill>
    <fill>
      <patternFill patternType="solid">
        <fgColor theme="5" tint="0.79998168889431442"/>
        <bgColor indexed="64"/>
      </patternFill>
    </fill>
    <fill>
      <patternFill patternType="solid">
        <fgColor rgb="FFF2F2F2"/>
      </patternFill>
    </fill>
    <fill>
      <patternFill patternType="solid">
        <fgColor theme="1"/>
        <bgColor indexed="64"/>
      </patternFill>
    </fill>
    <fill>
      <patternFill patternType="solid">
        <fgColor rgb="FF000000"/>
        <bgColor indexed="64"/>
      </patternFill>
    </fill>
    <fill>
      <patternFill patternType="solid">
        <fgColor theme="0"/>
        <bgColor indexed="64"/>
      </patternFill>
    </fill>
  </fills>
  <borders count="18">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3F3F3F"/>
      </left>
      <right style="thin">
        <color rgb="FF3F3F3F"/>
      </right>
      <top style="thin">
        <color rgb="FF3F3F3F"/>
      </top>
      <bottom style="thin">
        <color rgb="FF3F3F3F"/>
      </bottom>
      <diagonal/>
    </border>
    <border>
      <left/>
      <right/>
      <top style="thin">
        <color indexed="64"/>
      </top>
      <bottom/>
      <diagonal/>
    </border>
    <border>
      <left/>
      <right/>
      <top/>
      <bottom style="thin">
        <color indexed="64"/>
      </bottom>
      <diagonal/>
    </border>
  </borders>
  <cellStyleXfs count="6">
    <xf numFmtId="0" fontId="0" fillId="0" borderId="0"/>
    <xf numFmtId="9" fontId="1" fillId="0" borderId="0" applyFont="0" applyFill="0" applyBorder="0" applyAlignment="0" applyProtection="0"/>
    <xf numFmtId="44" fontId="1" fillId="0" borderId="0" applyFont="0" applyFill="0" applyBorder="0" applyAlignment="0" applyProtection="0"/>
    <xf numFmtId="0" fontId="9" fillId="4" borderId="15" applyNumberFormat="0" applyAlignment="0" applyProtection="0"/>
    <xf numFmtId="0" fontId="1" fillId="0" borderId="0"/>
    <xf numFmtId="0" fontId="16" fillId="0" borderId="0" applyNumberFormat="0" applyFill="0" applyBorder="0" applyAlignment="0" applyProtection="0"/>
  </cellStyleXfs>
  <cellXfs count="147">
    <xf numFmtId="0" fontId="0" fillId="0" borderId="0" xfId="0"/>
    <xf numFmtId="0" fontId="3" fillId="0" borderId="0" xfId="0" applyFont="1" applyAlignment="1">
      <alignment horizontal="left" vertical="center"/>
    </xf>
    <xf numFmtId="2" fontId="3" fillId="0" borderId="5" xfId="0" applyNumberFormat="1" applyFont="1" applyBorder="1" applyAlignment="1">
      <alignment horizontal="right" vertical="center" indent="9"/>
    </xf>
    <xf numFmtId="2" fontId="3" fillId="0" borderId="8" xfId="0" applyNumberFormat="1" applyFont="1" applyBorder="1" applyAlignment="1">
      <alignment horizontal="right" vertical="center" indent="9"/>
    </xf>
    <xf numFmtId="4" fontId="3" fillId="0" borderId="0" xfId="0" applyNumberFormat="1" applyFont="1" applyAlignment="1">
      <alignment horizontal="right" vertical="center" indent="9"/>
    </xf>
    <xf numFmtId="44" fontId="0" fillId="0" borderId="4" xfId="2" applyFont="1" applyBorder="1" applyAlignment="1">
      <alignment horizontal="center"/>
    </xf>
    <xf numFmtId="44" fontId="0" fillId="0" borderId="0" xfId="2" applyFont="1" applyBorder="1" applyAlignment="1">
      <alignment horizontal="center"/>
    </xf>
    <xf numFmtId="44" fontId="0" fillId="0" borderId="5" xfId="2" applyFont="1" applyBorder="1" applyAlignment="1">
      <alignment horizontal="center"/>
    </xf>
    <xf numFmtId="44" fontId="0" fillId="0" borderId="6" xfId="2" applyFont="1" applyBorder="1" applyAlignment="1">
      <alignment horizontal="center"/>
    </xf>
    <xf numFmtId="44" fontId="0" fillId="0" borderId="7" xfId="2" applyFont="1" applyBorder="1" applyAlignment="1">
      <alignment horizontal="center"/>
    </xf>
    <xf numFmtId="44" fontId="0" fillId="0" borderId="8" xfId="2" applyFont="1" applyBorder="1" applyAlignment="1">
      <alignment horizontal="center"/>
    </xf>
    <xf numFmtId="2" fontId="5" fillId="0" borderId="11" xfId="0" applyNumberFormat="1" applyFont="1" applyBorder="1" applyAlignment="1">
      <alignment horizontal="right" indent="7"/>
    </xf>
    <xf numFmtId="2" fontId="5" fillId="0" borderId="10" xfId="0" applyNumberFormat="1" applyFont="1" applyBorder="1" applyAlignment="1">
      <alignment horizontal="right" indent="7"/>
    </xf>
    <xf numFmtId="4" fontId="3" fillId="0" borderId="0" xfId="0" applyNumberFormat="1" applyFont="1" applyAlignment="1">
      <alignment horizontal="right" vertical="center" indent="3"/>
    </xf>
    <xf numFmtId="3" fontId="5" fillId="0" borderId="9" xfId="0" applyNumberFormat="1" applyFont="1" applyBorder="1" applyAlignment="1">
      <alignment horizontal="right" indent="5"/>
    </xf>
    <xf numFmtId="3" fontId="5" fillId="0" borderId="11" xfId="0" applyNumberFormat="1" applyFont="1" applyBorder="1" applyAlignment="1">
      <alignment horizontal="right" indent="5"/>
    </xf>
    <xf numFmtId="3" fontId="5" fillId="0" borderId="10" xfId="0" applyNumberFormat="1" applyFont="1" applyBorder="1" applyAlignment="1">
      <alignment horizontal="right" indent="5"/>
    </xf>
    <xf numFmtId="164" fontId="3" fillId="0" borderId="0" xfId="1" applyNumberFormat="1" applyFont="1" applyAlignment="1">
      <alignment horizontal="left" vertical="center"/>
    </xf>
    <xf numFmtId="3" fontId="7" fillId="0" borderId="0" xfId="0" applyNumberFormat="1" applyFont="1"/>
    <xf numFmtId="44" fontId="11" fillId="0" borderId="0" xfId="0" applyNumberFormat="1" applyFont="1"/>
    <xf numFmtId="0" fontId="13" fillId="0" borderId="0" xfId="4" applyFont="1"/>
    <xf numFmtId="2" fontId="3" fillId="2" borderId="5" xfId="0" applyNumberFormat="1" applyFont="1" applyFill="1" applyBorder="1" applyAlignment="1" applyProtection="1">
      <alignment horizontal="right" vertical="center" indent="9"/>
      <protection locked="0"/>
    </xf>
    <xf numFmtId="9" fontId="3" fillId="2" borderId="5" xfId="1" applyFont="1" applyFill="1" applyBorder="1" applyAlignment="1" applyProtection="1">
      <alignment horizontal="right" vertical="center" indent="9"/>
      <protection locked="0"/>
    </xf>
    <xf numFmtId="4" fontId="3" fillId="2" borderId="0" xfId="0" applyNumberFormat="1" applyFont="1" applyFill="1" applyAlignment="1" applyProtection="1">
      <alignment horizontal="right" vertical="center"/>
      <protection locked="0"/>
    </xf>
    <xf numFmtId="4" fontId="3" fillId="2" borderId="7" xfId="0" applyNumberFormat="1" applyFont="1" applyFill="1" applyBorder="1" applyAlignment="1" applyProtection="1">
      <alignment horizontal="right" vertical="center"/>
      <protection locked="0"/>
    </xf>
    <xf numFmtId="4" fontId="3" fillId="2" borderId="0" xfId="0" applyNumberFormat="1" applyFont="1" applyFill="1" applyAlignment="1" applyProtection="1">
      <alignment horizontal="right" vertical="center" indent="9"/>
      <protection locked="0"/>
    </xf>
    <xf numFmtId="4" fontId="3" fillId="2" borderId="7" xfId="0" applyNumberFormat="1" applyFont="1" applyFill="1" applyBorder="1" applyAlignment="1" applyProtection="1">
      <alignment horizontal="right" vertical="center" indent="9"/>
      <protection locked="0"/>
    </xf>
    <xf numFmtId="4" fontId="3" fillId="3" borderId="0" xfId="0" applyNumberFormat="1" applyFont="1" applyFill="1" applyAlignment="1" applyProtection="1">
      <alignment horizontal="right" vertical="center" indent="3"/>
      <protection locked="0"/>
    </xf>
    <xf numFmtId="9" fontId="3" fillId="2" borderId="5" xfId="1" applyFont="1" applyFill="1" applyBorder="1" applyAlignment="1" applyProtection="1">
      <alignment horizontal="right" vertical="center" indent="4"/>
      <protection locked="0"/>
    </xf>
    <xf numFmtId="4" fontId="3" fillId="3" borderId="7" xfId="0" applyNumberFormat="1" applyFont="1" applyFill="1" applyBorder="1" applyAlignment="1" applyProtection="1">
      <alignment horizontal="right" vertical="center" indent="3"/>
      <protection locked="0"/>
    </xf>
    <xf numFmtId="9" fontId="3" fillId="2" borderId="8" xfId="1" applyFont="1" applyFill="1" applyBorder="1" applyAlignment="1" applyProtection="1">
      <alignment horizontal="right" vertical="center" indent="4"/>
      <protection locked="0"/>
    </xf>
    <xf numFmtId="3" fontId="3" fillId="2" borderId="8" xfId="0" applyNumberFormat="1" applyFont="1" applyFill="1" applyBorder="1" applyAlignment="1" applyProtection="1">
      <alignment horizontal="right" vertical="center" indent="3"/>
      <protection locked="0"/>
    </xf>
    <xf numFmtId="0" fontId="11" fillId="0" borderId="0" xfId="0" applyFont="1"/>
    <xf numFmtId="0" fontId="13" fillId="6" borderId="0" xfId="4" applyFont="1" applyFill="1"/>
    <xf numFmtId="0" fontId="3" fillId="7" borderId="0" xfId="0" applyFont="1" applyFill="1" applyAlignment="1">
      <alignment horizontal="left" vertical="center"/>
    </xf>
    <xf numFmtId="0" fontId="4" fillId="7" borderId="0" xfId="0" applyFont="1" applyFill="1" applyAlignment="1">
      <alignment horizontal="left" vertical="center"/>
    </xf>
    <xf numFmtId="4" fontId="3" fillId="7" borderId="0" xfId="0" applyNumberFormat="1" applyFont="1" applyFill="1" applyAlignment="1">
      <alignment horizontal="left" vertical="center"/>
    </xf>
    <xf numFmtId="0" fontId="3" fillId="7" borderId="4" xfId="0" applyFont="1" applyFill="1" applyBorder="1" applyAlignment="1">
      <alignment horizontal="left" vertical="center"/>
    </xf>
    <xf numFmtId="0" fontId="17" fillId="7" borderId="0" xfId="0" applyFont="1" applyFill="1" applyAlignment="1">
      <alignment horizontal="left" vertical="center"/>
    </xf>
    <xf numFmtId="0" fontId="2" fillId="7" borderId="4" xfId="0" applyFont="1" applyFill="1" applyBorder="1" applyAlignment="1">
      <alignment horizontal="left" vertical="center"/>
    </xf>
    <xf numFmtId="4" fontId="3" fillId="7" borderId="0" xfId="0" applyNumberFormat="1" applyFont="1" applyFill="1" applyAlignment="1">
      <alignment horizontal="right" vertical="center"/>
    </xf>
    <xf numFmtId="0" fontId="2" fillId="7" borderId="6" xfId="0" applyFont="1" applyFill="1" applyBorder="1" applyAlignment="1">
      <alignment horizontal="left" vertical="center"/>
    </xf>
    <xf numFmtId="4" fontId="3" fillId="7" borderId="7" xfId="0" applyNumberFormat="1" applyFont="1" applyFill="1" applyBorder="1" applyAlignment="1">
      <alignment horizontal="right" vertical="center"/>
    </xf>
    <xf numFmtId="3" fontId="3" fillId="7" borderId="7" xfId="0" applyNumberFormat="1" applyFont="1" applyFill="1" applyBorder="1" applyAlignment="1">
      <alignment horizontal="right" vertical="center"/>
    </xf>
    <xf numFmtId="4" fontId="3" fillId="7" borderId="8" xfId="0" applyNumberFormat="1" applyFont="1" applyFill="1" applyBorder="1" applyAlignment="1">
      <alignment horizontal="right" vertical="center"/>
    </xf>
    <xf numFmtId="0" fontId="2" fillId="7" borderId="0" xfId="0" applyFont="1" applyFill="1" applyAlignment="1">
      <alignment horizontal="left" vertical="center"/>
    </xf>
    <xf numFmtId="3" fontId="3" fillId="7" borderId="0" xfId="0" applyNumberFormat="1" applyFont="1" applyFill="1" applyAlignment="1">
      <alignment horizontal="right" vertical="center"/>
    </xf>
    <xf numFmtId="2" fontId="4" fillId="7" borderId="0" xfId="0" applyNumberFormat="1" applyFont="1" applyFill="1" applyAlignment="1">
      <alignment vertical="center"/>
    </xf>
    <xf numFmtId="4" fontId="3" fillId="7" borderId="0" xfId="0" applyNumberFormat="1" applyFont="1" applyFill="1" applyAlignment="1">
      <alignment horizontal="right" vertical="center" indent="9"/>
    </xf>
    <xf numFmtId="3" fontId="3" fillId="7" borderId="0" xfId="0" applyNumberFormat="1" applyFont="1" applyFill="1" applyAlignment="1">
      <alignment horizontal="right" vertical="center" indent="3"/>
    </xf>
    <xf numFmtId="164" fontId="3" fillId="7" borderId="0" xfId="1" applyNumberFormat="1" applyFont="1" applyFill="1" applyAlignment="1">
      <alignment horizontal="left" vertical="center"/>
    </xf>
    <xf numFmtId="0" fontId="2" fillId="7" borderId="12" xfId="0" applyFont="1" applyFill="1" applyBorder="1" applyAlignment="1">
      <alignment horizontal="left" vertical="center"/>
    </xf>
    <xf numFmtId="0" fontId="3" fillId="7" borderId="14" xfId="0" applyFont="1" applyFill="1" applyBorder="1" applyAlignment="1">
      <alignment horizontal="left" vertical="center"/>
    </xf>
    <xf numFmtId="0" fontId="12" fillId="7" borderId="0" xfId="4" applyFont="1" applyFill="1" applyAlignment="1">
      <alignment horizontal="center"/>
    </xf>
    <xf numFmtId="0" fontId="13" fillId="7" borderId="0" xfId="4" applyFont="1" applyFill="1" applyAlignment="1">
      <alignment horizontal="right"/>
    </xf>
    <xf numFmtId="0" fontId="10" fillId="7" borderId="0" xfId="4" applyFont="1" applyFill="1"/>
    <xf numFmtId="0" fontId="14" fillId="7" borderId="0" xfId="4" applyFont="1" applyFill="1" applyAlignment="1">
      <alignment vertical="top"/>
    </xf>
    <xf numFmtId="0" fontId="10" fillId="7" borderId="0" xfId="4" applyFont="1" applyFill="1" applyAlignment="1">
      <alignment vertical="top"/>
    </xf>
    <xf numFmtId="0" fontId="13" fillId="7" borderId="0" xfId="4" applyFont="1" applyFill="1"/>
    <xf numFmtId="0" fontId="10" fillId="7" borderId="0" xfId="4" applyFont="1" applyFill="1" applyAlignment="1">
      <alignment horizontal="left" vertical="top"/>
    </xf>
    <xf numFmtId="0" fontId="14" fillId="7" borderId="0" xfId="4" applyFont="1" applyFill="1" applyAlignment="1">
      <alignment horizontal="left" vertical="top"/>
    </xf>
    <xf numFmtId="0" fontId="10" fillId="7" borderId="0" xfId="4" applyFont="1" applyFill="1" applyAlignment="1">
      <alignment horizontal="left" vertical="top" wrapText="1"/>
    </xf>
    <xf numFmtId="0" fontId="14" fillId="7" borderId="0" xfId="4" applyFont="1" applyFill="1" applyAlignment="1">
      <alignment horizontal="left"/>
    </xf>
    <xf numFmtId="0" fontId="10" fillId="7" borderId="0" xfId="4" applyFont="1" applyFill="1" applyAlignment="1">
      <alignment horizontal="left" wrapText="1"/>
    </xf>
    <xf numFmtId="0" fontId="14" fillId="7" borderId="0" xfId="4" applyFont="1" applyFill="1" applyAlignment="1">
      <alignment horizontal="left" vertical="top" wrapText="1"/>
    </xf>
    <xf numFmtId="0" fontId="13" fillId="7" borderId="0" xfId="4" applyFont="1" applyFill="1" applyAlignment="1">
      <alignment vertical="top"/>
    </xf>
    <xf numFmtId="0" fontId="13" fillId="0" borderId="16" xfId="4" applyFont="1" applyBorder="1"/>
    <xf numFmtId="0" fontId="13" fillId="7" borderId="16" xfId="4" applyFont="1" applyFill="1" applyBorder="1"/>
    <xf numFmtId="0" fontId="10" fillId="7" borderId="17" xfId="4" applyFont="1" applyFill="1" applyBorder="1"/>
    <xf numFmtId="0" fontId="13" fillId="7" borderId="17" xfId="4" applyFont="1" applyFill="1" applyBorder="1"/>
    <xf numFmtId="0" fontId="2" fillId="7" borderId="1" xfId="0" applyFont="1" applyFill="1" applyBorder="1" applyAlignment="1">
      <alignment horizontal="left" vertical="center"/>
    </xf>
    <xf numFmtId="0" fontId="2" fillId="7" borderId="2" xfId="0" applyFont="1" applyFill="1" applyBorder="1" applyAlignment="1">
      <alignment horizontal="center" vertical="center"/>
    </xf>
    <xf numFmtId="0" fontId="2" fillId="7" borderId="3" xfId="0" applyFont="1" applyFill="1" applyBorder="1" applyAlignment="1">
      <alignment horizontal="center" vertical="center"/>
    </xf>
    <xf numFmtId="0" fontId="3" fillId="7" borderId="4" xfId="0" applyFont="1" applyFill="1" applyBorder="1" applyAlignment="1">
      <alignment horizontal="left" vertical="center" indent="1"/>
    </xf>
    <xf numFmtId="4" fontId="3" fillId="7" borderId="5" xfId="0" applyNumberFormat="1" applyFont="1" applyFill="1" applyBorder="1" applyAlignment="1">
      <alignment horizontal="right" vertical="center" indent="9"/>
    </xf>
    <xf numFmtId="4" fontId="3" fillId="7" borderId="7" xfId="0" applyNumberFormat="1" applyFont="1" applyFill="1" applyBorder="1" applyAlignment="1">
      <alignment horizontal="right" vertical="center" indent="9"/>
    </xf>
    <xf numFmtId="4" fontId="3" fillId="7" borderId="8" xfId="0" applyNumberFormat="1" applyFont="1" applyFill="1" applyBorder="1" applyAlignment="1">
      <alignment horizontal="right" vertical="center" indent="9"/>
    </xf>
    <xf numFmtId="0" fontId="3" fillId="7" borderId="6" xfId="0" applyFont="1" applyFill="1" applyBorder="1" applyAlignment="1">
      <alignment horizontal="left" vertical="center"/>
    </xf>
    <xf numFmtId="0" fontId="3" fillId="7" borderId="1" xfId="0" applyFont="1" applyFill="1" applyBorder="1" applyAlignment="1">
      <alignment horizontal="left" vertical="center"/>
    </xf>
    <xf numFmtId="0" fontId="2" fillId="7" borderId="2" xfId="0" applyFont="1" applyFill="1" applyBorder="1" applyAlignment="1">
      <alignment horizontal="center" vertical="center" wrapText="1"/>
    </xf>
    <xf numFmtId="0" fontId="2" fillId="7" borderId="3" xfId="0" applyFont="1" applyFill="1" applyBorder="1" applyAlignment="1">
      <alignment horizontal="center" vertical="center" wrapText="1"/>
    </xf>
    <xf numFmtId="4" fontId="3" fillId="7" borderId="3" xfId="0" applyNumberFormat="1" applyFont="1" applyFill="1" applyBorder="1" applyAlignment="1">
      <alignment horizontal="left" vertical="center"/>
    </xf>
    <xf numFmtId="4" fontId="3" fillId="7" borderId="8" xfId="0" applyNumberFormat="1" applyFont="1" applyFill="1" applyBorder="1" applyAlignment="1">
      <alignment horizontal="left" vertical="center"/>
    </xf>
    <xf numFmtId="0" fontId="3" fillId="7" borderId="3" xfId="0" applyFont="1" applyFill="1" applyBorder="1" applyAlignment="1">
      <alignment horizontal="left" vertical="center"/>
    </xf>
    <xf numFmtId="0" fontId="3" fillId="7" borderId="5" xfId="0" applyFont="1" applyFill="1" applyBorder="1" applyAlignment="1">
      <alignment horizontal="left" vertical="center"/>
    </xf>
    <xf numFmtId="2" fontId="3" fillId="7" borderId="3" xfId="0" applyNumberFormat="1" applyFont="1" applyFill="1" applyBorder="1" applyAlignment="1">
      <alignment horizontal="right" vertical="center" indent="9"/>
    </xf>
    <xf numFmtId="9" fontId="3" fillId="7" borderId="8" xfId="1" applyFont="1" applyFill="1" applyBorder="1" applyAlignment="1">
      <alignment horizontal="right" vertical="center" indent="9"/>
    </xf>
    <xf numFmtId="2" fontId="3" fillId="7" borderId="5" xfId="0" applyNumberFormat="1" applyFont="1" applyFill="1" applyBorder="1" applyAlignment="1">
      <alignment horizontal="right" vertical="center" indent="9"/>
    </xf>
    <xf numFmtId="2" fontId="3" fillId="7" borderId="8" xfId="0" applyNumberFormat="1" applyFont="1" applyFill="1" applyBorder="1" applyAlignment="1">
      <alignment horizontal="right" vertical="center" indent="9"/>
    </xf>
    <xf numFmtId="4" fontId="3" fillId="7" borderId="5" xfId="0" applyNumberFormat="1" applyFont="1" applyFill="1" applyBorder="1" applyAlignment="1">
      <alignment horizontal="right" vertical="center" indent="7"/>
    </xf>
    <xf numFmtId="4" fontId="3" fillId="7" borderId="8" xfId="0" applyNumberFormat="1" applyFont="1" applyFill="1" applyBorder="1" applyAlignment="1">
      <alignment horizontal="right" vertical="center" indent="7"/>
    </xf>
    <xf numFmtId="0" fontId="3" fillId="7" borderId="2" xfId="0" applyFont="1" applyFill="1" applyBorder="1" applyAlignment="1">
      <alignment horizontal="left" vertical="center"/>
    </xf>
    <xf numFmtId="4" fontId="3" fillId="7" borderId="0" xfId="0" applyNumberFormat="1" applyFont="1" applyFill="1" applyAlignment="1">
      <alignment horizontal="right" vertical="center" indent="3"/>
    </xf>
    <xf numFmtId="9" fontId="3" fillId="7" borderId="0" xfId="1" applyFont="1" applyFill="1" applyBorder="1" applyAlignment="1">
      <alignment horizontal="right" vertical="center" indent="3"/>
    </xf>
    <xf numFmtId="4" fontId="3" fillId="7" borderId="5" xfId="0" applyNumberFormat="1" applyFont="1" applyFill="1" applyBorder="1" applyAlignment="1">
      <alignment horizontal="right" vertical="center" indent="3"/>
    </xf>
    <xf numFmtId="4" fontId="3" fillId="7" borderId="7" xfId="0" applyNumberFormat="1" applyFont="1" applyFill="1" applyBorder="1" applyAlignment="1">
      <alignment horizontal="right" vertical="center" indent="3"/>
    </xf>
    <xf numFmtId="3" fontId="3" fillId="7" borderId="7" xfId="0" applyNumberFormat="1" applyFont="1" applyFill="1" applyBorder="1" applyAlignment="1">
      <alignment horizontal="right" vertical="center" indent="3"/>
    </xf>
    <xf numFmtId="9" fontId="3" fillId="7" borderId="7" xfId="1" applyFont="1" applyFill="1" applyBorder="1" applyAlignment="1">
      <alignment horizontal="right" vertical="center" indent="3"/>
    </xf>
    <xf numFmtId="4" fontId="3" fillId="7" borderId="8" xfId="0" applyNumberFormat="1" applyFont="1" applyFill="1" applyBorder="1" applyAlignment="1">
      <alignment horizontal="right" vertical="center" indent="3"/>
    </xf>
    <xf numFmtId="0" fontId="5" fillId="7" borderId="1" xfId="0" applyFont="1" applyFill="1" applyBorder="1"/>
    <xf numFmtId="0" fontId="2" fillId="7" borderId="2" xfId="0" applyFont="1" applyFill="1" applyBorder="1" applyAlignment="1">
      <alignment horizontal="left" vertical="center"/>
    </xf>
    <xf numFmtId="0" fontId="2" fillId="7" borderId="3" xfId="0" applyFont="1" applyFill="1" applyBorder="1" applyAlignment="1">
      <alignment horizontal="left" vertical="center"/>
    </xf>
    <xf numFmtId="0" fontId="8" fillId="7" borderId="0" xfId="0" applyFont="1" applyFill="1" applyAlignment="1">
      <alignment horizontal="left" vertical="center"/>
    </xf>
    <xf numFmtId="2" fontId="6" fillId="7" borderId="4" xfId="0" applyNumberFormat="1" applyFont="1" applyFill="1" applyBorder="1"/>
    <xf numFmtId="164" fontId="5" fillId="7" borderId="0" xfId="1" applyNumberFormat="1" applyFont="1" applyFill="1" applyBorder="1"/>
    <xf numFmtId="164" fontId="5" fillId="7" borderId="5" xfId="1" applyNumberFormat="1" applyFont="1" applyFill="1" applyBorder="1"/>
    <xf numFmtId="3" fontId="5" fillId="7" borderId="4" xfId="0" applyNumberFormat="1" applyFont="1" applyFill="1" applyBorder="1"/>
    <xf numFmtId="165" fontId="1" fillId="7" borderId="0" xfId="2" applyNumberFormat="1" applyFont="1" applyFill="1" applyBorder="1" applyAlignment="1">
      <alignment horizontal="left" vertical="center"/>
    </xf>
    <xf numFmtId="165" fontId="1" fillId="7" borderId="5" xfId="2" applyNumberFormat="1" applyFont="1" applyFill="1" applyBorder="1" applyAlignment="1">
      <alignment horizontal="left" vertical="center"/>
    </xf>
    <xf numFmtId="2" fontId="3" fillId="7" borderId="0" xfId="0" applyNumberFormat="1" applyFont="1" applyFill="1" applyAlignment="1">
      <alignment horizontal="left" vertical="center"/>
    </xf>
    <xf numFmtId="165" fontId="8" fillId="7" borderId="0" xfId="2" applyNumberFormat="1" applyFont="1" applyFill="1" applyBorder="1" applyAlignment="1">
      <alignment horizontal="left" vertical="center"/>
    </xf>
    <xf numFmtId="3" fontId="5" fillId="7" borderId="6" xfId="0" applyNumberFormat="1" applyFont="1" applyFill="1" applyBorder="1"/>
    <xf numFmtId="165" fontId="1" fillId="7" borderId="7" xfId="2" applyNumberFormat="1" applyFont="1" applyFill="1" applyBorder="1" applyAlignment="1">
      <alignment horizontal="left" vertical="center"/>
    </xf>
    <xf numFmtId="165" fontId="1" fillId="7" borderId="8" xfId="2" applyNumberFormat="1" applyFont="1" applyFill="1" applyBorder="1" applyAlignment="1">
      <alignment horizontal="left" vertical="center"/>
    </xf>
    <xf numFmtId="0" fontId="0" fillId="7" borderId="0" xfId="0" applyFill="1"/>
    <xf numFmtId="2" fontId="5" fillId="7" borderId="11" xfId="0" applyNumberFormat="1" applyFont="1" applyFill="1" applyBorder="1"/>
    <xf numFmtId="2" fontId="5" fillId="7" borderId="10" xfId="0" applyNumberFormat="1" applyFont="1" applyFill="1" applyBorder="1"/>
    <xf numFmtId="164" fontId="5" fillId="7" borderId="6" xfId="1" applyNumberFormat="1" applyFont="1" applyFill="1" applyBorder="1"/>
    <xf numFmtId="164" fontId="5" fillId="7" borderId="7" xfId="1" applyNumberFormat="1" applyFont="1" applyFill="1" applyBorder="1"/>
    <xf numFmtId="164" fontId="5" fillId="7" borderId="8" xfId="1" applyNumberFormat="1" applyFont="1" applyFill="1" applyBorder="1"/>
    <xf numFmtId="3" fontId="3" fillId="7" borderId="3" xfId="0" applyNumberFormat="1" applyFont="1" applyFill="1" applyBorder="1" applyAlignment="1">
      <alignment horizontal="right" vertical="center" indent="9"/>
    </xf>
    <xf numFmtId="0" fontId="2" fillId="7" borderId="12" xfId="0" applyFont="1" applyFill="1" applyBorder="1"/>
    <xf numFmtId="0" fontId="2" fillId="7" borderId="13" xfId="0" applyFont="1" applyFill="1" applyBorder="1"/>
    <xf numFmtId="0" fontId="2" fillId="7" borderId="14" xfId="0" applyFont="1" applyFill="1" applyBorder="1"/>
    <xf numFmtId="0" fontId="13" fillId="2" borderId="16" xfId="4" applyFont="1" applyFill="1" applyBorder="1"/>
    <xf numFmtId="0" fontId="15" fillId="2" borderId="16" xfId="3" applyFont="1" applyFill="1" applyBorder="1" applyAlignment="1">
      <alignment horizontal="left"/>
    </xf>
    <xf numFmtId="0" fontId="10" fillId="7" borderId="16" xfId="4" applyFont="1" applyFill="1" applyBorder="1" applyAlignment="1">
      <alignment vertical="top"/>
    </xf>
    <xf numFmtId="0" fontId="10" fillId="7" borderId="0" xfId="4" applyFont="1" applyFill="1" applyAlignment="1">
      <alignment vertical="top" wrapText="1"/>
    </xf>
    <xf numFmtId="0" fontId="10" fillId="7" borderId="0" xfId="4" applyFont="1" applyFill="1" applyAlignment="1">
      <alignment vertical="top"/>
    </xf>
    <xf numFmtId="0" fontId="10" fillId="7" borderId="0" xfId="4" applyFont="1" applyFill="1" applyAlignment="1">
      <alignment horizontal="left" vertical="top" wrapText="1"/>
    </xf>
    <xf numFmtId="0" fontId="13" fillId="7" borderId="0" xfId="4" applyFont="1" applyFill="1" applyAlignment="1">
      <alignment horizontal="left" vertical="top"/>
    </xf>
    <xf numFmtId="0" fontId="10" fillId="7" borderId="17" xfId="4" applyFont="1" applyFill="1" applyBorder="1" applyAlignment="1">
      <alignment horizontal="left" vertical="top" wrapText="1"/>
    </xf>
    <xf numFmtId="0" fontId="16" fillId="7" borderId="0" xfId="5" applyFill="1" applyAlignment="1">
      <alignment horizontal="left" vertical="top" wrapText="1"/>
    </xf>
    <xf numFmtId="0" fontId="15" fillId="2" borderId="16" xfId="3" applyFont="1" applyFill="1" applyBorder="1" applyAlignment="1">
      <alignment horizontal="left" vertical="center"/>
    </xf>
    <xf numFmtId="0" fontId="12" fillId="5" borderId="4" xfId="4" applyFont="1" applyFill="1" applyBorder="1" applyAlignment="1">
      <alignment horizontal="center"/>
    </xf>
    <xf numFmtId="0" fontId="12" fillId="5" borderId="0" xfId="4" applyFont="1" applyFill="1" applyAlignment="1">
      <alignment horizontal="center"/>
    </xf>
    <xf numFmtId="0" fontId="13" fillId="7" borderId="0" xfId="4" applyFont="1" applyFill="1" applyAlignment="1">
      <alignment horizontal="right"/>
    </xf>
    <xf numFmtId="0" fontId="14" fillId="7" borderId="0" xfId="4" applyFont="1" applyFill="1" applyAlignment="1">
      <alignment horizontal="left" vertical="top" wrapText="1"/>
    </xf>
    <xf numFmtId="0" fontId="5" fillId="7" borderId="1" xfId="0" applyFont="1" applyFill="1" applyBorder="1" applyAlignment="1">
      <alignment horizontal="center"/>
    </xf>
    <xf numFmtId="0" fontId="5" fillId="7" borderId="2" xfId="0" applyFont="1" applyFill="1" applyBorder="1" applyAlignment="1">
      <alignment horizontal="center"/>
    </xf>
    <xf numFmtId="0" fontId="5" fillId="7" borderId="3" xfId="0" applyFont="1" applyFill="1" applyBorder="1" applyAlignment="1">
      <alignment horizontal="center"/>
    </xf>
    <xf numFmtId="0" fontId="5" fillId="7" borderId="1" xfId="0" applyFont="1" applyFill="1" applyBorder="1" applyAlignment="1">
      <alignment horizontal="center" vertical="center"/>
    </xf>
    <xf numFmtId="0" fontId="5" fillId="7" borderId="6" xfId="0" applyFont="1" applyFill="1" applyBorder="1" applyAlignment="1">
      <alignment horizontal="center" vertical="center"/>
    </xf>
    <xf numFmtId="0" fontId="5" fillId="7" borderId="9" xfId="0" applyFont="1" applyFill="1" applyBorder="1" applyAlignment="1">
      <alignment horizontal="center" vertical="center"/>
    </xf>
    <xf numFmtId="0" fontId="5" fillId="7" borderId="10" xfId="0" applyFont="1" applyFill="1" applyBorder="1" applyAlignment="1">
      <alignment horizontal="center" vertical="center"/>
    </xf>
    <xf numFmtId="0" fontId="5" fillId="7" borderId="9" xfId="0" applyFont="1" applyFill="1" applyBorder="1" applyAlignment="1">
      <alignment horizontal="center" vertical="center" wrapText="1"/>
    </xf>
    <xf numFmtId="0" fontId="5" fillId="7" borderId="11" xfId="0" applyFont="1" applyFill="1" applyBorder="1" applyAlignment="1">
      <alignment horizontal="center" vertical="center" wrapText="1"/>
    </xf>
  </cellXfs>
  <cellStyles count="6">
    <cellStyle name="Currency" xfId="2" builtinId="4"/>
    <cellStyle name="Hyperlink" xfId="5" builtinId="8"/>
    <cellStyle name="Normal" xfId="0" builtinId="0"/>
    <cellStyle name="Normal 2 2 2" xfId="4" xr:uid="{6A82FB00-6B22-46FF-A6BE-37DC602682A8}"/>
    <cellStyle name="Output" xfId="3" builtinId="21"/>
    <cellStyle name="Percent" xfId="1" builtinId="5"/>
  </cellStyles>
  <dxfs count="1">
    <dxf>
      <fill>
        <patternFill>
          <bgColor theme="9"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v>Total Cost ($/acre)</c:v>
          </c:tx>
          <c:spPr>
            <a:ln w="28575" cap="rnd">
              <a:solidFill>
                <a:schemeClr val="accent1"/>
              </a:solidFill>
              <a:round/>
            </a:ln>
            <a:effectLst/>
          </c:spPr>
          <c:marker>
            <c:symbol val="none"/>
          </c:marker>
          <c:cat>
            <c:numRef>
              <c:f>Model!$K$7:$K$148</c:f>
              <c:numCache>
                <c:formatCode>#,##0</c:formatCode>
                <c:ptCount val="142"/>
                <c:pt idx="0">
                  <c:v>300</c:v>
                </c:pt>
                <c:pt idx="1">
                  <c:v>350</c:v>
                </c:pt>
                <c:pt idx="2">
                  <c:v>400</c:v>
                </c:pt>
                <c:pt idx="3">
                  <c:v>450</c:v>
                </c:pt>
                <c:pt idx="4">
                  <c:v>500</c:v>
                </c:pt>
                <c:pt idx="5">
                  <c:v>550</c:v>
                </c:pt>
                <c:pt idx="6">
                  <c:v>600</c:v>
                </c:pt>
                <c:pt idx="7">
                  <c:v>650</c:v>
                </c:pt>
                <c:pt idx="8">
                  <c:v>700</c:v>
                </c:pt>
                <c:pt idx="9">
                  <c:v>750</c:v>
                </c:pt>
                <c:pt idx="10">
                  <c:v>800</c:v>
                </c:pt>
                <c:pt idx="11">
                  <c:v>850</c:v>
                </c:pt>
                <c:pt idx="12">
                  <c:v>900</c:v>
                </c:pt>
                <c:pt idx="13">
                  <c:v>950</c:v>
                </c:pt>
                <c:pt idx="14">
                  <c:v>1000</c:v>
                </c:pt>
                <c:pt idx="15">
                  <c:v>1050</c:v>
                </c:pt>
                <c:pt idx="16">
                  <c:v>1100</c:v>
                </c:pt>
                <c:pt idx="17">
                  <c:v>1150</c:v>
                </c:pt>
                <c:pt idx="18">
                  <c:v>1200</c:v>
                </c:pt>
                <c:pt idx="19">
                  <c:v>1250</c:v>
                </c:pt>
                <c:pt idx="20">
                  <c:v>1300</c:v>
                </c:pt>
                <c:pt idx="21">
                  <c:v>1350</c:v>
                </c:pt>
                <c:pt idx="22">
                  <c:v>1400</c:v>
                </c:pt>
                <c:pt idx="23">
                  <c:v>1450</c:v>
                </c:pt>
                <c:pt idx="24">
                  <c:v>1500</c:v>
                </c:pt>
                <c:pt idx="25">
                  <c:v>1550</c:v>
                </c:pt>
                <c:pt idx="26">
                  <c:v>1600</c:v>
                </c:pt>
                <c:pt idx="27">
                  <c:v>1650</c:v>
                </c:pt>
                <c:pt idx="28">
                  <c:v>1700</c:v>
                </c:pt>
                <c:pt idx="29">
                  <c:v>1750</c:v>
                </c:pt>
                <c:pt idx="30">
                  <c:v>1800</c:v>
                </c:pt>
                <c:pt idx="31">
                  <c:v>1850</c:v>
                </c:pt>
                <c:pt idx="32">
                  <c:v>1900</c:v>
                </c:pt>
                <c:pt idx="33">
                  <c:v>1950</c:v>
                </c:pt>
                <c:pt idx="34">
                  <c:v>2000</c:v>
                </c:pt>
                <c:pt idx="35">
                  <c:v>2050</c:v>
                </c:pt>
                <c:pt idx="36">
                  <c:v>2100</c:v>
                </c:pt>
                <c:pt idx="37">
                  <c:v>2150</c:v>
                </c:pt>
                <c:pt idx="38">
                  <c:v>2200</c:v>
                </c:pt>
                <c:pt idx="39">
                  <c:v>2250</c:v>
                </c:pt>
                <c:pt idx="40">
                  <c:v>2300</c:v>
                </c:pt>
                <c:pt idx="41">
                  <c:v>2350</c:v>
                </c:pt>
                <c:pt idx="42">
                  <c:v>2400</c:v>
                </c:pt>
                <c:pt idx="43">
                  <c:v>2450</c:v>
                </c:pt>
                <c:pt idx="44">
                  <c:v>2500</c:v>
                </c:pt>
                <c:pt idx="45">
                  <c:v>2550</c:v>
                </c:pt>
                <c:pt idx="46">
                  <c:v>2600</c:v>
                </c:pt>
                <c:pt idx="47">
                  <c:v>2650</c:v>
                </c:pt>
                <c:pt idx="48">
                  <c:v>2700</c:v>
                </c:pt>
                <c:pt idx="49">
                  <c:v>2750</c:v>
                </c:pt>
                <c:pt idx="50">
                  <c:v>2800</c:v>
                </c:pt>
                <c:pt idx="51">
                  <c:v>2850</c:v>
                </c:pt>
                <c:pt idx="52">
                  <c:v>2900</c:v>
                </c:pt>
                <c:pt idx="53">
                  <c:v>2950</c:v>
                </c:pt>
                <c:pt idx="54">
                  <c:v>3000</c:v>
                </c:pt>
                <c:pt idx="55">
                  <c:v>3050</c:v>
                </c:pt>
                <c:pt idx="56">
                  <c:v>3100</c:v>
                </c:pt>
                <c:pt idx="57">
                  <c:v>3150</c:v>
                </c:pt>
                <c:pt idx="58">
                  <c:v>3200</c:v>
                </c:pt>
                <c:pt idx="59">
                  <c:v>3250</c:v>
                </c:pt>
                <c:pt idx="60">
                  <c:v>3300</c:v>
                </c:pt>
                <c:pt idx="61">
                  <c:v>3350</c:v>
                </c:pt>
                <c:pt idx="62">
                  <c:v>3400</c:v>
                </c:pt>
                <c:pt idx="63">
                  <c:v>3450</c:v>
                </c:pt>
                <c:pt idx="64">
                  <c:v>3500</c:v>
                </c:pt>
                <c:pt idx="65">
                  <c:v>3550</c:v>
                </c:pt>
                <c:pt idx="66">
                  <c:v>3600</c:v>
                </c:pt>
                <c:pt idx="67">
                  <c:v>3650</c:v>
                </c:pt>
                <c:pt idx="68">
                  <c:v>3700</c:v>
                </c:pt>
                <c:pt idx="69">
                  <c:v>3750</c:v>
                </c:pt>
                <c:pt idx="70">
                  <c:v>3800</c:v>
                </c:pt>
                <c:pt idx="71">
                  <c:v>3850</c:v>
                </c:pt>
                <c:pt idx="72">
                  <c:v>3900</c:v>
                </c:pt>
                <c:pt idx="73">
                  <c:v>3950</c:v>
                </c:pt>
                <c:pt idx="74">
                  <c:v>4000</c:v>
                </c:pt>
                <c:pt idx="75">
                  <c:v>4050</c:v>
                </c:pt>
                <c:pt idx="76">
                  <c:v>4100</c:v>
                </c:pt>
                <c:pt idx="77">
                  <c:v>4150</c:v>
                </c:pt>
                <c:pt idx="78">
                  <c:v>4200</c:v>
                </c:pt>
                <c:pt idx="79">
                  <c:v>4250</c:v>
                </c:pt>
                <c:pt idx="80">
                  <c:v>4300</c:v>
                </c:pt>
                <c:pt idx="81">
                  <c:v>4350</c:v>
                </c:pt>
                <c:pt idx="82">
                  <c:v>4400</c:v>
                </c:pt>
                <c:pt idx="83">
                  <c:v>4450</c:v>
                </c:pt>
                <c:pt idx="84">
                  <c:v>4500</c:v>
                </c:pt>
                <c:pt idx="85">
                  <c:v>4550</c:v>
                </c:pt>
                <c:pt idx="86">
                  <c:v>4600</c:v>
                </c:pt>
                <c:pt idx="87">
                  <c:v>4650</c:v>
                </c:pt>
                <c:pt idx="88">
                  <c:v>4700</c:v>
                </c:pt>
                <c:pt idx="89">
                  <c:v>4750</c:v>
                </c:pt>
                <c:pt idx="90">
                  <c:v>4800</c:v>
                </c:pt>
                <c:pt idx="91">
                  <c:v>4850</c:v>
                </c:pt>
                <c:pt idx="92">
                  <c:v>4900</c:v>
                </c:pt>
                <c:pt idx="93">
                  <c:v>4950</c:v>
                </c:pt>
                <c:pt idx="94">
                  <c:v>5000</c:v>
                </c:pt>
                <c:pt idx="95">
                  <c:v>5050</c:v>
                </c:pt>
                <c:pt idx="96">
                  <c:v>5100</c:v>
                </c:pt>
                <c:pt idx="97">
                  <c:v>5150</c:v>
                </c:pt>
                <c:pt idx="98">
                  <c:v>5200</c:v>
                </c:pt>
                <c:pt idx="99">
                  <c:v>5250</c:v>
                </c:pt>
                <c:pt idx="100">
                  <c:v>5300</c:v>
                </c:pt>
                <c:pt idx="101">
                  <c:v>5350</c:v>
                </c:pt>
                <c:pt idx="102">
                  <c:v>5400</c:v>
                </c:pt>
                <c:pt idx="103">
                  <c:v>5450</c:v>
                </c:pt>
                <c:pt idx="104">
                  <c:v>5500</c:v>
                </c:pt>
                <c:pt idx="105">
                  <c:v>5550</c:v>
                </c:pt>
                <c:pt idx="106">
                  <c:v>5600</c:v>
                </c:pt>
                <c:pt idx="107">
                  <c:v>5650</c:v>
                </c:pt>
                <c:pt idx="108">
                  <c:v>5700</c:v>
                </c:pt>
                <c:pt idx="109">
                  <c:v>5750</c:v>
                </c:pt>
                <c:pt idx="110">
                  <c:v>5800</c:v>
                </c:pt>
                <c:pt idx="111">
                  <c:v>5850</c:v>
                </c:pt>
                <c:pt idx="112">
                  <c:v>5900</c:v>
                </c:pt>
                <c:pt idx="113">
                  <c:v>5950</c:v>
                </c:pt>
                <c:pt idx="114">
                  <c:v>6000</c:v>
                </c:pt>
                <c:pt idx="115">
                  <c:v>6050</c:v>
                </c:pt>
                <c:pt idx="116">
                  <c:v>6100</c:v>
                </c:pt>
                <c:pt idx="117">
                  <c:v>6150</c:v>
                </c:pt>
                <c:pt idx="118">
                  <c:v>6200</c:v>
                </c:pt>
                <c:pt idx="119">
                  <c:v>6250</c:v>
                </c:pt>
                <c:pt idx="120">
                  <c:v>6300</c:v>
                </c:pt>
                <c:pt idx="121">
                  <c:v>6350</c:v>
                </c:pt>
                <c:pt idx="122">
                  <c:v>6400</c:v>
                </c:pt>
                <c:pt idx="123">
                  <c:v>6450</c:v>
                </c:pt>
                <c:pt idx="124">
                  <c:v>6500</c:v>
                </c:pt>
                <c:pt idx="125">
                  <c:v>6550</c:v>
                </c:pt>
                <c:pt idx="126">
                  <c:v>6600</c:v>
                </c:pt>
                <c:pt idx="127">
                  <c:v>6650</c:v>
                </c:pt>
                <c:pt idx="128">
                  <c:v>6700</c:v>
                </c:pt>
                <c:pt idx="129">
                  <c:v>6750</c:v>
                </c:pt>
                <c:pt idx="130">
                  <c:v>6800</c:v>
                </c:pt>
                <c:pt idx="131">
                  <c:v>6850</c:v>
                </c:pt>
                <c:pt idx="132">
                  <c:v>6900</c:v>
                </c:pt>
                <c:pt idx="133">
                  <c:v>6950</c:v>
                </c:pt>
                <c:pt idx="134">
                  <c:v>7000</c:v>
                </c:pt>
                <c:pt idx="135">
                  <c:v>7050</c:v>
                </c:pt>
                <c:pt idx="136">
                  <c:v>7100</c:v>
                </c:pt>
                <c:pt idx="137">
                  <c:v>7150</c:v>
                </c:pt>
                <c:pt idx="138">
                  <c:v>7200</c:v>
                </c:pt>
                <c:pt idx="139">
                  <c:v>7250</c:v>
                </c:pt>
                <c:pt idx="140">
                  <c:v>7300</c:v>
                </c:pt>
                <c:pt idx="141">
                  <c:v>7350</c:v>
                </c:pt>
              </c:numCache>
            </c:numRef>
          </c:cat>
          <c:val>
            <c:numRef>
              <c:f>Model!$Z$7:$Z$148</c:f>
            </c:numRef>
          </c:val>
          <c:smooth val="0"/>
          <c:extLst>
            <c:ext xmlns:c16="http://schemas.microsoft.com/office/drawing/2014/chart" uri="{C3380CC4-5D6E-409C-BE32-E72D297353CC}">
              <c16:uniqueId val="{00000000-B5F9-400A-AA95-D02C6EA2B449}"/>
            </c:ext>
          </c:extLst>
        </c:ser>
        <c:ser>
          <c:idx val="2"/>
          <c:order val="2"/>
          <c:tx>
            <c:strRef>
              <c:f>Model!$Y$2</c:f>
              <c:strCache>
                <c:ptCount val="1"/>
                <c:pt idx="0">
                  <c:v>Target application cost</c:v>
                </c:pt>
              </c:strCache>
            </c:strRef>
          </c:tx>
          <c:spPr>
            <a:ln w="28575" cap="rnd">
              <a:solidFill>
                <a:schemeClr val="accent3"/>
              </a:solidFill>
              <a:round/>
            </a:ln>
            <a:effectLst/>
          </c:spPr>
          <c:marker>
            <c:symbol val="none"/>
          </c:marker>
          <c:cat>
            <c:numRef>
              <c:f>Model!$K$7:$K$148</c:f>
              <c:numCache>
                <c:formatCode>#,##0</c:formatCode>
                <c:ptCount val="142"/>
                <c:pt idx="0">
                  <c:v>300</c:v>
                </c:pt>
                <c:pt idx="1">
                  <c:v>350</c:v>
                </c:pt>
                <c:pt idx="2">
                  <c:v>400</c:v>
                </c:pt>
                <c:pt idx="3">
                  <c:v>450</c:v>
                </c:pt>
                <c:pt idx="4">
                  <c:v>500</c:v>
                </c:pt>
                <c:pt idx="5">
                  <c:v>550</c:v>
                </c:pt>
                <c:pt idx="6">
                  <c:v>600</c:v>
                </c:pt>
                <c:pt idx="7">
                  <c:v>650</c:v>
                </c:pt>
                <c:pt idx="8">
                  <c:v>700</c:v>
                </c:pt>
                <c:pt idx="9">
                  <c:v>750</c:v>
                </c:pt>
                <c:pt idx="10">
                  <c:v>800</c:v>
                </c:pt>
                <c:pt idx="11">
                  <c:v>850</c:v>
                </c:pt>
                <c:pt idx="12">
                  <c:v>900</c:v>
                </c:pt>
                <c:pt idx="13">
                  <c:v>950</c:v>
                </c:pt>
                <c:pt idx="14">
                  <c:v>1000</c:v>
                </c:pt>
                <c:pt idx="15">
                  <c:v>1050</c:v>
                </c:pt>
                <c:pt idx="16">
                  <c:v>1100</c:v>
                </c:pt>
                <c:pt idx="17">
                  <c:v>1150</c:v>
                </c:pt>
                <c:pt idx="18">
                  <c:v>1200</c:v>
                </c:pt>
                <c:pt idx="19">
                  <c:v>1250</c:v>
                </c:pt>
                <c:pt idx="20">
                  <c:v>1300</c:v>
                </c:pt>
                <c:pt idx="21">
                  <c:v>1350</c:v>
                </c:pt>
                <c:pt idx="22">
                  <c:v>1400</c:v>
                </c:pt>
                <c:pt idx="23">
                  <c:v>1450</c:v>
                </c:pt>
                <c:pt idx="24">
                  <c:v>1500</c:v>
                </c:pt>
                <c:pt idx="25">
                  <c:v>1550</c:v>
                </c:pt>
                <c:pt idx="26">
                  <c:v>1600</c:v>
                </c:pt>
                <c:pt idx="27">
                  <c:v>1650</c:v>
                </c:pt>
                <c:pt idx="28">
                  <c:v>1700</c:v>
                </c:pt>
                <c:pt idx="29">
                  <c:v>1750</c:v>
                </c:pt>
                <c:pt idx="30">
                  <c:v>1800</c:v>
                </c:pt>
                <c:pt idx="31">
                  <c:v>1850</c:v>
                </c:pt>
                <c:pt idx="32">
                  <c:v>1900</c:v>
                </c:pt>
                <c:pt idx="33">
                  <c:v>1950</c:v>
                </c:pt>
                <c:pt idx="34">
                  <c:v>2000</c:v>
                </c:pt>
                <c:pt idx="35">
                  <c:v>2050</c:v>
                </c:pt>
                <c:pt idx="36">
                  <c:v>2100</c:v>
                </c:pt>
                <c:pt idx="37">
                  <c:v>2150</c:v>
                </c:pt>
                <c:pt idx="38">
                  <c:v>2200</c:v>
                </c:pt>
                <c:pt idx="39">
                  <c:v>2250</c:v>
                </c:pt>
                <c:pt idx="40">
                  <c:v>2300</c:v>
                </c:pt>
                <c:pt idx="41">
                  <c:v>2350</c:v>
                </c:pt>
                <c:pt idx="42">
                  <c:v>2400</c:v>
                </c:pt>
                <c:pt idx="43">
                  <c:v>2450</c:v>
                </c:pt>
                <c:pt idx="44">
                  <c:v>2500</c:v>
                </c:pt>
                <c:pt idx="45">
                  <c:v>2550</c:v>
                </c:pt>
                <c:pt idx="46">
                  <c:v>2600</c:v>
                </c:pt>
                <c:pt idx="47">
                  <c:v>2650</c:v>
                </c:pt>
                <c:pt idx="48">
                  <c:v>2700</c:v>
                </c:pt>
                <c:pt idx="49">
                  <c:v>2750</c:v>
                </c:pt>
                <c:pt idx="50">
                  <c:v>2800</c:v>
                </c:pt>
                <c:pt idx="51">
                  <c:v>2850</c:v>
                </c:pt>
                <c:pt idx="52">
                  <c:v>2900</c:v>
                </c:pt>
                <c:pt idx="53">
                  <c:v>2950</c:v>
                </c:pt>
                <c:pt idx="54">
                  <c:v>3000</c:v>
                </c:pt>
                <c:pt idx="55">
                  <c:v>3050</c:v>
                </c:pt>
                <c:pt idx="56">
                  <c:v>3100</c:v>
                </c:pt>
                <c:pt idx="57">
                  <c:v>3150</c:v>
                </c:pt>
                <c:pt idx="58">
                  <c:v>3200</c:v>
                </c:pt>
                <c:pt idx="59">
                  <c:v>3250</c:v>
                </c:pt>
                <c:pt idx="60">
                  <c:v>3300</c:v>
                </c:pt>
                <c:pt idx="61">
                  <c:v>3350</c:v>
                </c:pt>
                <c:pt idx="62">
                  <c:v>3400</c:v>
                </c:pt>
                <c:pt idx="63">
                  <c:v>3450</c:v>
                </c:pt>
                <c:pt idx="64">
                  <c:v>3500</c:v>
                </c:pt>
                <c:pt idx="65">
                  <c:v>3550</c:v>
                </c:pt>
                <c:pt idx="66">
                  <c:v>3600</c:v>
                </c:pt>
                <c:pt idx="67">
                  <c:v>3650</c:v>
                </c:pt>
                <c:pt idx="68">
                  <c:v>3700</c:v>
                </c:pt>
                <c:pt idx="69">
                  <c:v>3750</c:v>
                </c:pt>
                <c:pt idx="70">
                  <c:v>3800</c:v>
                </c:pt>
                <c:pt idx="71">
                  <c:v>3850</c:v>
                </c:pt>
                <c:pt idx="72">
                  <c:v>3900</c:v>
                </c:pt>
                <c:pt idx="73">
                  <c:v>3950</c:v>
                </c:pt>
                <c:pt idx="74">
                  <c:v>4000</c:v>
                </c:pt>
                <c:pt idx="75">
                  <c:v>4050</c:v>
                </c:pt>
                <c:pt idx="76">
                  <c:v>4100</c:v>
                </c:pt>
                <c:pt idx="77">
                  <c:v>4150</c:v>
                </c:pt>
                <c:pt idx="78">
                  <c:v>4200</c:v>
                </c:pt>
                <c:pt idx="79">
                  <c:v>4250</c:v>
                </c:pt>
                <c:pt idx="80">
                  <c:v>4300</c:v>
                </c:pt>
                <c:pt idx="81">
                  <c:v>4350</c:v>
                </c:pt>
                <c:pt idx="82">
                  <c:v>4400</c:v>
                </c:pt>
                <c:pt idx="83">
                  <c:v>4450</c:v>
                </c:pt>
                <c:pt idx="84">
                  <c:v>4500</c:v>
                </c:pt>
                <c:pt idx="85">
                  <c:v>4550</c:v>
                </c:pt>
                <c:pt idx="86">
                  <c:v>4600</c:v>
                </c:pt>
                <c:pt idx="87">
                  <c:v>4650</c:v>
                </c:pt>
                <c:pt idx="88">
                  <c:v>4700</c:v>
                </c:pt>
                <c:pt idx="89">
                  <c:v>4750</c:v>
                </c:pt>
                <c:pt idx="90">
                  <c:v>4800</c:v>
                </c:pt>
                <c:pt idx="91">
                  <c:v>4850</c:v>
                </c:pt>
                <c:pt idx="92">
                  <c:v>4900</c:v>
                </c:pt>
                <c:pt idx="93">
                  <c:v>4950</c:v>
                </c:pt>
                <c:pt idx="94">
                  <c:v>5000</c:v>
                </c:pt>
                <c:pt idx="95">
                  <c:v>5050</c:v>
                </c:pt>
                <c:pt idx="96">
                  <c:v>5100</c:v>
                </c:pt>
                <c:pt idx="97">
                  <c:v>5150</c:v>
                </c:pt>
                <c:pt idx="98">
                  <c:v>5200</c:v>
                </c:pt>
                <c:pt idx="99">
                  <c:v>5250</c:v>
                </c:pt>
                <c:pt idx="100">
                  <c:v>5300</c:v>
                </c:pt>
                <c:pt idx="101">
                  <c:v>5350</c:v>
                </c:pt>
                <c:pt idx="102">
                  <c:v>5400</c:v>
                </c:pt>
                <c:pt idx="103">
                  <c:v>5450</c:v>
                </c:pt>
                <c:pt idx="104">
                  <c:v>5500</c:v>
                </c:pt>
                <c:pt idx="105">
                  <c:v>5550</c:v>
                </c:pt>
                <c:pt idx="106">
                  <c:v>5600</c:v>
                </c:pt>
                <c:pt idx="107">
                  <c:v>5650</c:v>
                </c:pt>
                <c:pt idx="108">
                  <c:v>5700</c:v>
                </c:pt>
                <c:pt idx="109">
                  <c:v>5750</c:v>
                </c:pt>
                <c:pt idx="110">
                  <c:v>5800</c:v>
                </c:pt>
                <c:pt idx="111">
                  <c:v>5850</c:v>
                </c:pt>
                <c:pt idx="112">
                  <c:v>5900</c:v>
                </c:pt>
                <c:pt idx="113">
                  <c:v>5950</c:v>
                </c:pt>
                <c:pt idx="114">
                  <c:v>6000</c:v>
                </c:pt>
                <c:pt idx="115">
                  <c:v>6050</c:v>
                </c:pt>
                <c:pt idx="116">
                  <c:v>6100</c:v>
                </c:pt>
                <c:pt idx="117">
                  <c:v>6150</c:v>
                </c:pt>
                <c:pt idx="118">
                  <c:v>6200</c:v>
                </c:pt>
                <c:pt idx="119">
                  <c:v>6250</c:v>
                </c:pt>
                <c:pt idx="120">
                  <c:v>6300</c:v>
                </c:pt>
                <c:pt idx="121">
                  <c:v>6350</c:v>
                </c:pt>
                <c:pt idx="122">
                  <c:v>6400</c:v>
                </c:pt>
                <c:pt idx="123">
                  <c:v>6450</c:v>
                </c:pt>
                <c:pt idx="124">
                  <c:v>6500</c:v>
                </c:pt>
                <c:pt idx="125">
                  <c:v>6550</c:v>
                </c:pt>
                <c:pt idx="126">
                  <c:v>6600</c:v>
                </c:pt>
                <c:pt idx="127">
                  <c:v>6650</c:v>
                </c:pt>
                <c:pt idx="128">
                  <c:v>6700</c:v>
                </c:pt>
                <c:pt idx="129">
                  <c:v>6750</c:v>
                </c:pt>
                <c:pt idx="130">
                  <c:v>6800</c:v>
                </c:pt>
                <c:pt idx="131">
                  <c:v>6850</c:v>
                </c:pt>
                <c:pt idx="132">
                  <c:v>6900</c:v>
                </c:pt>
                <c:pt idx="133">
                  <c:v>6950</c:v>
                </c:pt>
                <c:pt idx="134">
                  <c:v>7000</c:v>
                </c:pt>
                <c:pt idx="135">
                  <c:v>7050</c:v>
                </c:pt>
                <c:pt idx="136">
                  <c:v>7100</c:v>
                </c:pt>
                <c:pt idx="137">
                  <c:v>7150</c:v>
                </c:pt>
                <c:pt idx="138">
                  <c:v>7200</c:v>
                </c:pt>
                <c:pt idx="139">
                  <c:v>7250</c:v>
                </c:pt>
                <c:pt idx="140">
                  <c:v>7300</c:v>
                </c:pt>
                <c:pt idx="141">
                  <c:v>7350</c:v>
                </c:pt>
              </c:numCache>
            </c:numRef>
          </c:cat>
          <c:val>
            <c:numRef>
              <c:f>Model!$Y$7:$Y$148</c:f>
            </c:numRef>
          </c:val>
          <c:smooth val="0"/>
          <c:extLst>
            <c:ext xmlns:c16="http://schemas.microsoft.com/office/drawing/2014/chart" uri="{C3380CC4-5D6E-409C-BE32-E72D297353CC}">
              <c16:uniqueId val="{00000000-4591-47D9-846D-0C11A6659B63}"/>
            </c:ext>
          </c:extLst>
        </c:ser>
        <c:dLbls>
          <c:showLegendKey val="0"/>
          <c:showVal val="0"/>
          <c:showCatName val="0"/>
          <c:showSerName val="0"/>
          <c:showPercent val="0"/>
          <c:showBubbleSize val="0"/>
        </c:dLbls>
        <c:marker val="1"/>
        <c:smooth val="0"/>
        <c:axId val="1092916463"/>
        <c:axId val="1092916943"/>
      </c:lineChart>
      <c:lineChart>
        <c:grouping val="standard"/>
        <c:varyColors val="0"/>
        <c:ser>
          <c:idx val="1"/>
          <c:order val="1"/>
          <c:tx>
            <c:v>Hours of application</c:v>
          </c:tx>
          <c:spPr>
            <a:ln w="28575" cap="rnd">
              <a:solidFill>
                <a:schemeClr val="accent2"/>
              </a:solidFill>
              <a:round/>
            </a:ln>
            <a:effectLst/>
          </c:spPr>
          <c:marker>
            <c:symbol val="none"/>
          </c:marker>
          <c:cat>
            <c:numLit>
              <c:formatCode>General</c:formatCode>
              <c:ptCount val="136"/>
              <c:pt idx="0">
                <c:v>300</c:v>
              </c:pt>
              <c:pt idx="1">
                <c:v>320</c:v>
              </c:pt>
              <c:pt idx="2">
                <c:v>340</c:v>
              </c:pt>
              <c:pt idx="3">
                <c:v>360</c:v>
              </c:pt>
              <c:pt idx="4">
                <c:v>380</c:v>
              </c:pt>
              <c:pt idx="5">
                <c:v>400</c:v>
              </c:pt>
              <c:pt idx="6">
                <c:v>420</c:v>
              </c:pt>
              <c:pt idx="7">
                <c:v>440</c:v>
              </c:pt>
              <c:pt idx="8">
                <c:v>460</c:v>
              </c:pt>
              <c:pt idx="9">
                <c:v>480</c:v>
              </c:pt>
              <c:pt idx="10">
                <c:v>500</c:v>
              </c:pt>
              <c:pt idx="11">
                <c:v>520</c:v>
              </c:pt>
              <c:pt idx="12">
                <c:v>540</c:v>
              </c:pt>
              <c:pt idx="13">
                <c:v>560</c:v>
              </c:pt>
              <c:pt idx="14">
                <c:v>580</c:v>
              </c:pt>
              <c:pt idx="15">
                <c:v>600</c:v>
              </c:pt>
              <c:pt idx="16">
                <c:v>620</c:v>
              </c:pt>
              <c:pt idx="17">
                <c:v>640</c:v>
              </c:pt>
              <c:pt idx="18">
                <c:v>660</c:v>
              </c:pt>
              <c:pt idx="19">
                <c:v>680</c:v>
              </c:pt>
              <c:pt idx="20">
                <c:v>700</c:v>
              </c:pt>
              <c:pt idx="21">
                <c:v>720</c:v>
              </c:pt>
              <c:pt idx="22">
                <c:v>740</c:v>
              </c:pt>
              <c:pt idx="23">
                <c:v>760</c:v>
              </c:pt>
              <c:pt idx="24">
                <c:v>780</c:v>
              </c:pt>
              <c:pt idx="25">
                <c:v>800</c:v>
              </c:pt>
              <c:pt idx="26">
                <c:v>820</c:v>
              </c:pt>
              <c:pt idx="27">
                <c:v>840</c:v>
              </c:pt>
              <c:pt idx="28">
                <c:v>860</c:v>
              </c:pt>
              <c:pt idx="29">
                <c:v>880</c:v>
              </c:pt>
              <c:pt idx="30">
                <c:v>900</c:v>
              </c:pt>
              <c:pt idx="31">
                <c:v>920</c:v>
              </c:pt>
              <c:pt idx="32">
                <c:v>940</c:v>
              </c:pt>
              <c:pt idx="33">
                <c:v>960</c:v>
              </c:pt>
              <c:pt idx="34">
                <c:v>980</c:v>
              </c:pt>
              <c:pt idx="35">
                <c:v>1000</c:v>
              </c:pt>
              <c:pt idx="36">
                <c:v>1020</c:v>
              </c:pt>
              <c:pt idx="37">
                <c:v>1040</c:v>
              </c:pt>
              <c:pt idx="38">
                <c:v>1060</c:v>
              </c:pt>
              <c:pt idx="39">
                <c:v>1080</c:v>
              </c:pt>
              <c:pt idx="40">
                <c:v>1100</c:v>
              </c:pt>
              <c:pt idx="41">
                <c:v>1120</c:v>
              </c:pt>
              <c:pt idx="42">
                <c:v>1140</c:v>
              </c:pt>
              <c:pt idx="43">
                <c:v>1160</c:v>
              </c:pt>
              <c:pt idx="44">
                <c:v>1180</c:v>
              </c:pt>
              <c:pt idx="45">
                <c:v>1200</c:v>
              </c:pt>
              <c:pt idx="46">
                <c:v>1220</c:v>
              </c:pt>
              <c:pt idx="47">
                <c:v>1240</c:v>
              </c:pt>
              <c:pt idx="48">
                <c:v>1260</c:v>
              </c:pt>
              <c:pt idx="49">
                <c:v>1280</c:v>
              </c:pt>
              <c:pt idx="50">
                <c:v>1300</c:v>
              </c:pt>
              <c:pt idx="51">
                <c:v>1320</c:v>
              </c:pt>
              <c:pt idx="52">
                <c:v>1340</c:v>
              </c:pt>
              <c:pt idx="53">
                <c:v>1360</c:v>
              </c:pt>
              <c:pt idx="54">
                <c:v>1380</c:v>
              </c:pt>
              <c:pt idx="55">
                <c:v>1400</c:v>
              </c:pt>
              <c:pt idx="56">
                <c:v>1420</c:v>
              </c:pt>
              <c:pt idx="57">
                <c:v>1440</c:v>
              </c:pt>
              <c:pt idx="58">
                <c:v>1460</c:v>
              </c:pt>
              <c:pt idx="59">
                <c:v>1480</c:v>
              </c:pt>
              <c:pt idx="60">
                <c:v>1500</c:v>
              </c:pt>
              <c:pt idx="61">
                <c:v>1520</c:v>
              </c:pt>
              <c:pt idx="62">
                <c:v>1540</c:v>
              </c:pt>
              <c:pt idx="63">
                <c:v>1560</c:v>
              </c:pt>
              <c:pt idx="64">
                <c:v>1580</c:v>
              </c:pt>
              <c:pt idx="65">
                <c:v>1600</c:v>
              </c:pt>
              <c:pt idx="66">
                <c:v>1620</c:v>
              </c:pt>
              <c:pt idx="67">
                <c:v>1640</c:v>
              </c:pt>
              <c:pt idx="68">
                <c:v>1660</c:v>
              </c:pt>
              <c:pt idx="69">
                <c:v>1680</c:v>
              </c:pt>
              <c:pt idx="70">
                <c:v>1700</c:v>
              </c:pt>
              <c:pt idx="71">
                <c:v>1720</c:v>
              </c:pt>
              <c:pt idx="72">
                <c:v>1740</c:v>
              </c:pt>
              <c:pt idx="73">
                <c:v>1760</c:v>
              </c:pt>
              <c:pt idx="74">
                <c:v>1780</c:v>
              </c:pt>
              <c:pt idx="75">
                <c:v>1800</c:v>
              </c:pt>
              <c:pt idx="76">
                <c:v>1820</c:v>
              </c:pt>
              <c:pt idx="77">
                <c:v>1840</c:v>
              </c:pt>
              <c:pt idx="78">
                <c:v>1860</c:v>
              </c:pt>
              <c:pt idx="79">
                <c:v>1880</c:v>
              </c:pt>
              <c:pt idx="80">
                <c:v>1900</c:v>
              </c:pt>
              <c:pt idx="81">
                <c:v>1920</c:v>
              </c:pt>
              <c:pt idx="82">
                <c:v>1940</c:v>
              </c:pt>
              <c:pt idx="83">
                <c:v>1960</c:v>
              </c:pt>
              <c:pt idx="84">
                <c:v>1980</c:v>
              </c:pt>
              <c:pt idx="85">
                <c:v>2000</c:v>
              </c:pt>
              <c:pt idx="86">
                <c:v>2020</c:v>
              </c:pt>
              <c:pt idx="87">
                <c:v>2040</c:v>
              </c:pt>
              <c:pt idx="88">
                <c:v>2060</c:v>
              </c:pt>
              <c:pt idx="89">
                <c:v>2080</c:v>
              </c:pt>
              <c:pt idx="90">
                <c:v>2100</c:v>
              </c:pt>
              <c:pt idx="91">
                <c:v>2120</c:v>
              </c:pt>
              <c:pt idx="92">
                <c:v>2140</c:v>
              </c:pt>
              <c:pt idx="93">
                <c:v>2160</c:v>
              </c:pt>
              <c:pt idx="94">
                <c:v>2180</c:v>
              </c:pt>
              <c:pt idx="95">
                <c:v>2200</c:v>
              </c:pt>
              <c:pt idx="96">
                <c:v>2220</c:v>
              </c:pt>
              <c:pt idx="97">
                <c:v>2240</c:v>
              </c:pt>
              <c:pt idx="98">
                <c:v>2260</c:v>
              </c:pt>
              <c:pt idx="99">
                <c:v>2280</c:v>
              </c:pt>
              <c:pt idx="100">
                <c:v>2300</c:v>
              </c:pt>
              <c:pt idx="101">
                <c:v>2320</c:v>
              </c:pt>
              <c:pt idx="102">
                <c:v>2340</c:v>
              </c:pt>
              <c:pt idx="103">
                <c:v>2360</c:v>
              </c:pt>
              <c:pt idx="104">
                <c:v>2380</c:v>
              </c:pt>
              <c:pt idx="105">
                <c:v>2400</c:v>
              </c:pt>
              <c:pt idx="106">
                <c:v>2420</c:v>
              </c:pt>
              <c:pt idx="107">
                <c:v>2440</c:v>
              </c:pt>
              <c:pt idx="108">
                <c:v>2460</c:v>
              </c:pt>
              <c:pt idx="109">
                <c:v>2480</c:v>
              </c:pt>
              <c:pt idx="110">
                <c:v>2500</c:v>
              </c:pt>
              <c:pt idx="111">
                <c:v>2520</c:v>
              </c:pt>
              <c:pt idx="112">
                <c:v>2540</c:v>
              </c:pt>
              <c:pt idx="113">
                <c:v>2560</c:v>
              </c:pt>
              <c:pt idx="114">
                <c:v>2580</c:v>
              </c:pt>
              <c:pt idx="115">
                <c:v>2600</c:v>
              </c:pt>
              <c:pt idx="116">
                <c:v>2620</c:v>
              </c:pt>
              <c:pt idx="117">
                <c:v>2640</c:v>
              </c:pt>
              <c:pt idx="118">
                <c:v>2660</c:v>
              </c:pt>
              <c:pt idx="119">
                <c:v>2680</c:v>
              </c:pt>
              <c:pt idx="120">
                <c:v>2700</c:v>
              </c:pt>
              <c:pt idx="121">
                <c:v>2720</c:v>
              </c:pt>
              <c:pt idx="122">
                <c:v>2740</c:v>
              </c:pt>
              <c:pt idx="123">
                <c:v>2760</c:v>
              </c:pt>
              <c:pt idx="124">
                <c:v>2780</c:v>
              </c:pt>
              <c:pt idx="125">
                <c:v>2800</c:v>
              </c:pt>
              <c:pt idx="126">
                <c:v>2820</c:v>
              </c:pt>
              <c:pt idx="127">
                <c:v>2840</c:v>
              </c:pt>
              <c:pt idx="128">
                <c:v>2860</c:v>
              </c:pt>
              <c:pt idx="129">
                <c:v>2880</c:v>
              </c:pt>
              <c:pt idx="130">
                <c:v>2900</c:v>
              </c:pt>
              <c:pt idx="131">
                <c:v>2920</c:v>
              </c:pt>
              <c:pt idx="132">
                <c:v>2940</c:v>
              </c:pt>
              <c:pt idx="133">
                <c:v>2960</c:v>
              </c:pt>
              <c:pt idx="134">
                <c:v>2980</c:v>
              </c:pt>
              <c:pt idx="135">
                <c:v>3000</c:v>
              </c:pt>
            </c:numLit>
          </c:cat>
          <c:val>
            <c:numRef>
              <c:f>Model!$J$7:$J$148</c:f>
              <c:numCache>
                <c:formatCode>0.00</c:formatCode>
                <c:ptCount val="142"/>
                <c:pt idx="0">
                  <c:v>5.7692307692307692</c:v>
                </c:pt>
                <c:pt idx="1">
                  <c:v>6.7307692307692308</c:v>
                </c:pt>
                <c:pt idx="2">
                  <c:v>7.6923076923076925</c:v>
                </c:pt>
                <c:pt idx="3">
                  <c:v>8.6538461538461533</c:v>
                </c:pt>
                <c:pt idx="4">
                  <c:v>9.615384615384615</c:v>
                </c:pt>
                <c:pt idx="5">
                  <c:v>10.576923076923077</c:v>
                </c:pt>
                <c:pt idx="6">
                  <c:v>11.538461538461538</c:v>
                </c:pt>
                <c:pt idx="7">
                  <c:v>12.5</c:v>
                </c:pt>
                <c:pt idx="8">
                  <c:v>13.461538461538462</c:v>
                </c:pt>
                <c:pt idx="9">
                  <c:v>14.423076923076923</c:v>
                </c:pt>
                <c:pt idx="10">
                  <c:v>15.384615384615385</c:v>
                </c:pt>
                <c:pt idx="11">
                  <c:v>16.346153846153847</c:v>
                </c:pt>
                <c:pt idx="12">
                  <c:v>17.307692307692307</c:v>
                </c:pt>
                <c:pt idx="13">
                  <c:v>18.26923076923077</c:v>
                </c:pt>
                <c:pt idx="14">
                  <c:v>19.23076923076923</c:v>
                </c:pt>
                <c:pt idx="15">
                  <c:v>20.192307692307693</c:v>
                </c:pt>
                <c:pt idx="16">
                  <c:v>21.153846153846153</c:v>
                </c:pt>
                <c:pt idx="17">
                  <c:v>22.115384615384617</c:v>
                </c:pt>
                <c:pt idx="18">
                  <c:v>23.076923076923077</c:v>
                </c:pt>
                <c:pt idx="19">
                  <c:v>24.03846153846154</c:v>
                </c:pt>
                <c:pt idx="20">
                  <c:v>25</c:v>
                </c:pt>
                <c:pt idx="21">
                  <c:v>25.96153846153846</c:v>
                </c:pt>
                <c:pt idx="22">
                  <c:v>26.923076923076923</c:v>
                </c:pt>
                <c:pt idx="23">
                  <c:v>27.884615384615383</c:v>
                </c:pt>
                <c:pt idx="24">
                  <c:v>28.846153846153847</c:v>
                </c:pt>
                <c:pt idx="25">
                  <c:v>29.807692307692307</c:v>
                </c:pt>
                <c:pt idx="26">
                  <c:v>30.76923076923077</c:v>
                </c:pt>
                <c:pt idx="27">
                  <c:v>31.73076923076923</c:v>
                </c:pt>
                <c:pt idx="28">
                  <c:v>32.692307692307693</c:v>
                </c:pt>
                <c:pt idx="29">
                  <c:v>33.653846153846153</c:v>
                </c:pt>
                <c:pt idx="30">
                  <c:v>34.615384615384613</c:v>
                </c:pt>
                <c:pt idx="31">
                  <c:v>35.57692307692308</c:v>
                </c:pt>
                <c:pt idx="32">
                  <c:v>36.53846153846154</c:v>
                </c:pt>
                <c:pt idx="33">
                  <c:v>37.5</c:v>
                </c:pt>
                <c:pt idx="34">
                  <c:v>38.46153846153846</c:v>
                </c:pt>
                <c:pt idx="35">
                  <c:v>39.42307692307692</c:v>
                </c:pt>
                <c:pt idx="36">
                  <c:v>40.384615384615387</c:v>
                </c:pt>
                <c:pt idx="37">
                  <c:v>41.346153846153847</c:v>
                </c:pt>
                <c:pt idx="38">
                  <c:v>42.307692307692307</c:v>
                </c:pt>
                <c:pt idx="39">
                  <c:v>43.269230769230766</c:v>
                </c:pt>
                <c:pt idx="40">
                  <c:v>44.230769230769234</c:v>
                </c:pt>
                <c:pt idx="41">
                  <c:v>45.192307692307693</c:v>
                </c:pt>
                <c:pt idx="42">
                  <c:v>46.153846153846153</c:v>
                </c:pt>
                <c:pt idx="43">
                  <c:v>47.115384615384613</c:v>
                </c:pt>
                <c:pt idx="44">
                  <c:v>48.07692307692308</c:v>
                </c:pt>
                <c:pt idx="45">
                  <c:v>49.03846153846154</c:v>
                </c:pt>
                <c:pt idx="46">
                  <c:v>50</c:v>
                </c:pt>
                <c:pt idx="47">
                  <c:v>50.96153846153846</c:v>
                </c:pt>
                <c:pt idx="48">
                  <c:v>51.92307692307692</c:v>
                </c:pt>
                <c:pt idx="49">
                  <c:v>52.884615384615387</c:v>
                </c:pt>
                <c:pt idx="50">
                  <c:v>53.846153846153847</c:v>
                </c:pt>
                <c:pt idx="51">
                  <c:v>54.807692307692307</c:v>
                </c:pt>
                <c:pt idx="52">
                  <c:v>55.769230769230766</c:v>
                </c:pt>
                <c:pt idx="53">
                  <c:v>56.730769230769234</c:v>
                </c:pt>
                <c:pt idx="54">
                  <c:v>57.692307692307693</c:v>
                </c:pt>
                <c:pt idx="55">
                  <c:v>58.653846153846153</c:v>
                </c:pt>
                <c:pt idx="56">
                  <c:v>59.615384615384613</c:v>
                </c:pt>
                <c:pt idx="57">
                  <c:v>60.57692307692308</c:v>
                </c:pt>
                <c:pt idx="58">
                  <c:v>61.53846153846154</c:v>
                </c:pt>
                <c:pt idx="59">
                  <c:v>62.5</c:v>
                </c:pt>
                <c:pt idx="60">
                  <c:v>63.46153846153846</c:v>
                </c:pt>
                <c:pt idx="61">
                  <c:v>64.42307692307692</c:v>
                </c:pt>
                <c:pt idx="62">
                  <c:v>65.384615384615387</c:v>
                </c:pt>
                <c:pt idx="63">
                  <c:v>66.34615384615384</c:v>
                </c:pt>
                <c:pt idx="64">
                  <c:v>67.307692307692307</c:v>
                </c:pt>
                <c:pt idx="65">
                  <c:v>68.269230769230774</c:v>
                </c:pt>
                <c:pt idx="66">
                  <c:v>69.230769230769226</c:v>
                </c:pt>
                <c:pt idx="67">
                  <c:v>70.192307692307693</c:v>
                </c:pt>
                <c:pt idx="68">
                  <c:v>71.15384615384616</c:v>
                </c:pt>
                <c:pt idx="69">
                  <c:v>72.115384615384613</c:v>
                </c:pt>
                <c:pt idx="70">
                  <c:v>73.07692307692308</c:v>
                </c:pt>
                <c:pt idx="71">
                  <c:v>74.038461538461533</c:v>
                </c:pt>
                <c:pt idx="72">
                  <c:v>75</c:v>
                </c:pt>
                <c:pt idx="73">
                  <c:v>75.961538461538467</c:v>
                </c:pt>
                <c:pt idx="74">
                  <c:v>76.92307692307692</c:v>
                </c:pt>
                <c:pt idx="75">
                  <c:v>77.884615384615387</c:v>
                </c:pt>
                <c:pt idx="76">
                  <c:v>78.84615384615384</c:v>
                </c:pt>
                <c:pt idx="77">
                  <c:v>79.807692307692307</c:v>
                </c:pt>
                <c:pt idx="78">
                  <c:v>80.769230769230774</c:v>
                </c:pt>
                <c:pt idx="79">
                  <c:v>81.730769230769226</c:v>
                </c:pt>
                <c:pt idx="80">
                  <c:v>82.692307692307693</c:v>
                </c:pt>
                <c:pt idx="81">
                  <c:v>83.65384615384616</c:v>
                </c:pt>
                <c:pt idx="82">
                  <c:v>84.615384615384613</c:v>
                </c:pt>
                <c:pt idx="83">
                  <c:v>85.57692307692308</c:v>
                </c:pt>
                <c:pt idx="84">
                  <c:v>86.538461538461533</c:v>
                </c:pt>
                <c:pt idx="85">
                  <c:v>87.5</c:v>
                </c:pt>
                <c:pt idx="86">
                  <c:v>88.461538461538467</c:v>
                </c:pt>
                <c:pt idx="87">
                  <c:v>89.42307692307692</c:v>
                </c:pt>
                <c:pt idx="88">
                  <c:v>90.384615384615387</c:v>
                </c:pt>
                <c:pt idx="89">
                  <c:v>91.34615384615384</c:v>
                </c:pt>
                <c:pt idx="90">
                  <c:v>92.307692307692307</c:v>
                </c:pt>
                <c:pt idx="91">
                  <c:v>93.269230769230774</c:v>
                </c:pt>
                <c:pt idx="92">
                  <c:v>94.230769230769226</c:v>
                </c:pt>
                <c:pt idx="93">
                  <c:v>95.192307692307693</c:v>
                </c:pt>
                <c:pt idx="94">
                  <c:v>96.15384615384616</c:v>
                </c:pt>
                <c:pt idx="95">
                  <c:v>97.115384615384613</c:v>
                </c:pt>
                <c:pt idx="96">
                  <c:v>98.07692307692308</c:v>
                </c:pt>
                <c:pt idx="97">
                  <c:v>99.038461538461533</c:v>
                </c:pt>
                <c:pt idx="98">
                  <c:v>100</c:v>
                </c:pt>
                <c:pt idx="99">
                  <c:v>100.96153846153847</c:v>
                </c:pt>
                <c:pt idx="100">
                  <c:v>101.92307692307692</c:v>
                </c:pt>
                <c:pt idx="101">
                  <c:v>102.88461538461539</c:v>
                </c:pt>
                <c:pt idx="102">
                  <c:v>103.84615384615384</c:v>
                </c:pt>
                <c:pt idx="103">
                  <c:v>104.80769230769231</c:v>
                </c:pt>
                <c:pt idx="104">
                  <c:v>105.76923076923077</c:v>
                </c:pt>
                <c:pt idx="105">
                  <c:v>106.73076923076923</c:v>
                </c:pt>
                <c:pt idx="106">
                  <c:v>107.69230769230769</c:v>
                </c:pt>
                <c:pt idx="107">
                  <c:v>108.65384615384616</c:v>
                </c:pt>
                <c:pt idx="108">
                  <c:v>109.61538461538461</c:v>
                </c:pt>
                <c:pt idx="109">
                  <c:v>110.57692307692308</c:v>
                </c:pt>
                <c:pt idx="110">
                  <c:v>111.53846153846153</c:v>
                </c:pt>
                <c:pt idx="111">
                  <c:v>112.5</c:v>
                </c:pt>
                <c:pt idx="112">
                  <c:v>113.46153846153847</c:v>
                </c:pt>
                <c:pt idx="113">
                  <c:v>114.42307692307692</c:v>
                </c:pt>
                <c:pt idx="114">
                  <c:v>115.38461538461539</c:v>
                </c:pt>
                <c:pt idx="115">
                  <c:v>116.34615384615384</c:v>
                </c:pt>
                <c:pt idx="116">
                  <c:v>117.30769230769231</c:v>
                </c:pt>
                <c:pt idx="117">
                  <c:v>118.26923076923077</c:v>
                </c:pt>
                <c:pt idx="118">
                  <c:v>119.23076923076923</c:v>
                </c:pt>
                <c:pt idx="119">
                  <c:v>120.19230769230769</c:v>
                </c:pt>
                <c:pt idx="120">
                  <c:v>121.15384615384616</c:v>
                </c:pt>
                <c:pt idx="121">
                  <c:v>122.11538461538461</c:v>
                </c:pt>
                <c:pt idx="122">
                  <c:v>123.07692307692308</c:v>
                </c:pt>
                <c:pt idx="123">
                  <c:v>124.03846153846153</c:v>
                </c:pt>
                <c:pt idx="124">
                  <c:v>125</c:v>
                </c:pt>
                <c:pt idx="125">
                  <c:v>125.96153846153847</c:v>
                </c:pt>
                <c:pt idx="126">
                  <c:v>126.92307692307692</c:v>
                </c:pt>
                <c:pt idx="127">
                  <c:v>127.88461538461539</c:v>
                </c:pt>
                <c:pt idx="128">
                  <c:v>128.84615384615384</c:v>
                </c:pt>
                <c:pt idx="129">
                  <c:v>129.80769230769232</c:v>
                </c:pt>
                <c:pt idx="130">
                  <c:v>130.76923076923077</c:v>
                </c:pt>
                <c:pt idx="131">
                  <c:v>131.73076923076923</c:v>
                </c:pt>
                <c:pt idx="132">
                  <c:v>132.69230769230768</c:v>
                </c:pt>
                <c:pt idx="133">
                  <c:v>133.65384615384616</c:v>
                </c:pt>
                <c:pt idx="134">
                  <c:v>134.61538461538461</c:v>
                </c:pt>
                <c:pt idx="135">
                  <c:v>135.57692307692307</c:v>
                </c:pt>
                <c:pt idx="136">
                  <c:v>136.53846153846155</c:v>
                </c:pt>
                <c:pt idx="137">
                  <c:v>137.5</c:v>
                </c:pt>
                <c:pt idx="138">
                  <c:v>138.46153846153845</c:v>
                </c:pt>
                <c:pt idx="139">
                  <c:v>139.42307692307693</c:v>
                </c:pt>
                <c:pt idx="140">
                  <c:v>140.38461538461539</c:v>
                </c:pt>
                <c:pt idx="141">
                  <c:v>141.34615384615384</c:v>
                </c:pt>
              </c:numCache>
            </c:numRef>
          </c:val>
          <c:smooth val="0"/>
          <c:extLst>
            <c:ext xmlns:c16="http://schemas.microsoft.com/office/drawing/2014/chart" uri="{C3380CC4-5D6E-409C-BE32-E72D297353CC}">
              <c16:uniqueId val="{00000001-B5F9-400A-AA95-D02C6EA2B449}"/>
            </c:ext>
          </c:extLst>
        </c:ser>
        <c:dLbls>
          <c:showLegendKey val="0"/>
          <c:showVal val="0"/>
          <c:showCatName val="0"/>
          <c:showSerName val="0"/>
          <c:showPercent val="0"/>
          <c:showBubbleSize val="0"/>
        </c:dLbls>
        <c:marker val="1"/>
        <c:smooth val="0"/>
        <c:axId val="1285639167"/>
        <c:axId val="1285662687"/>
      </c:lineChart>
      <c:catAx>
        <c:axId val="1092916463"/>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Acres applied per year</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92916943"/>
        <c:crosses val="autoZero"/>
        <c:auto val="1"/>
        <c:lblAlgn val="ctr"/>
        <c:lblOffset val="100"/>
        <c:noMultiLvlLbl val="0"/>
      </c:catAx>
      <c:valAx>
        <c:axId val="1092916943"/>
        <c:scaling>
          <c:orientation val="minMax"/>
          <c:max val="5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Cost per acre applied</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quot;$&quot;#,##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92916463"/>
        <c:crosses val="autoZero"/>
        <c:crossBetween val="between"/>
      </c:valAx>
      <c:valAx>
        <c:axId val="1285662687"/>
        <c:scaling>
          <c:orientation val="minMax"/>
          <c:max val="160"/>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Hours / year</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85639167"/>
        <c:crosses val="max"/>
        <c:crossBetween val="between"/>
      </c:valAx>
      <c:catAx>
        <c:axId val="1285639167"/>
        <c:scaling>
          <c:orientation val="minMax"/>
        </c:scaling>
        <c:delete val="1"/>
        <c:axPos val="b"/>
        <c:numFmt formatCode="General" sourceLinked="1"/>
        <c:majorTickMark val="out"/>
        <c:minorTickMark val="none"/>
        <c:tickLblPos val="nextTo"/>
        <c:crossAx val="1285662687"/>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1" i="0" u="none" strike="noStrike" kern="1200" spc="0" baseline="0">
                <a:solidFill>
                  <a:sysClr val="windowText" lastClr="000000"/>
                </a:solidFill>
                <a:latin typeface="+mn-lt"/>
                <a:ea typeface="+mn-ea"/>
                <a:cs typeface="+mn-cs"/>
              </a:defRPr>
            </a:pPr>
            <a:r>
              <a:rPr lang="en-US"/>
              <a:t>Setup costs</a:t>
            </a:r>
          </a:p>
        </c:rich>
      </c:tx>
      <c:overlay val="0"/>
      <c:spPr>
        <a:noFill/>
        <a:ln>
          <a:noFill/>
        </a:ln>
        <a:effectLst/>
      </c:spPr>
      <c:txPr>
        <a:bodyPr rot="0" spcFirstLastPara="1" vertOverflow="ellipsis" vert="horz" wrap="square" anchor="ctr" anchorCtr="1"/>
        <a:lstStyle/>
        <a:p>
          <a:pPr>
            <a:defRPr sz="1440" b="1" i="0" u="none" strike="noStrike" kern="1200" spc="0" baseline="0">
              <a:solidFill>
                <a:sysClr val="windowText" lastClr="000000"/>
              </a:solidFill>
              <a:latin typeface="+mn-lt"/>
              <a:ea typeface="+mn-ea"/>
              <a:cs typeface="+mn-cs"/>
            </a:defRPr>
          </a:pPr>
          <a:endParaRPr lang="en-US"/>
        </a:p>
      </c:txPr>
    </c:title>
    <c:autoTitleDeleted val="0"/>
    <c:plotArea>
      <c:layout/>
      <c:pieChart>
        <c:varyColors val="1"/>
        <c:ser>
          <c:idx val="0"/>
          <c:order val="0"/>
          <c:tx>
            <c:v>Price of new unit ($)</c:v>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6CB9-4429-B6FF-5FB9111A4FD9}"/>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6CB9-4429-B6FF-5FB9111A4FD9}"/>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6CB9-4429-B6FF-5FB9111A4FD9}"/>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6CB9-4429-B6FF-5FB9111A4FD9}"/>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6CB9-4429-B6FF-5FB9111A4FD9}"/>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6CB9-4429-B6FF-5FB9111A4FD9}"/>
              </c:ext>
            </c:extLst>
          </c:dPt>
          <c:dLbls>
            <c:dLbl>
              <c:idx val="0"/>
              <c:tx>
                <c:rich>
                  <a:bodyPr/>
                  <a:lstStyle/>
                  <a:p>
                    <a:fld id="{097C2DFB-D264-450A-A5AF-E09A01336B9D}" type="CATEGORYNAME">
                      <a:rPr lang="en-US"/>
                      <a:pPr/>
                      <a:t>[CATEGORY NAME]</a:t>
                    </a:fld>
                    <a:r>
                      <a:rPr lang="en-US" baseline="0"/>
                      <a:t>, </a:t>
                    </a:r>
                    <a:fld id="{118EE5AD-6544-4E65-98BA-336A39B9E766}" type="VALUE">
                      <a:rPr lang="en-US" baseline="0"/>
                      <a:pPr/>
                      <a:t>[VALUE]</a:t>
                    </a:fld>
                    <a:endParaRPr lang="en-US" baseline="0"/>
                  </a:p>
                </c:rich>
              </c:tx>
              <c:dLblPos val="bestFit"/>
              <c:showLegendKey val="0"/>
              <c:showVal val="1"/>
              <c:showCatName val="1"/>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6CB9-4429-B6FF-5FB9111A4FD9}"/>
                </c:ext>
              </c:extLst>
            </c:dLbl>
            <c:numFmt formatCode="&quot;$&quot;#,##0" sourceLinked="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dLblPos val="bestFit"/>
            <c:showLegendKey val="0"/>
            <c:showVal val="1"/>
            <c:showCatName val="1"/>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Model!$A$33:$A$37</c:f>
              <c:strCache>
                <c:ptCount val="5"/>
                <c:pt idx="0">
                  <c:v>Drone (includes charger and 2 batteries)</c:v>
                </c:pt>
                <c:pt idx="1">
                  <c:v>Generator</c:v>
                </c:pt>
                <c:pt idx="2">
                  <c:v>Trailer</c:v>
                </c:pt>
                <c:pt idx="3">
                  <c:v>Truck</c:v>
                </c:pt>
                <c:pt idx="4">
                  <c:v>Pump and transfer system</c:v>
                </c:pt>
              </c:strCache>
            </c:strRef>
          </c:cat>
          <c:val>
            <c:numRef>
              <c:f>Model!$B$33:$B$37</c:f>
              <c:numCache>
                <c:formatCode>#,##0.00</c:formatCode>
                <c:ptCount val="5"/>
                <c:pt idx="0">
                  <c:v>46000</c:v>
                </c:pt>
                <c:pt idx="1">
                  <c:v>7500</c:v>
                </c:pt>
                <c:pt idx="2">
                  <c:v>14500</c:v>
                </c:pt>
                <c:pt idx="3">
                  <c:v>50000</c:v>
                </c:pt>
                <c:pt idx="4">
                  <c:v>1500</c:v>
                </c:pt>
              </c:numCache>
            </c:numRef>
          </c:val>
          <c:extLst>
            <c:ext xmlns:c16="http://schemas.microsoft.com/office/drawing/2014/chart" uri="{C3380CC4-5D6E-409C-BE32-E72D297353CC}">
              <c16:uniqueId val="{0000000C-6CB9-4429-B6FF-5FB9111A4FD9}"/>
            </c:ext>
          </c:extLst>
        </c:ser>
        <c:dLbls>
          <c:dLblPos val="bestFit"/>
          <c:showLegendKey val="0"/>
          <c:showVal val="1"/>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200" b="1">
          <a:solidFill>
            <a:sysClr val="windowText" lastClr="000000"/>
          </a:solidFill>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n-US"/>
        </a:p>
      </c:txPr>
    </c:title>
    <c:autoTitleDeleted val="0"/>
    <c:plotArea>
      <c:layout/>
      <c:pieChart>
        <c:varyColors val="1"/>
        <c:ser>
          <c:idx val="0"/>
          <c:order val="0"/>
          <c:tx>
            <c:strRef>
              <c:f>Model!$B$15</c:f>
              <c:strCache>
                <c:ptCount val="1"/>
                <c:pt idx="0">
                  <c:v>Cost per acre applied ($/acre)</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E82E-4C0D-9D24-2A2EBD6274D9}"/>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E82E-4C0D-9D24-2A2EBD6274D9}"/>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E82E-4C0D-9D24-2A2EBD6274D9}"/>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E82E-4C0D-9D24-2A2EBD6274D9}"/>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E82E-4C0D-9D24-2A2EBD6274D9}"/>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E82E-4C0D-9D24-2A2EBD6274D9}"/>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1-D3A5-4BFE-AAAE-00B613C77095}"/>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E82E-4C0D-9D24-2A2EBD6274D9}"/>
              </c:ext>
            </c:extLst>
          </c:dPt>
          <c:dLbls>
            <c:dLbl>
              <c:idx val="6"/>
              <c:layout>
                <c:manualLayout>
                  <c:x val="-7.2765070955045821E-2"/>
                  <c:y val="8.7745753134370774E-2"/>
                </c:manualLayout>
              </c:layout>
              <c:dLblPos val="bestFit"/>
              <c:showLegendKey val="0"/>
              <c:showVal val="0"/>
              <c:showCatName val="1"/>
              <c:showSerName val="1"/>
              <c:showPercent val="1"/>
              <c:showBubbleSize val="0"/>
              <c:extLst>
                <c:ext xmlns:c15="http://schemas.microsoft.com/office/drawing/2012/chart" uri="{CE6537A1-D6FC-4f65-9D91-7224C49458BB}"/>
                <c:ext xmlns:c16="http://schemas.microsoft.com/office/drawing/2014/chart" uri="{C3380CC4-5D6E-409C-BE32-E72D297353CC}">
                  <c16:uniqueId val="{00000001-D3A5-4BFE-AAAE-00B613C77095}"/>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bestFit"/>
            <c:showLegendKey val="0"/>
            <c:showVal val="0"/>
            <c:showCatName val="1"/>
            <c:showSerName val="1"/>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(Model!$A$16:$A$20,Model!$A$22:$A$24)</c:f>
              <c:strCache>
                <c:ptCount val="8"/>
                <c:pt idx="0">
                  <c:v>Fuel</c:v>
                </c:pt>
                <c:pt idx="1">
                  <c:v>Labor</c:v>
                </c:pt>
                <c:pt idx="2">
                  <c:v>Other materials</c:v>
                </c:pt>
                <c:pt idx="3">
                  <c:v>Maintenance/Repairs</c:v>
                </c:pt>
                <c:pt idx="4">
                  <c:v>Interest over operating capital</c:v>
                </c:pt>
                <c:pt idx="5">
                  <c:v>Depreciation + Interest over capital (excluding batteries)</c:v>
                </c:pt>
                <c:pt idx="6">
                  <c:v>Batteries</c:v>
                </c:pt>
                <c:pt idx="7">
                  <c:v>Taxes + Insurance + Housing</c:v>
                </c:pt>
              </c:strCache>
            </c:strRef>
          </c:cat>
          <c:val>
            <c:numRef>
              <c:f>(Model!$B$16:$B$20,Model!$B$22:$B$24)</c:f>
              <c:numCache>
                <c:formatCode>#,##0.00</c:formatCode>
                <c:ptCount val="8"/>
                <c:pt idx="0">
                  <c:v>0.14727014110150205</c:v>
                </c:pt>
                <c:pt idx="1">
                  <c:v>1.0601577909270217</c:v>
                </c:pt>
                <c:pt idx="2">
                  <c:v>7.485207100591717E-3</c:v>
                </c:pt>
                <c:pt idx="3">
                  <c:v>1.32375</c:v>
                </c:pt>
                <c:pt idx="4">
                  <c:v>9.7193051130329236E-2</c:v>
                </c:pt>
                <c:pt idx="5">
                  <c:v>3.8423651452548944</c:v>
                </c:pt>
                <c:pt idx="6">
                  <c:v>0.71705404555076435</c:v>
                </c:pt>
                <c:pt idx="7">
                  <c:v>0.1955625</c:v>
                </c:pt>
              </c:numCache>
            </c:numRef>
          </c:val>
          <c:extLst>
            <c:ext xmlns:c16="http://schemas.microsoft.com/office/drawing/2014/chart" uri="{C3380CC4-5D6E-409C-BE32-E72D297353CC}">
              <c16:uniqueId val="{00000000-D3A5-4BFE-AAAE-00B613C77095}"/>
            </c:ext>
          </c:extLst>
        </c:ser>
        <c:dLbls>
          <c:dLblPos val="outEnd"/>
          <c:showLegendKey val="0"/>
          <c:showVal val="1"/>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xdr:col>
      <xdr:colOff>257175</xdr:colOff>
      <xdr:row>5</xdr:row>
      <xdr:rowOff>130525</xdr:rowOff>
    </xdr:from>
    <xdr:to>
      <xdr:col>1</xdr:col>
      <xdr:colOff>257175</xdr:colOff>
      <xdr:row>11</xdr:row>
      <xdr:rowOff>403800</xdr:rowOff>
    </xdr:to>
    <xdr:pic>
      <xdr:nvPicPr>
        <xdr:cNvPr id="2" name="Picture 1">
          <a:extLst>
            <a:ext uri="{FF2B5EF4-FFF2-40B4-BE49-F238E27FC236}">
              <a16:creationId xmlns:a16="http://schemas.microsoft.com/office/drawing/2014/main" id="{FB48DD24-B51E-48A4-8787-641E88E816F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1025" y="1273525"/>
          <a:ext cx="0" cy="1387700"/>
        </a:xfrm>
        <a:prstGeom prst="rect">
          <a:avLst/>
        </a:prstGeom>
      </xdr:spPr>
    </xdr:pic>
    <xdr:clientData/>
  </xdr:twoCellAnchor>
  <xdr:twoCellAnchor editAs="oneCell">
    <xdr:from>
      <xdr:col>2</xdr:col>
      <xdr:colOff>3524250</xdr:colOff>
      <xdr:row>6</xdr:row>
      <xdr:rowOff>9526</xdr:rowOff>
    </xdr:from>
    <xdr:to>
      <xdr:col>2</xdr:col>
      <xdr:colOff>3524250</xdr:colOff>
      <xdr:row>13</xdr:row>
      <xdr:rowOff>161924</xdr:rowOff>
    </xdr:to>
    <xdr:pic>
      <xdr:nvPicPr>
        <xdr:cNvPr id="3" name="Picture 2">
          <a:extLst>
            <a:ext uri="{FF2B5EF4-FFF2-40B4-BE49-F238E27FC236}">
              <a16:creationId xmlns:a16="http://schemas.microsoft.com/office/drawing/2014/main" id="{7CC92909-8DE6-4709-AED6-6062E31A4A3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171950" y="1362076"/>
          <a:ext cx="0" cy="1331404"/>
        </a:xfrm>
        <a:prstGeom prst="rect">
          <a:avLst/>
        </a:prstGeom>
      </xdr:spPr>
    </xdr:pic>
    <xdr:clientData/>
  </xdr:twoCellAnchor>
  <xdr:twoCellAnchor editAs="oneCell">
    <xdr:from>
      <xdr:col>3</xdr:col>
      <xdr:colOff>1123950</xdr:colOff>
      <xdr:row>3</xdr:row>
      <xdr:rowOff>85725</xdr:rowOff>
    </xdr:from>
    <xdr:to>
      <xdr:col>3</xdr:col>
      <xdr:colOff>3087032</xdr:colOff>
      <xdr:row>5</xdr:row>
      <xdr:rowOff>245795</xdr:rowOff>
    </xdr:to>
    <xdr:pic>
      <xdr:nvPicPr>
        <xdr:cNvPr id="4" name="Picture 3">
          <a:extLst>
            <a:ext uri="{FF2B5EF4-FFF2-40B4-BE49-F238E27FC236}">
              <a16:creationId xmlns:a16="http://schemas.microsoft.com/office/drawing/2014/main" id="{F18DD6E9-9B88-4A0B-B56E-EA20F9FA2A31}"/>
            </a:ext>
          </a:extLst>
        </xdr:cNvPr>
        <xdr:cNvPicPr>
          <a:picLocks noChangeAspect="1"/>
        </xdr:cNvPicPr>
      </xdr:nvPicPr>
      <xdr:blipFill>
        <a:blip xmlns:r="http://schemas.openxmlformats.org/officeDocument/2006/relationships" r:embed="rId3"/>
        <a:stretch>
          <a:fillRect/>
        </a:stretch>
      </xdr:blipFill>
      <xdr:spPr>
        <a:xfrm>
          <a:off x="5362575" y="809625"/>
          <a:ext cx="1963082" cy="57917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45</xdr:row>
      <xdr:rowOff>171479</xdr:rowOff>
    </xdr:from>
    <xdr:to>
      <xdr:col>1</xdr:col>
      <xdr:colOff>863600</xdr:colOff>
      <xdr:row>61</xdr:row>
      <xdr:rowOff>120651</xdr:rowOff>
    </xdr:to>
    <xdr:graphicFrame macro="">
      <xdr:nvGraphicFramePr>
        <xdr:cNvPr id="4" name="Chart 3">
          <a:extLst>
            <a:ext uri="{FF2B5EF4-FFF2-40B4-BE49-F238E27FC236}">
              <a16:creationId xmlns:a16="http://schemas.microsoft.com/office/drawing/2014/main" id="{C2965698-0C94-4186-99D8-DCF76F1C93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1905457</xdr:colOff>
      <xdr:row>43</xdr:row>
      <xdr:rowOff>18746</xdr:rowOff>
    </xdr:from>
    <xdr:to>
      <xdr:col>6</xdr:col>
      <xdr:colOff>899645</xdr:colOff>
      <xdr:row>59</xdr:row>
      <xdr:rowOff>138954</xdr:rowOff>
    </xdr:to>
    <xdr:graphicFrame macro="">
      <xdr:nvGraphicFramePr>
        <xdr:cNvPr id="10" name="Chart 9">
          <a:extLst>
            <a:ext uri="{FF2B5EF4-FFF2-40B4-BE49-F238E27FC236}">
              <a16:creationId xmlns:a16="http://schemas.microsoft.com/office/drawing/2014/main" id="{323F93DA-106E-493F-8D5B-432311608E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481851</xdr:colOff>
      <xdr:row>60</xdr:row>
      <xdr:rowOff>0</xdr:rowOff>
    </xdr:from>
    <xdr:to>
      <xdr:col>6</xdr:col>
      <xdr:colOff>1221439</xdr:colOff>
      <xdr:row>77</xdr:row>
      <xdr:rowOff>189381</xdr:rowOff>
    </xdr:to>
    <xdr:graphicFrame macro="">
      <xdr:nvGraphicFramePr>
        <xdr:cNvPr id="3" name="Chart 2">
          <a:extLst>
            <a:ext uri="{FF2B5EF4-FFF2-40B4-BE49-F238E27FC236}">
              <a16:creationId xmlns:a16="http://schemas.microsoft.com/office/drawing/2014/main" id="{73A6B057-DA41-09A8-3782-8A9095674C3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extension.missouri.edu/publications/g1274"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655FA-7753-4F94-8364-43961BDB0E35}">
  <dimension ref="A1:F31"/>
  <sheetViews>
    <sheetView tabSelected="1" topLeftCell="B1" zoomScale="110" zoomScaleNormal="110" workbookViewId="0">
      <selection activeCell="B1" sqref="B1:E1"/>
    </sheetView>
  </sheetViews>
  <sheetFormatPr defaultColWidth="0" defaultRowHeight="16.5" customHeight="1" zeroHeight="1" x14ac:dyDescent="0.3"/>
  <cols>
    <col min="1" max="1" width="4.85546875" style="20" hidden="1" customWidth="1"/>
    <col min="2" max="2" width="4.85546875" style="20" customWidth="1"/>
    <col min="3" max="3" width="53.85546875" style="20" customWidth="1"/>
    <col min="4" max="4" width="46.42578125" style="20" customWidth="1"/>
    <col min="5" max="5" width="4.85546875" style="20" customWidth="1"/>
    <col min="6" max="6" width="4.85546875" style="20" hidden="1" customWidth="1"/>
    <col min="7" max="16384" width="11.42578125" style="20" hidden="1"/>
  </cols>
  <sheetData>
    <row r="1" spans="2:5" ht="20.25" x14ac:dyDescent="0.35">
      <c r="B1" s="134" t="s">
        <v>97</v>
      </c>
      <c r="C1" s="135"/>
      <c r="D1" s="135"/>
      <c r="E1" s="135"/>
    </row>
    <row r="2" spans="2:5" ht="20.25" hidden="1" x14ac:dyDescent="0.35">
      <c r="B2" s="53"/>
      <c r="C2" s="53"/>
      <c r="D2" s="53"/>
      <c r="E2" s="53"/>
    </row>
    <row r="3" spans="2:5" x14ac:dyDescent="0.3">
      <c r="B3" s="136" t="s">
        <v>77</v>
      </c>
      <c r="C3" s="136"/>
      <c r="D3" s="136"/>
      <c r="E3" s="54"/>
    </row>
    <row r="4" spans="2:5" x14ac:dyDescent="0.3">
      <c r="B4" s="55"/>
      <c r="C4" s="56" t="s">
        <v>78</v>
      </c>
      <c r="D4" s="57"/>
      <c r="E4" s="58"/>
    </row>
    <row r="5" spans="2:5" x14ac:dyDescent="0.3">
      <c r="B5" s="55"/>
      <c r="C5" s="59" t="s">
        <v>85</v>
      </c>
      <c r="D5" s="59"/>
      <c r="E5" s="58"/>
    </row>
    <row r="6" spans="2:5" ht="30" customHeight="1" x14ac:dyDescent="0.3">
      <c r="B6" s="55"/>
      <c r="C6" s="60"/>
      <c r="D6" s="59"/>
      <c r="E6" s="58"/>
    </row>
    <row r="7" spans="2:5" ht="18.75" customHeight="1" x14ac:dyDescent="0.3">
      <c r="B7" s="55"/>
      <c r="C7" s="59" t="s">
        <v>82</v>
      </c>
      <c r="D7" s="59"/>
      <c r="E7" s="58"/>
    </row>
    <row r="8" spans="2:5" ht="15.75" customHeight="1" x14ac:dyDescent="0.3">
      <c r="B8" s="55"/>
      <c r="C8" s="59" t="s">
        <v>79</v>
      </c>
      <c r="D8" s="61"/>
      <c r="E8" s="58"/>
    </row>
    <row r="9" spans="2:5" x14ac:dyDescent="0.3">
      <c r="B9" s="55"/>
      <c r="C9" s="62" t="s">
        <v>80</v>
      </c>
      <c r="D9" s="61"/>
      <c r="E9" s="63"/>
    </row>
    <row r="10" spans="2:5" ht="56.25" customHeight="1" x14ac:dyDescent="0.3">
      <c r="B10" s="55"/>
      <c r="C10" s="129" t="s">
        <v>86</v>
      </c>
      <c r="D10" s="129"/>
      <c r="E10" s="58"/>
    </row>
    <row r="11" spans="2:5" ht="47.25" customHeight="1" x14ac:dyDescent="0.3">
      <c r="B11" s="55"/>
      <c r="C11" s="129" t="s">
        <v>91</v>
      </c>
      <c r="D11" s="129"/>
      <c r="E11" s="61"/>
    </row>
    <row r="12" spans="2:5" ht="34.5" customHeight="1" x14ac:dyDescent="0.3">
      <c r="B12" s="55"/>
      <c r="C12" s="137" t="s">
        <v>92</v>
      </c>
      <c r="D12" s="129"/>
      <c r="E12" s="58"/>
    </row>
    <row r="13" spans="2:5" ht="16.5" hidden="1" customHeight="1" x14ac:dyDescent="0.3">
      <c r="B13" s="55"/>
      <c r="C13" s="64"/>
      <c r="D13" s="61"/>
      <c r="E13" s="58"/>
    </row>
    <row r="14" spans="2:5" ht="30" customHeight="1" x14ac:dyDescent="0.3">
      <c r="B14" s="55"/>
      <c r="C14" s="129" t="s">
        <v>95</v>
      </c>
      <c r="D14" s="129"/>
      <c r="E14" s="58"/>
    </row>
    <row r="15" spans="2:5" ht="33" customHeight="1" x14ac:dyDescent="0.3">
      <c r="B15" s="55"/>
      <c r="C15" s="132" t="s">
        <v>96</v>
      </c>
      <c r="D15" s="132"/>
      <c r="E15" s="58"/>
    </row>
    <row r="16" spans="2:5" hidden="1" x14ac:dyDescent="0.3">
      <c r="B16" s="55"/>
      <c r="C16" s="65"/>
      <c r="D16" s="65"/>
      <c r="E16" s="58"/>
    </row>
    <row r="17" spans="1:5" x14ac:dyDescent="0.3">
      <c r="B17" s="124"/>
      <c r="C17" s="133" t="s">
        <v>81</v>
      </c>
      <c r="D17" s="133"/>
      <c r="E17" s="125"/>
    </row>
    <row r="18" spans="1:5" s="58" customFormat="1" ht="32.25" customHeight="1" x14ac:dyDescent="0.3">
      <c r="A18" s="20"/>
      <c r="B18" s="55"/>
      <c r="C18" s="129" t="s">
        <v>93</v>
      </c>
      <c r="D18" s="129"/>
    </row>
    <row r="19" spans="1:5" s="58" customFormat="1" ht="32.25" customHeight="1" x14ac:dyDescent="0.3">
      <c r="A19" s="20"/>
      <c r="B19" s="68"/>
      <c r="C19" s="131" t="s">
        <v>94</v>
      </c>
      <c r="D19" s="131"/>
      <c r="E19" s="69"/>
    </row>
    <row r="20" spans="1:5" s="66" customFormat="1" ht="18.75" customHeight="1" x14ac:dyDescent="0.3">
      <c r="B20" s="67"/>
      <c r="C20" s="126" t="s">
        <v>87</v>
      </c>
      <c r="D20" s="126"/>
      <c r="E20" s="67"/>
    </row>
    <row r="21" spans="1:5" ht="30" customHeight="1" x14ac:dyDescent="0.3">
      <c r="B21" s="58"/>
      <c r="C21" s="127" t="s">
        <v>88</v>
      </c>
      <c r="D21" s="128"/>
      <c r="E21" s="58"/>
    </row>
    <row r="22" spans="1:5" ht="45" customHeight="1" x14ac:dyDescent="0.3">
      <c r="B22" s="58"/>
      <c r="C22" s="129" t="s">
        <v>89</v>
      </c>
      <c r="D22" s="130"/>
      <c r="E22" s="58"/>
    </row>
    <row r="23" spans="1:5" ht="30" customHeight="1" x14ac:dyDescent="0.3">
      <c r="B23" s="58"/>
      <c r="C23" s="129" t="s">
        <v>90</v>
      </c>
      <c r="D23" s="129"/>
      <c r="E23" s="58"/>
    </row>
    <row r="24" spans="1:5" ht="21" customHeight="1" x14ac:dyDescent="0.3">
      <c r="B24" s="33"/>
      <c r="C24" s="33"/>
      <c r="D24" s="33"/>
      <c r="E24" s="33"/>
    </row>
    <row r="29" spans="1:5" hidden="1" x14ac:dyDescent="0.3"/>
    <row r="31" spans="1:5" hidden="1" x14ac:dyDescent="0.3"/>
  </sheetData>
  <sheetProtection sheet="1" objects="1" scenarios="1"/>
  <mergeCells count="14">
    <mergeCell ref="B1:E1"/>
    <mergeCell ref="B3:D3"/>
    <mergeCell ref="C10:D10"/>
    <mergeCell ref="C11:D11"/>
    <mergeCell ref="C12:D12"/>
    <mergeCell ref="C20:D20"/>
    <mergeCell ref="C21:D21"/>
    <mergeCell ref="C22:D22"/>
    <mergeCell ref="C23:D23"/>
    <mergeCell ref="C14:D14"/>
    <mergeCell ref="C19:D19"/>
    <mergeCell ref="C15:D15"/>
    <mergeCell ref="C18:D18"/>
    <mergeCell ref="C17:D17"/>
  </mergeCells>
  <hyperlinks>
    <hyperlink ref="C15:D15" r:id="rId1" display="For more information, consult MU Extension publication G1274, Economics of Drone Ownership for Agricultural Spray Applications." xr:uid="{B3D4F5F2-CC7E-4FF4-BBD4-62B51136AE90}"/>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7AEDC9-3905-4995-A2E5-75CCBCBD5991}">
  <dimension ref="A1:J47"/>
  <sheetViews>
    <sheetView zoomScale="115" zoomScaleNormal="115" workbookViewId="0">
      <selection activeCell="B6" sqref="B6"/>
    </sheetView>
  </sheetViews>
  <sheetFormatPr defaultColWidth="0" defaultRowHeight="11.25" zeroHeight="1" x14ac:dyDescent="0.25"/>
  <cols>
    <col min="1" max="1" width="50" style="34" customWidth="1"/>
    <col min="2" max="2" width="26.28515625" style="34" customWidth="1"/>
    <col min="3" max="3" width="26.85546875" style="34" customWidth="1"/>
    <col min="4" max="4" width="24.42578125" style="34" bestFit="1" customWidth="1"/>
    <col min="5" max="5" width="14.140625" style="34" bestFit="1" customWidth="1"/>
    <col min="6" max="6" width="30.7109375" style="34" bestFit="1" customWidth="1"/>
    <col min="7" max="7" width="19.140625" style="34" bestFit="1" customWidth="1"/>
    <col min="8" max="8" width="11.85546875" style="34" bestFit="1" customWidth="1"/>
    <col min="9" max="9" width="19.28515625" style="34" bestFit="1" customWidth="1"/>
    <col min="10" max="10" width="9" style="1" hidden="1" customWidth="1"/>
    <col min="11" max="16384" width="33.42578125" style="1" hidden="1"/>
  </cols>
  <sheetData>
    <row r="1" spans="1:10" ht="12" customHeight="1" thickBot="1" x14ac:dyDescent="0.3">
      <c r="A1" s="51" t="s">
        <v>25</v>
      </c>
      <c r="B1" s="52"/>
      <c r="D1" s="78"/>
      <c r="E1" s="71" t="s">
        <v>1</v>
      </c>
      <c r="F1" s="79" t="s">
        <v>2</v>
      </c>
      <c r="G1" s="79" t="s">
        <v>7</v>
      </c>
      <c r="H1" s="71" t="s">
        <v>3</v>
      </c>
      <c r="I1" s="80" t="s">
        <v>4</v>
      </c>
    </row>
    <row r="2" spans="1:10" x14ac:dyDescent="0.25">
      <c r="A2" s="37" t="s">
        <v>71</v>
      </c>
      <c r="B2" s="21">
        <v>7.5</v>
      </c>
      <c r="D2" s="39" t="s">
        <v>59</v>
      </c>
      <c r="E2" s="23">
        <v>23000</v>
      </c>
      <c r="F2" s="4">
        <f>Acres_of_lifespan_drone/Applied_acres_per_year</f>
        <v>2</v>
      </c>
      <c r="G2" s="13">
        <f>B7*B26</f>
        <v>4000</v>
      </c>
      <c r="H2" s="27">
        <f>0.3*E2</f>
        <v>6900</v>
      </c>
      <c r="I2" s="28">
        <v>1</v>
      </c>
    </row>
    <row r="3" spans="1:10" x14ac:dyDescent="0.25">
      <c r="A3" s="37" t="s">
        <v>0</v>
      </c>
      <c r="B3" s="22">
        <v>0.08</v>
      </c>
      <c r="D3" s="39" t="s">
        <v>8</v>
      </c>
      <c r="E3" s="23">
        <v>7500</v>
      </c>
      <c r="F3" s="25">
        <v>10</v>
      </c>
      <c r="G3" s="27">
        <f>0.05*(E3+H3)/2</f>
        <v>253.125</v>
      </c>
      <c r="H3" s="27">
        <f>0.35*E3</f>
        <v>2625</v>
      </c>
      <c r="I3" s="28">
        <v>1</v>
      </c>
    </row>
    <row r="4" spans="1:10" x14ac:dyDescent="0.25">
      <c r="A4" s="37" t="s">
        <v>58</v>
      </c>
      <c r="B4" s="21">
        <v>2</v>
      </c>
      <c r="D4" s="39" t="s">
        <v>9</v>
      </c>
      <c r="E4" s="23">
        <v>14500</v>
      </c>
      <c r="F4" s="25">
        <v>10</v>
      </c>
      <c r="G4" s="27">
        <f>0.05*(E4+H4)/2</f>
        <v>489.375</v>
      </c>
      <c r="H4" s="27">
        <f>0.35*E4</f>
        <v>5075</v>
      </c>
      <c r="I4" s="28">
        <v>1</v>
      </c>
    </row>
    <row r="5" spans="1:10" x14ac:dyDescent="0.25">
      <c r="A5" s="37" t="s">
        <v>60</v>
      </c>
      <c r="B5" s="21">
        <v>5</v>
      </c>
      <c r="D5" s="39" t="s">
        <v>10</v>
      </c>
      <c r="E5" s="23">
        <v>50000</v>
      </c>
      <c r="F5" s="25">
        <v>10</v>
      </c>
      <c r="G5" s="27">
        <f>I5*0.05*(E5+H5)/2</f>
        <v>406.25</v>
      </c>
      <c r="H5" s="27">
        <f>0.3*E5</f>
        <v>15000</v>
      </c>
      <c r="I5" s="28">
        <v>0.25</v>
      </c>
    </row>
    <row r="6" spans="1:10" ht="12" thickBot="1" x14ac:dyDescent="0.3">
      <c r="A6" s="37" t="s">
        <v>50</v>
      </c>
      <c r="B6" s="21">
        <v>8000</v>
      </c>
      <c r="D6" s="41" t="s">
        <v>29</v>
      </c>
      <c r="E6" s="24">
        <v>1500</v>
      </c>
      <c r="F6" s="26">
        <v>10</v>
      </c>
      <c r="G6" s="29">
        <f>I6*0.15*(E6+H6)/2</f>
        <v>146.25</v>
      </c>
      <c r="H6" s="29">
        <f>0.3*E6</f>
        <v>450</v>
      </c>
      <c r="I6" s="30">
        <v>1</v>
      </c>
    </row>
    <row r="7" spans="1:10" ht="12" thickBot="1" x14ac:dyDescent="0.3">
      <c r="A7" s="37" t="s">
        <v>39</v>
      </c>
      <c r="B7" s="21">
        <v>4000</v>
      </c>
      <c r="E7" s="36"/>
      <c r="I7" s="36"/>
      <c r="J7" s="34"/>
    </row>
    <row r="8" spans="1:10" s="34" customFormat="1" x14ac:dyDescent="0.25">
      <c r="A8" s="37" t="s">
        <v>41</v>
      </c>
      <c r="B8" s="21">
        <v>6.5</v>
      </c>
      <c r="D8" s="78"/>
      <c r="E8" s="71" t="s">
        <v>1</v>
      </c>
      <c r="F8" s="79" t="s">
        <v>83</v>
      </c>
      <c r="G8" s="72" t="s">
        <v>3</v>
      </c>
    </row>
    <row r="9" spans="1:10" s="34" customFormat="1" ht="12" thickBot="1" x14ac:dyDescent="0.3">
      <c r="A9" s="37" t="s">
        <v>42</v>
      </c>
      <c r="B9" s="21">
        <v>6.5</v>
      </c>
      <c r="D9" s="41" t="s">
        <v>84</v>
      </c>
      <c r="E9" s="24">
        <v>2500</v>
      </c>
      <c r="F9" s="26">
        <v>5</v>
      </c>
      <c r="G9" s="31">
        <v>500</v>
      </c>
    </row>
    <row r="10" spans="1:10" s="34" customFormat="1" x14ac:dyDescent="0.25">
      <c r="A10" s="37" t="s">
        <v>40</v>
      </c>
      <c r="B10" s="21">
        <v>1000</v>
      </c>
      <c r="D10" s="45"/>
      <c r="E10" s="40"/>
      <c r="F10" s="48"/>
      <c r="G10" s="49"/>
    </row>
    <row r="11" spans="1:10" s="34" customFormat="1" x14ac:dyDescent="0.25">
      <c r="A11" s="34" t="s">
        <v>67</v>
      </c>
      <c r="B11" s="2">
        <f>Flights_per_hour*Hours_per_day_applying</f>
        <v>52</v>
      </c>
    </row>
    <row r="12" spans="1:10" s="34" customFormat="1" x14ac:dyDescent="0.25">
      <c r="A12" s="34" t="s">
        <v>62</v>
      </c>
      <c r="B12" s="21">
        <f>10/60</f>
        <v>0.16666666666666666</v>
      </c>
    </row>
    <row r="13" spans="1:10" ht="12" thickBot="1" x14ac:dyDescent="0.3">
      <c r="A13" s="34" t="s">
        <v>63</v>
      </c>
      <c r="B13" s="21">
        <f>5/60</f>
        <v>8.3333333333333329E-2</v>
      </c>
    </row>
    <row r="14" spans="1:10" x14ac:dyDescent="0.25">
      <c r="A14" s="34" t="s">
        <v>64</v>
      </c>
      <c r="B14" s="21">
        <v>1</v>
      </c>
      <c r="D14" s="70" t="s">
        <v>75</v>
      </c>
      <c r="E14" s="81">
        <f>B4*E2+SUM(E3:E6)+N_of_batteries_included_with_drone*Extra_batteries_price</f>
        <v>132000</v>
      </c>
    </row>
    <row r="15" spans="1:10" ht="12" thickBot="1" x14ac:dyDescent="0.3">
      <c r="A15" s="34" t="s">
        <v>51</v>
      </c>
      <c r="B15" s="21">
        <f>0.1</f>
        <v>0.1</v>
      </c>
      <c r="D15" s="41" t="s">
        <v>76</v>
      </c>
      <c r="E15" s="82">
        <f>B4*E2*drone_use_perc+SUMPRODUCT(E3:E6,I3:I6)+N_of_batteries_included_with_drone*Extra_batteries_price</f>
        <v>94500</v>
      </c>
    </row>
    <row r="16" spans="1:10" x14ac:dyDescent="0.25">
      <c r="A16" s="37" t="s">
        <v>52</v>
      </c>
      <c r="B16" s="21">
        <v>25.3</v>
      </c>
    </row>
    <row r="17" spans="1:3" x14ac:dyDescent="0.25">
      <c r="A17" s="37" t="s">
        <v>22</v>
      </c>
      <c r="B17" s="21">
        <v>3.31</v>
      </c>
    </row>
    <row r="18" spans="1:3" x14ac:dyDescent="0.25">
      <c r="A18" s="34" t="s">
        <v>23</v>
      </c>
      <c r="B18" s="21">
        <v>1.1000000000000001</v>
      </c>
    </row>
    <row r="19" spans="1:3" x14ac:dyDescent="0.25">
      <c r="A19" s="34" t="s">
        <v>70</v>
      </c>
      <c r="B19" s="21">
        <v>12.5</v>
      </c>
    </row>
    <row r="20" spans="1:3" x14ac:dyDescent="0.25">
      <c r="A20" s="34" t="s">
        <v>69</v>
      </c>
      <c r="B20" s="21">
        <v>60</v>
      </c>
    </row>
    <row r="21" spans="1:3" x14ac:dyDescent="0.25">
      <c r="A21" s="34" t="s">
        <v>24</v>
      </c>
      <c r="B21" s="21">
        <v>30</v>
      </c>
    </row>
    <row r="22" spans="1:3" x14ac:dyDescent="0.25">
      <c r="A22" s="34" t="s">
        <v>66</v>
      </c>
      <c r="B22" s="21">
        <v>2</v>
      </c>
    </row>
    <row r="23" spans="1:3" x14ac:dyDescent="0.25">
      <c r="A23" s="34" t="s">
        <v>30</v>
      </c>
      <c r="B23" s="21">
        <v>6.5</v>
      </c>
    </row>
    <row r="24" spans="1:3" x14ac:dyDescent="0.25">
      <c r="A24" s="34" t="s">
        <v>68</v>
      </c>
      <c r="B24" s="21">
        <v>2</v>
      </c>
    </row>
    <row r="25" spans="1:3" x14ac:dyDescent="0.25">
      <c r="A25" s="34" t="s">
        <v>65</v>
      </c>
      <c r="B25" s="2">
        <f>Time_recharging_battery__hours*B11*Pumping_in_and_mixing__hours+Cleaning_the_drone__hours</f>
        <v>1.7222222222222221</v>
      </c>
    </row>
    <row r="26" spans="1:3" x14ac:dyDescent="0.25">
      <c r="A26" s="34" t="s">
        <v>49</v>
      </c>
      <c r="B26" s="21">
        <v>1</v>
      </c>
    </row>
    <row r="27" spans="1:3" ht="12" thickBot="1" x14ac:dyDescent="0.3">
      <c r="A27" s="77" t="str">
        <f xml:space="preserve"> "Battery: Years of use to achieve " &amp; Charges_of_lifespan__batteries &amp;" charge cycles"</f>
        <v>Battery: Years of use to achieve 1000 charge cycles</v>
      </c>
      <c r="B27" s="3">
        <f>Model!B13</f>
        <v>8.125</v>
      </c>
      <c r="C27" s="47" t="str">
        <f>Model!C13</f>
        <v>Your batteries will be replaced in five years, before reaching 1000 charge cycles, due to degradation</v>
      </c>
    </row>
    <row r="28" spans="1:3" ht="12" thickBot="1" x14ac:dyDescent="0.3"/>
    <row r="29" spans="1:3" ht="12" thickBot="1" x14ac:dyDescent="0.25">
      <c r="A29" s="121" t="str">
        <f>"Total costs for applying " &amp; Model!B4 &amp; " acres/year under " &amp; Model!B5*100 &amp; "% long term interest rate."</f>
        <v>Total costs for applying 4000 acres/year under 8% long term interest rate.</v>
      </c>
      <c r="B29" s="122"/>
      <c r="C29" s="123"/>
    </row>
    <row r="30" spans="1:3" x14ac:dyDescent="0.25">
      <c r="A30" s="70" t="s">
        <v>32</v>
      </c>
      <c r="B30" s="71" t="s">
        <v>45</v>
      </c>
      <c r="C30" s="72" t="s">
        <v>46</v>
      </c>
    </row>
    <row r="31" spans="1:3" x14ac:dyDescent="0.25">
      <c r="A31" s="73" t="s">
        <v>12</v>
      </c>
      <c r="B31" s="48">
        <f>Model!B16</f>
        <v>0.14727014110150205</v>
      </c>
      <c r="C31" s="74">
        <f>Model!C16</f>
        <v>589.08056440600819</v>
      </c>
    </row>
    <row r="32" spans="1:3" x14ac:dyDescent="0.25">
      <c r="A32" s="73" t="s">
        <v>13</v>
      </c>
      <c r="B32" s="48">
        <f>Model!B17</f>
        <v>1.0601577909270217</v>
      </c>
      <c r="C32" s="74">
        <f>Model!C17</f>
        <v>4240.6311637080871</v>
      </c>
    </row>
    <row r="33" spans="1:10" x14ac:dyDescent="0.25">
      <c r="A33" s="73" t="s">
        <v>31</v>
      </c>
      <c r="B33" s="48">
        <f>Model!B18</f>
        <v>7.485207100591717E-3</v>
      </c>
      <c r="C33" s="74">
        <f>Model!C18</f>
        <v>29.940828402366868</v>
      </c>
    </row>
    <row r="34" spans="1:10" x14ac:dyDescent="0.25">
      <c r="A34" s="73" t="s">
        <v>36</v>
      </c>
      <c r="B34" s="48">
        <f>Model!B19</f>
        <v>1.32375</v>
      </c>
      <c r="C34" s="74">
        <f>Model!C19</f>
        <v>5295</v>
      </c>
    </row>
    <row r="35" spans="1:10" x14ac:dyDescent="0.25">
      <c r="A35" s="73" t="s">
        <v>33</v>
      </c>
      <c r="B35" s="48">
        <f>Model!B20</f>
        <v>9.7193051130329236E-2</v>
      </c>
      <c r="C35" s="74">
        <f>Model!C20</f>
        <v>388.77220452131695</v>
      </c>
    </row>
    <row r="36" spans="1:10" x14ac:dyDescent="0.25">
      <c r="A36" s="39" t="s">
        <v>14</v>
      </c>
      <c r="B36" s="48">
        <f>Model!B21</f>
        <v>2.6358561902594446</v>
      </c>
      <c r="C36" s="74">
        <f>Model!C21</f>
        <v>10543.424761037779</v>
      </c>
      <c r="D36" s="40"/>
      <c r="E36" s="40"/>
      <c r="F36" s="40"/>
      <c r="G36" s="40"/>
    </row>
    <row r="37" spans="1:10" x14ac:dyDescent="0.25">
      <c r="A37" s="73" t="s">
        <v>44</v>
      </c>
      <c r="B37" s="48">
        <f>Model!B22</f>
        <v>3.8423651452548944</v>
      </c>
      <c r="C37" s="74">
        <f>Model!C22</f>
        <v>15369.460581019577</v>
      </c>
    </row>
    <row r="38" spans="1:10" x14ac:dyDescent="0.25">
      <c r="A38" s="73" t="s">
        <v>48</v>
      </c>
      <c r="B38" s="48">
        <f>Model!B23</f>
        <v>0.71705404555076435</v>
      </c>
      <c r="C38" s="74">
        <f>Model!C23</f>
        <v>2868.2161822030575</v>
      </c>
      <c r="F38" s="36"/>
    </row>
    <row r="39" spans="1:10" x14ac:dyDescent="0.25">
      <c r="A39" s="73" t="s">
        <v>35</v>
      </c>
      <c r="B39" s="48">
        <f>Model!B24</f>
        <v>0.1955625</v>
      </c>
      <c r="C39" s="74">
        <f>Model!C24</f>
        <v>782.25</v>
      </c>
      <c r="F39" s="36"/>
    </row>
    <row r="40" spans="1:10" x14ac:dyDescent="0.25">
      <c r="A40" s="39" t="s">
        <v>15</v>
      </c>
      <c r="B40" s="48">
        <f>Model!B25</f>
        <v>4.7549816908056588</v>
      </c>
      <c r="C40" s="74">
        <f>Model!C25</f>
        <v>19019.926763222637</v>
      </c>
      <c r="F40" s="36"/>
    </row>
    <row r="41" spans="1:10" ht="12" thickBot="1" x14ac:dyDescent="0.3">
      <c r="A41" s="41" t="s">
        <v>16</v>
      </c>
      <c r="B41" s="75">
        <f>Model!B26</f>
        <v>7.390837881065103</v>
      </c>
      <c r="C41" s="76">
        <f>Model!C26</f>
        <v>29563.351524260412</v>
      </c>
    </row>
    <row r="42" spans="1:10" x14ac:dyDescent="0.25">
      <c r="A42" s="37" t="s">
        <v>27</v>
      </c>
    </row>
    <row r="43" spans="1:10" ht="12" thickBot="1" x14ac:dyDescent="0.3">
      <c r="B43" s="50"/>
      <c r="C43" s="50"/>
      <c r="D43" s="50"/>
      <c r="E43" s="50"/>
      <c r="F43" s="50"/>
      <c r="G43" s="50"/>
      <c r="H43" s="50"/>
      <c r="I43" s="50"/>
      <c r="J43" s="17"/>
    </row>
    <row r="44" spans="1:10" x14ac:dyDescent="0.25">
      <c r="A44" s="70" t="s">
        <v>73</v>
      </c>
      <c r="B44" s="120" cm="1">
        <f t="array" ref="B44">INDEX(Model!K3:K148, MATCH(MIN(ABS(Model!Z3:Z148 - 'Inputs and summary'!B2)), ABS(Model!Z3:Z148 - 'Inputs and summary'!B2), 0))</f>
        <v>3850</v>
      </c>
    </row>
    <row r="45" spans="1:10" x14ac:dyDescent="0.25">
      <c r="A45" s="39" t="s">
        <v>74</v>
      </c>
      <c r="B45" s="87" cm="1">
        <f t="array" ref="B45">INDEX(Model!J3:J148, MATCH(MIN(ABS(Model!Z3:Z148 - 'Inputs and summary'!B2)), ABS(Model!Z3:Z148 - 'Inputs and summary'!B2), 0))</f>
        <v>74.038461538461533</v>
      </c>
    </row>
    <row r="46" spans="1:10" ht="12" thickBot="1" x14ac:dyDescent="0.3">
      <c r="A46" s="41" t="str">
        <f>"Total costs for applying " &amp; B44 &amp; " acres/year under " &amp; Model!B5*100 &amp; "% long term interest rate ($/acre)"</f>
        <v>Total costs for applying 3850 acres/year under 8% long term interest rate ($/acre)</v>
      </c>
      <c r="B46" s="88" cm="1">
        <f t="array" ref="B46">INDEX(Model!L3:X148, MATCH(MIN(ABS(Model!Z3:Z148 - 'Inputs and summary'!B2)), ABS(Model!Z3:Z148 - 'Inputs and summary'!B2), 0), MATCH(TRUE, ISNUMBER(SEARCH(B3, Model!L2:X2)), 0))</f>
        <v>7.5078707867953689</v>
      </c>
    </row>
    <row r="47" spans="1:10" x14ac:dyDescent="0.25"/>
  </sheetData>
  <sheetProtection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218928-8657-4B8D-BE06-C8400B891736}">
  <dimension ref="A1:XFD148"/>
  <sheetViews>
    <sheetView topLeftCell="B1" zoomScale="85" zoomScaleNormal="85" workbookViewId="0">
      <pane xSplit="2" ySplit="2" topLeftCell="D3" activePane="bottomRight" state="frozen"/>
      <selection activeCell="B1" sqref="B1"/>
      <selection pane="topRight" activeCell="D1" sqref="D1"/>
      <selection pane="bottomLeft" activeCell="B3" sqref="B3"/>
      <selection pane="bottomRight" activeCell="D65" sqref="D65"/>
    </sheetView>
  </sheetViews>
  <sheetFormatPr defaultColWidth="9.140625" defaultRowHeight="15" zeroHeight="1" x14ac:dyDescent="0.25"/>
  <cols>
    <col min="1" max="1" width="9.140625" hidden="1" customWidth="1"/>
    <col min="2" max="2" width="30.7109375" bestFit="1" customWidth="1"/>
    <col min="3" max="3" width="23.42578125" bestFit="1" customWidth="1"/>
    <col min="4" max="9" width="11.5703125" bestFit="1" customWidth="1"/>
    <col min="10" max="15" width="12.5703125" bestFit="1" customWidth="1"/>
    <col min="16" max="16" width="12.5703125" customWidth="1"/>
    <col min="17" max="17" width="9.140625" hidden="1" customWidth="1"/>
    <col min="18" max="16383" width="0" hidden="1" customWidth="1"/>
    <col min="16384" max="16384" width="3" hidden="1" customWidth="1"/>
  </cols>
  <sheetData>
    <row r="1" spans="2:17 16384:16384" x14ac:dyDescent="0.25">
      <c r="B1" s="143" t="str">
        <f>Model!J1</f>
        <v>Hours of application/year</v>
      </c>
      <c r="C1" s="141" t="s">
        <v>56</v>
      </c>
      <c r="D1" s="138" t="s">
        <v>47</v>
      </c>
      <c r="E1" s="139"/>
      <c r="F1" s="139"/>
      <c r="G1" s="139"/>
      <c r="H1" s="139"/>
      <c r="I1" s="139"/>
      <c r="J1" s="139"/>
      <c r="K1" s="139"/>
      <c r="L1" s="139"/>
      <c r="M1" s="139"/>
      <c r="N1" s="139"/>
      <c r="O1" s="139"/>
      <c r="P1" s="140"/>
    </row>
    <row r="2" spans="2:17 16384:16384" ht="15.75" thickBot="1" x14ac:dyDescent="0.3">
      <c r="B2" s="144"/>
      <c r="C2" s="142"/>
      <c r="D2" s="117">
        <f>Model!L2</f>
        <v>0.03</v>
      </c>
      <c r="E2" s="118">
        <f>Model!M2</f>
        <v>3.5000000000000003E-2</v>
      </c>
      <c r="F2" s="118">
        <f>Model!N2</f>
        <v>0.04</v>
      </c>
      <c r="G2" s="118">
        <f>Model!O2</f>
        <v>4.4999999999999998E-2</v>
      </c>
      <c r="H2" s="118">
        <f>Model!P2</f>
        <v>0.05</v>
      </c>
      <c r="I2" s="118">
        <f>Model!Q2</f>
        <v>5.5E-2</v>
      </c>
      <c r="J2" s="118">
        <f>Model!R2</f>
        <v>0.06</v>
      </c>
      <c r="K2" s="118">
        <f>Model!S2</f>
        <v>6.5000000000000002E-2</v>
      </c>
      <c r="L2" s="118">
        <f>Model!T2</f>
        <v>7.0000000000000007E-2</v>
      </c>
      <c r="M2" s="118">
        <f>Model!U2</f>
        <v>7.4999999999999997E-2</v>
      </c>
      <c r="N2" s="118">
        <f>Model!V2</f>
        <v>0.08</v>
      </c>
      <c r="O2" s="118">
        <f>Model!W2</f>
        <v>8.5000000000000006E-2</v>
      </c>
      <c r="P2" s="119">
        <f>Model!X2</f>
        <v>9.0000000000000094E-2</v>
      </c>
    </row>
    <row r="3" spans="2:17 16384:16384" x14ac:dyDescent="0.25">
      <c r="B3" s="11">
        <f>Model!J3</f>
        <v>1.9230769230769231</v>
      </c>
      <c r="C3" s="14">
        <f>Model!K3</f>
        <v>100</v>
      </c>
      <c r="D3" s="5">
        <f>Model!L3</f>
        <v>89.386309830363942</v>
      </c>
      <c r="E3" s="6">
        <f>Model!M3</f>
        <v>93.7608029090038</v>
      </c>
      <c r="F3" s="6">
        <f>Model!N3</f>
        <v>98.166296125539617</v>
      </c>
      <c r="G3" s="6">
        <f>Model!O3</f>
        <v>102.59454727557215</v>
      </c>
      <c r="H3" s="6">
        <f>Model!P3</f>
        <v>107.04078217204427</v>
      </c>
      <c r="I3" s="6">
        <f>Model!Q3</f>
        <v>111.5022962891189</v>
      </c>
      <c r="J3" s="6">
        <f>Model!R3</f>
        <v>115.9775642012726</v>
      </c>
      <c r="K3" s="6">
        <f>Model!S3</f>
        <v>120.46571030928411</v>
      </c>
      <c r="L3" s="6">
        <f>Model!T3</f>
        <v>124.96620850464869</v>
      </c>
      <c r="M3" s="6">
        <f>Model!U3</f>
        <v>129.47871714280953</v>
      </c>
      <c r="N3" s="6">
        <f>Model!V3</f>
        <v>134.00299043862961</v>
      </c>
      <c r="O3" s="6">
        <f>Model!W3</f>
        <v>138.5388317067121</v>
      </c>
      <c r="P3" s="7">
        <f>Model!X3</f>
        <v>143.08606901744849</v>
      </c>
      <c r="Q3" s="18">
        <f>C3</f>
        <v>100</v>
      </c>
      <c r="XFD3">
        <f>1</f>
        <v>1</v>
      </c>
    </row>
    <row r="4" spans="2:17 16384:16384" x14ac:dyDescent="0.25">
      <c r="B4" s="11">
        <f>Model!J4</f>
        <v>2.8846153846153846</v>
      </c>
      <c r="C4" s="15">
        <f>Model!K4</f>
        <v>150</v>
      </c>
      <c r="D4" s="5">
        <f>Model!L4</f>
        <v>60.571382903050235</v>
      </c>
      <c r="E4" s="6">
        <f>Model!M4</f>
        <v>63.425500600432144</v>
      </c>
      <c r="F4" s="6">
        <f>Model!N4</f>
        <v>66.315433325103371</v>
      </c>
      <c r="G4" s="6">
        <f>Model!O4</f>
        <v>69.233548277268923</v>
      </c>
      <c r="H4" s="6">
        <f>Model!P4</f>
        <v>72.173986589563796</v>
      </c>
      <c r="I4" s="6">
        <f>Model!Q4</f>
        <v>75.132395543209896</v>
      </c>
      <c r="J4" s="6">
        <f>Model!R4</f>
        <v>78.105620370459519</v>
      </c>
      <c r="K4" s="6">
        <f>Model!S4</f>
        <v>81.091414865757358</v>
      </c>
      <c r="L4" s="6">
        <f>Model!T4</f>
        <v>84.088197711282504</v>
      </c>
      <c r="M4" s="6">
        <f>Model!U4</f>
        <v>87.09486100489255</v>
      </c>
      <c r="N4" s="6">
        <f>Model!V4</f>
        <v>90.110626821155719</v>
      </c>
      <c r="O4" s="6">
        <f>Model!W4</f>
        <v>93.134943409819641</v>
      </c>
      <c r="P4" s="7">
        <f>Model!X4</f>
        <v>96.167411996850674</v>
      </c>
      <c r="Q4" s="18">
        <f t="shared" ref="Q4:Q67" si="0">C4</f>
        <v>150</v>
      </c>
      <c r="XFD4">
        <f>0</f>
        <v>0</v>
      </c>
    </row>
    <row r="5" spans="2:17 16384:16384" x14ac:dyDescent="0.25">
      <c r="B5" s="11">
        <f>Model!J5</f>
        <v>3.8461538461538463</v>
      </c>
      <c r="C5" s="15">
        <f>Model!K5</f>
        <v>200</v>
      </c>
      <c r="D5" s="5">
        <f>Model!L5</f>
        <v>46.276789067433029</v>
      </c>
      <c r="E5" s="6">
        <f>Model!M5</f>
        <v>48.370060585118118</v>
      </c>
      <c r="F5" s="6">
        <f>Model!N5</f>
        <v>50.494824824358453</v>
      </c>
      <c r="G5" s="6">
        <f>Model!O5</f>
        <v>52.646411460253063</v>
      </c>
      <c r="H5" s="6">
        <f>Model!P5</f>
        <v>54.82071129142939</v>
      </c>
      <c r="I5" s="6">
        <f>Model!Q5</f>
        <v>57.01421574694475</v>
      </c>
      <c r="J5" s="6">
        <f>Model!R5</f>
        <v>59.224002028378301</v>
      </c>
      <c r="K5" s="6">
        <f>Model!S5</f>
        <v>61.447683755829473</v>
      </c>
      <c r="L5" s="6">
        <f>Model!T5</f>
        <v>63.683343690739605</v>
      </c>
      <c r="M5" s="6">
        <f>Model!U5</f>
        <v>65.929460733973031</v>
      </c>
      <c r="N5" s="6">
        <f>Model!V5</f>
        <v>68.184839184015203</v>
      </c>
      <c r="O5" s="6">
        <f>Model!W5</f>
        <v>70.448544799124988</v>
      </c>
      <c r="P5" s="7">
        <f>Model!X5</f>
        <v>72.719849707319696</v>
      </c>
      <c r="Q5" s="18">
        <f t="shared" si="0"/>
        <v>200</v>
      </c>
      <c r="XFD5">
        <f>1</f>
        <v>1</v>
      </c>
    </row>
    <row r="6" spans="2:17 16384:16384" x14ac:dyDescent="0.25">
      <c r="B6" s="11">
        <f>Model!J6</f>
        <v>4.8076923076923075</v>
      </c>
      <c r="C6" s="15">
        <f>Model!K6</f>
        <v>250</v>
      </c>
      <c r="D6" s="5">
        <f>Model!L6</f>
        <v>37.75710565699282</v>
      </c>
      <c r="E6" s="6">
        <f>Model!M6</f>
        <v>39.401038087274117</v>
      </c>
      <c r="F6" s="6">
        <f>Model!N6</f>
        <v>41.070576924096926</v>
      </c>
      <c r="G6" s="6">
        <f>Model!O6</f>
        <v>42.763016733046243</v>
      </c>
      <c r="H6" s="6">
        <f>Model!P6</f>
        <v>44.475795665574203</v>
      </c>
      <c r="I6" s="6">
        <f>Model!Q6</f>
        <v>46.206550401746426</v>
      </c>
      <c r="J6" s="6">
        <f>Model!R6</f>
        <v>47.953148407024663</v>
      </c>
      <c r="K6" s="6">
        <f>Model!S6</f>
        <v>49.713701112024403</v>
      </c>
      <c r="L6" s="6">
        <f>Model!T6</f>
        <v>51.486562309571049</v>
      </c>
      <c r="M6" s="6">
        <f>Model!U6</f>
        <v>53.270316042434374</v>
      </c>
      <c r="N6" s="6">
        <f>Model!V6</f>
        <v>55.063757783540439</v>
      </c>
      <c r="O6" s="6">
        <f>Model!W6</f>
        <v>56.865872014668277</v>
      </c>
      <c r="P6" s="7">
        <f>Model!X6</f>
        <v>58.675808558767301</v>
      </c>
      <c r="Q6" s="18">
        <f t="shared" si="0"/>
        <v>250</v>
      </c>
      <c r="XFD6">
        <f>0</f>
        <v>0</v>
      </c>
    </row>
    <row r="7" spans="2:17 16384:16384" x14ac:dyDescent="0.25">
      <c r="B7" s="11">
        <f>Model!J7</f>
        <v>5.7692307692307692</v>
      </c>
      <c r="C7" s="15">
        <f>Model!K7</f>
        <v>300</v>
      </c>
      <c r="D7" s="5">
        <f>Model!L7</f>
        <v>32.106664616223178</v>
      </c>
      <c r="E7" s="6">
        <f>Model!M7</f>
        <v>33.456924570796374</v>
      </c>
      <c r="F7" s="6">
        <f>Model!N7</f>
        <v>34.827767787439718</v>
      </c>
      <c r="G7" s="6">
        <f>Model!O7</f>
        <v>36.21758049106689</v>
      </c>
      <c r="H7" s="6">
        <f>Model!P7</f>
        <v>37.624768196171573</v>
      </c>
      <c r="I7" s="6">
        <f>Model!Q7</f>
        <v>39.047790805725143</v>
      </c>
      <c r="J7" s="6">
        <f>Model!R7</f>
        <v>40.485189382090255</v>
      </c>
      <c r="K7" s="6">
        <f>Model!S7</f>
        <v>41.935604857491647</v>
      </c>
      <c r="L7" s="6">
        <f>Model!T7</f>
        <v>43.397789454925899</v>
      </c>
      <c r="M7" s="6">
        <f>Model!U7</f>
        <v>44.870611894200174</v>
      </c>
      <c r="N7" s="6">
        <f>Model!V7</f>
        <v>46.353057588198723</v>
      </c>
      <c r="O7" s="6">
        <f>Model!W7</f>
        <v>47.844225030722768</v>
      </c>
      <c r="P7" s="7">
        <f>Model!X7</f>
        <v>49.343319481493786</v>
      </c>
      <c r="Q7" s="18">
        <f t="shared" si="0"/>
        <v>300</v>
      </c>
      <c r="XFD7">
        <f>1</f>
        <v>1</v>
      </c>
    </row>
    <row r="8" spans="2:17 16384:16384" x14ac:dyDescent="0.25">
      <c r="B8" s="11">
        <f>Model!J8</f>
        <v>6.7307692307692308</v>
      </c>
      <c r="C8" s="15">
        <f>Model!K8</f>
        <v>350</v>
      </c>
      <c r="D8" s="5">
        <f>Model!L8</f>
        <v>28.086731504420243</v>
      </c>
      <c r="E8" s="6">
        <f>Model!M8</f>
        <v>29.231175009593883</v>
      </c>
      <c r="F8" s="6">
        <f>Model!N8</f>
        <v>30.392318383350542</v>
      </c>
      <c r="G8" s="6">
        <f>Model!O8</f>
        <v>31.569151566591586</v>
      </c>
      <c r="H8" s="6">
        <f>Model!P8</f>
        <v>32.760650531777074</v>
      </c>
      <c r="I8" s="6">
        <f>Model!Q8</f>
        <v>33.965797486835328</v>
      </c>
      <c r="J8" s="6">
        <f>Model!R8</f>
        <v>35.183597996929265</v>
      </c>
      <c r="K8" s="6">
        <f>Model!S8</f>
        <v>36.413094820544288</v>
      </c>
      <c r="L8" s="6">
        <f>Model!T8</f>
        <v>37.653378476545754</v>
      </c>
      <c r="M8" s="6">
        <f>Model!U8</f>
        <v>38.903594730196275</v>
      </c>
      <c r="N8" s="6">
        <f>Model!V8</f>
        <v>40.162949306039955</v>
      </c>
      <c r="O8" s="6">
        <f>Model!W8</f>
        <v>41.430710207289053</v>
      </c>
      <c r="P8" s="7">
        <f>Model!X8</f>
        <v>42.706208051826351</v>
      </c>
      <c r="Q8" s="18">
        <f t="shared" si="0"/>
        <v>350</v>
      </c>
      <c r="XFD8">
        <f>0</f>
        <v>0</v>
      </c>
    </row>
    <row r="9" spans="2:17 16384:16384" x14ac:dyDescent="0.25">
      <c r="B9" s="11">
        <f>Model!J9</f>
        <v>7.6923076923076925</v>
      </c>
      <c r="C9" s="15">
        <f>Model!K9</f>
        <v>400</v>
      </c>
      <c r="D9" s="5">
        <f>Model!L9</f>
        <v>25.081200689472048</v>
      </c>
      <c r="E9" s="6">
        <f>Model!M9</f>
        <v>26.073860526973</v>
      </c>
      <c r="F9" s="6">
        <f>Model!N9</f>
        <v>27.080275058387496</v>
      </c>
      <c r="G9" s="6">
        <f>Model!O9</f>
        <v>28.099780320120573</v>
      </c>
      <c r="H9" s="6">
        <f>Model!P9</f>
        <v>29.131692327392216</v>
      </c>
      <c r="I9" s="6">
        <f>Model!Q9</f>
        <v>30.175318695053008</v>
      </c>
      <c r="J9" s="6">
        <f>Model!R9</f>
        <v>31.22996907127288</v>
      </c>
      <c r="K9" s="6">
        <f>Model!S9</f>
        <v>32.294964201161918</v>
      </c>
      <c r="L9" s="6">
        <f>Model!T9</f>
        <v>33.369643527379345</v>
      </c>
      <c r="M9" s="6">
        <f>Model!U9</f>
        <v>34.453371313529452</v>
      </c>
      <c r="N9" s="6">
        <f>Model!V9</f>
        <v>35.545541340562998</v>
      </c>
      <c r="O9" s="6">
        <f>Model!W9</f>
        <v>36.645580275316803</v>
      </c>
      <c r="P9" s="7">
        <f>Model!X9</f>
        <v>37.752949844021877</v>
      </c>
      <c r="Q9" s="18">
        <f t="shared" si="0"/>
        <v>400</v>
      </c>
      <c r="XFD9">
        <f>1</f>
        <v>1</v>
      </c>
    </row>
    <row r="10" spans="2:17 16384:16384" x14ac:dyDescent="0.25">
      <c r="B10" s="11">
        <f>Model!J10</f>
        <v>8.6538461538461533</v>
      </c>
      <c r="C10" s="15">
        <f>Model!K10</f>
        <v>450</v>
      </c>
      <c r="D10" s="5">
        <f>Model!L10</f>
        <v>22.749396466998014</v>
      </c>
      <c r="E10" s="6">
        <f>Model!M10</f>
        <v>23.625709396393166</v>
      </c>
      <c r="F10" s="6">
        <f>Model!N10</f>
        <v>24.513531322516961</v>
      </c>
      <c r="G10" s="6">
        <f>Model!O10</f>
        <v>25.412405714981308</v>
      </c>
      <c r="H10" s="6">
        <f>Model!P10</f>
        <v>26.321857597843621</v>
      </c>
      <c r="I10" s="6">
        <f>Model!Q10</f>
        <v>27.241400420913315</v>
      </c>
      <c r="J10" s="6">
        <f>Model!R10</f>
        <v>28.170542453454651</v>
      </c>
      <c r="K10" s="6">
        <f>Model!S10</f>
        <v>29.108792583811308</v>
      </c>
      <c r="L10" s="6">
        <f>Model!T10</f>
        <v>30.055665445999942</v>
      </c>
      <c r="M10" s="6">
        <f>Model!U10</f>
        <v>31.010685829556575</v>
      </c>
      <c r="N10" s="6">
        <f>Model!V10</f>
        <v>31.973392360286166</v>
      </c>
      <c r="O10" s="6">
        <f>Model!W10</f>
        <v>32.943340466075192</v>
      </c>
      <c r="P10" s="7">
        <f>Model!X10</f>
        <v>33.920104663087479</v>
      </c>
      <c r="Q10" s="18">
        <f t="shared" si="0"/>
        <v>450</v>
      </c>
      <c r="XFD10">
        <f>0</f>
        <v>0</v>
      </c>
    </row>
    <row r="11" spans="2:17 16384:16384" x14ac:dyDescent="0.25">
      <c r="B11" s="11">
        <f>Model!J11</f>
        <v>9.615384615384615</v>
      </c>
      <c r="C11" s="15">
        <f>Model!K11</f>
        <v>500</v>
      </c>
      <c r="D11" s="5">
        <f>Model!L11</f>
        <v>20.887737739040475</v>
      </c>
      <c r="E11" s="6">
        <f>Model!M11</f>
        <v>21.672131373050664</v>
      </c>
      <c r="F11" s="6">
        <f>Model!N11</f>
        <v>22.466298446482366</v>
      </c>
      <c r="G11" s="6">
        <f>Model!O11</f>
        <v>23.269912294137498</v>
      </c>
      <c r="H11" s="6">
        <f>Model!P11</f>
        <v>24.082631021985744</v>
      </c>
      <c r="I11" s="6">
        <f>Model!Q11</f>
        <v>24.904101716576047</v>
      </c>
      <c r="J11" s="6">
        <f>Model!R11</f>
        <v>25.733964454868037</v>
      </c>
      <c r="K11" s="6">
        <f>Model!S11</f>
        <v>26.571856045427023</v>
      </c>
      <c r="L11" s="6">
        <f>Model!T11</f>
        <v>27.417413448308167</v>
      </c>
      <c r="M11" s="6">
        <f>Model!U11</f>
        <v>28.27027683708976</v>
      </c>
      <c r="N11" s="6">
        <f>Model!V11</f>
        <v>29.130092281673573</v>
      </c>
      <c r="O11" s="6">
        <f>Model!W11</f>
        <v>29.99651404412619</v>
      </c>
      <c r="P11" s="7">
        <f>Model!X11</f>
        <v>30.869206491620794</v>
      </c>
      <c r="Q11" s="18">
        <f t="shared" si="0"/>
        <v>500</v>
      </c>
      <c r="XFD11">
        <f>1</f>
        <v>1</v>
      </c>
    </row>
    <row r="12" spans="2:17 16384:16384" x14ac:dyDescent="0.25">
      <c r="B12" s="11">
        <f>Model!J12</f>
        <v>10.576923076923077</v>
      </c>
      <c r="C12" s="15">
        <f>Model!K12</f>
        <v>550</v>
      </c>
      <c r="D12" s="5">
        <f>Model!L12</f>
        <v>19.36711845515773</v>
      </c>
      <c r="E12" s="6">
        <f>Model!M12</f>
        <v>20.077112210810107</v>
      </c>
      <c r="F12" s="6">
        <f>Model!N12</f>
        <v>20.795516940737503</v>
      </c>
      <c r="G12" s="6">
        <f>Model!O12</f>
        <v>21.522090598002215</v>
      </c>
      <c r="H12" s="6">
        <f>Model!P12</f>
        <v>22.256579011416257</v>
      </c>
      <c r="I12" s="6">
        <f>Model!Q12</f>
        <v>22.998718559241397</v>
      </c>
      <c r="J12" s="6">
        <f>Model!R12</f>
        <v>23.748238757054033</v>
      </c>
      <c r="K12" s="6">
        <f>Model!S12</f>
        <v>24.50486471913905</v>
      </c>
      <c r="L12" s="6">
        <f>Model!T12</f>
        <v>25.26831946032403</v>
      </c>
      <c r="M12" s="6">
        <f>Model!U12</f>
        <v>26.038326012854768</v>
      </c>
      <c r="N12" s="6">
        <f>Model!V12</f>
        <v>26.814609340408303</v>
      </c>
      <c r="O12" s="6">
        <f>Model!W12</f>
        <v>27.596898038388598</v>
      </c>
      <c r="P12" s="7">
        <f>Model!X12</f>
        <v>28.384925816041218</v>
      </c>
      <c r="Q12" s="18">
        <f t="shared" si="0"/>
        <v>550</v>
      </c>
      <c r="XFD12">
        <f>0</f>
        <v>0</v>
      </c>
    </row>
    <row r="13" spans="2:17 16384:16384" x14ac:dyDescent="0.25">
      <c r="B13" s="11">
        <f>Model!J13</f>
        <v>11.538461538461538</v>
      </c>
      <c r="C13" s="15">
        <f>Model!K13</f>
        <v>600</v>
      </c>
      <c r="D13" s="5">
        <f>Model!L13</f>
        <v>18.101720804172572</v>
      </c>
      <c r="E13" s="6">
        <f>Model!M13</f>
        <v>18.750290947876579</v>
      </c>
      <c r="F13" s="6">
        <f>Model!N13</f>
        <v>19.406185680044878</v>
      </c>
      <c r="G13" s="6">
        <f>Model!O13</f>
        <v>20.069220099303767</v>
      </c>
      <c r="H13" s="6">
        <f>Model!P13</f>
        <v>20.739199750437052</v>
      </c>
      <c r="I13" s="6">
        <f>Model!Q13</f>
        <v>21.415922382112942</v>
      </c>
      <c r="J13" s="6">
        <f>Model!R13</f>
        <v>22.099179667032324</v>
      </c>
      <c r="K13" s="6">
        <f>Model!S13</f>
        <v>22.788758860248109</v>
      </c>
      <c r="L13" s="6">
        <f>Model!T13</f>
        <v>23.484444375077551</v>
      </c>
      <c r="M13" s="6">
        <f>Model!U13</f>
        <v>24.186019259864352</v>
      </c>
      <c r="N13" s="6">
        <f>Model!V13</f>
        <v>24.893266562683856</v>
      </c>
      <c r="O13" s="6">
        <f>Model!W13</f>
        <v>25.605970574804736</v>
      </c>
      <c r="P13" s="7">
        <f>Model!X13</f>
        <v>26.323917947209043</v>
      </c>
      <c r="Q13" s="18">
        <f t="shared" si="0"/>
        <v>600</v>
      </c>
      <c r="XFD13">
        <f>1</f>
        <v>1</v>
      </c>
    </row>
    <row r="14" spans="2:17 16384:16384" x14ac:dyDescent="0.25">
      <c r="B14" s="11">
        <f>Model!J14</f>
        <v>12.5</v>
      </c>
      <c r="C14" s="15">
        <f>Model!K14</f>
        <v>650</v>
      </c>
      <c r="D14" s="5">
        <f>Model!L14</f>
        <v>17.032282431720041</v>
      </c>
      <c r="E14" s="6">
        <f>Model!M14</f>
        <v>17.629299910514632</v>
      </c>
      <c r="F14" s="6">
        <f>Model!N14</f>
        <v>18.232762917417006</v>
      </c>
      <c r="G14" s="6">
        <f>Model!O14</f>
        <v>18.842526391392525</v>
      </c>
      <c r="H14" s="6">
        <f>Model!P14</f>
        <v>19.458437736888623</v>
      </c>
      <c r="I14" s="6">
        <f>Model!Q14</f>
        <v>20.080338016783102</v>
      </c>
      <c r="J14" s="6">
        <f>Model!R14</f>
        <v>20.708063128796297</v>
      </c>
      <c r="K14" s="6">
        <f>Model!S14</f>
        <v>21.341444950574402</v>
      </c>
      <c r="L14" s="6">
        <f>Model!T14</f>
        <v>21.980312440534117</v>
      </c>
      <c r="M14" s="6">
        <f>Model!U14</f>
        <v>22.624492683562018</v>
      </c>
      <c r="N14" s="6">
        <f>Model!V14</f>
        <v>23.273811872702389</v>
      </c>
      <c r="O14" s="6">
        <f>Model!W14</f>
        <v>23.928096219991225</v>
      </c>
      <c r="P14" s="7">
        <f>Model!X14</f>
        <v>24.587172791537387</v>
      </c>
      <c r="Q14" s="18">
        <f t="shared" si="0"/>
        <v>650</v>
      </c>
      <c r="XFD14">
        <f>0</f>
        <v>0</v>
      </c>
    </row>
    <row r="15" spans="2:17 16384:16384" x14ac:dyDescent="0.25">
      <c r="B15" s="11">
        <f>Model!J15</f>
        <v>13.461538461538462</v>
      </c>
      <c r="C15" s="15">
        <f>Model!K15</f>
        <v>700</v>
      </c>
      <c r="D15" s="5">
        <f>Model!L15</f>
        <v>16.116565539976612</v>
      </c>
      <c r="E15" s="6">
        <f>Model!M15</f>
        <v>16.669709220250244</v>
      </c>
      <c r="F15" s="6">
        <f>Model!N15</f>
        <v>17.228577465936361</v>
      </c>
      <c r="G15" s="6">
        <f>Model!O15</f>
        <v>17.79305378798071</v>
      </c>
      <c r="H15" s="6">
        <f>Model!P15</f>
        <v>18.363015720079567</v>
      </c>
      <c r="I15" s="6">
        <f>Model!Q15</f>
        <v>18.938335652261053</v>
      </c>
      <c r="J15" s="6">
        <f>Model!R15</f>
        <v>19.518881657262284</v>
      </c>
      <c r="K15" s="6">
        <f>Model!S15</f>
        <v>20.104518300455357</v>
      </c>
      <c r="L15" s="6">
        <f>Model!T15</f>
        <v>20.695107425089823</v>
      </c>
      <c r="M15" s="6">
        <f>Model!U15</f>
        <v>21.290508905713658</v>
      </c>
      <c r="N15" s="6">
        <f>Model!V15</f>
        <v>21.890581363762877</v>
      </c>
      <c r="O15" s="6">
        <f>Model!W15</f>
        <v>22.495182840448429</v>
      </c>
      <c r="P15" s="7">
        <f>Model!X15</f>
        <v>23.1041714231805</v>
      </c>
      <c r="Q15" s="18">
        <f t="shared" si="0"/>
        <v>700</v>
      </c>
      <c r="XFD15">
        <f>1</f>
        <v>1</v>
      </c>
    </row>
    <row r="16" spans="2:17 16384:16384" x14ac:dyDescent="0.25">
      <c r="B16" s="11">
        <f>Model!J16</f>
        <v>14.423076923076923</v>
      </c>
      <c r="C16" s="15">
        <f>Model!K16</f>
        <v>750</v>
      </c>
      <c r="D16" s="5">
        <f>Model!L16</f>
        <v>15.32365471099062</v>
      </c>
      <c r="E16" s="6">
        <f>Model!M16</f>
        <v>15.839013199995424</v>
      </c>
      <c r="F16" s="6">
        <f>Model!N16</f>
        <v>16.359497656693371</v>
      </c>
      <c r="G16" s="6">
        <f>Model!O16</f>
        <v>16.885012604768406</v>
      </c>
      <c r="H16" s="6">
        <f>Model!P16</f>
        <v>17.41545778664268</v>
      </c>
      <c r="I16" s="6">
        <f>Model!Q16</f>
        <v>17.950728761629914</v>
      </c>
      <c r="J16" s="6">
        <f>Model!R16</f>
        <v>18.490717501038585</v>
      </c>
      <c r="K16" s="6">
        <f>Model!S16</f>
        <v>19.035312974300531</v>
      </c>
      <c r="L16" s="6">
        <f>Model!T16</f>
        <v>19.584401720772881</v>
      </c>
      <c r="M16" s="6">
        <f>Model!U16</f>
        <v>20.137868402485459</v>
      </c>
      <c r="N16" s="6">
        <f>Model!V16</f>
        <v>20.695596333753326</v>
      </c>
      <c r="O16" s="6">
        <f>Model!W16</f>
        <v>21.257467984236801</v>
      </c>
      <c r="P16" s="7">
        <f>Model!X16</f>
        <v>21.823365452685437</v>
      </c>
      <c r="Q16" s="18">
        <f t="shared" si="0"/>
        <v>750</v>
      </c>
      <c r="XFD16">
        <f>0</f>
        <v>0</v>
      </c>
    </row>
    <row r="17" spans="2:17 16384:16384" x14ac:dyDescent="0.25">
      <c r="B17" s="11">
        <f>Model!J17</f>
        <v>15.384615384615385</v>
      </c>
      <c r="C17" s="15">
        <f>Model!K17</f>
        <v>800</v>
      </c>
      <c r="D17" s="5">
        <f>Model!L17</f>
        <v>14.630402132069968</v>
      </c>
      <c r="E17" s="6">
        <f>Model!M17</f>
        <v>15.112883042577861</v>
      </c>
      <c r="F17" s="6">
        <f>Model!N17</f>
        <v>15.599987366960205</v>
      </c>
      <c r="G17" s="6">
        <f>Model!O17</f>
        <v>16.091635433262216</v>
      </c>
      <c r="H17" s="6">
        <f>Model!P17</f>
        <v>16.587743709231312</v>
      </c>
      <c r="I17" s="6">
        <f>Model!Q17</f>
        <v>17.088225242057497</v>
      </c>
      <c r="J17" s="6">
        <f>Model!R17</f>
        <v>17.592990096885952</v>
      </c>
      <c r="K17" s="6">
        <f>Model!S17</f>
        <v>18.101945790214721</v>
      </c>
      <c r="L17" s="6">
        <f>Model!T17</f>
        <v>18.614997714626973</v>
      </c>
      <c r="M17" s="6">
        <f>Model!U17</f>
        <v>19.132049551678286</v>
      </c>
      <c r="N17" s="6">
        <f>Model!V17</f>
        <v>19.653003670144471</v>
      </c>
      <c r="O17" s="6">
        <f>Model!W17</f>
        <v>20.177761507234397</v>
      </c>
      <c r="P17" s="7">
        <f>Model!X17</f>
        <v>20.706223930768381</v>
      </c>
      <c r="Q17" s="18">
        <f t="shared" si="0"/>
        <v>800</v>
      </c>
      <c r="XFD17">
        <f>1</f>
        <v>1</v>
      </c>
    </row>
    <row r="18" spans="2:17 16384:16384" x14ac:dyDescent="0.25">
      <c r="B18" s="11">
        <f>Model!J18</f>
        <v>16.346153846153847</v>
      </c>
      <c r="C18" s="15">
        <f>Model!K18</f>
        <v>850</v>
      </c>
      <c r="D18" s="5">
        <f>Model!L18</f>
        <v>14.019132681864122</v>
      </c>
      <c r="E18" s="6">
        <f>Model!M18</f>
        <v>14.472748598882291</v>
      </c>
      <c r="F18" s="6">
        <f>Model!N18</f>
        <v>14.930561746239029</v>
      </c>
      <c r="G18" s="6">
        <f>Model!O18</f>
        <v>15.392504580463179</v>
      </c>
      <c r="H18" s="6">
        <f>Model!P18</f>
        <v>15.858506411226713</v>
      </c>
      <c r="I18" s="6">
        <f>Model!Q18</f>
        <v>16.32849373185725</v>
      </c>
      <c r="J18" s="6">
        <f>Model!R18</f>
        <v>16.802390549387461</v>
      </c>
      <c r="K18" s="6">
        <f>Model!S18</f>
        <v>17.280118711532417</v>
      </c>
      <c r="L18" s="6">
        <f>Model!T18</f>
        <v>17.761598228192106</v>
      </c>
      <c r="M18" s="6">
        <f>Model!U18</f>
        <v>18.246747585304917</v>
      </c>
      <c r="N18" s="6">
        <f>Model!V18</f>
        <v>18.735484049115037</v>
      </c>
      <c r="O18" s="6">
        <f>Model!W18</f>
        <v>19.227723959164585</v>
      </c>
      <c r="P18" s="7">
        <f>Model!X18</f>
        <v>19.723383008568156</v>
      </c>
      <c r="Q18" s="18">
        <f t="shared" si="0"/>
        <v>850</v>
      </c>
      <c r="XFD18">
        <f>0</f>
        <v>0</v>
      </c>
    </row>
    <row r="19" spans="2:17 16384:16384" x14ac:dyDescent="0.25">
      <c r="B19" s="11">
        <f>Model!J19</f>
        <v>17.307692307692307</v>
      </c>
      <c r="C19" s="15">
        <f>Model!K19</f>
        <v>900</v>
      </c>
      <c r="D19" s="5">
        <f>Model!L19</f>
        <v>13.476117105181508</v>
      </c>
      <c r="E19" s="6">
        <f>Model!M19</f>
        <v>13.90419017387914</v>
      </c>
      <c r="F19" s="6">
        <f>Model!N19</f>
        <v>14.33609574720345</v>
      </c>
      <c r="G19" s="6">
        <f>Model!O19</f>
        <v>14.771775759057071</v>
      </c>
      <c r="H19" s="6">
        <f>Model!P19</f>
        <v>15.21116955337931</v>
      </c>
      <c r="I19" s="6">
        <f>Model!Q19</f>
        <v>15.654214137646205</v>
      </c>
      <c r="J19" s="6">
        <f>Model!R19</f>
        <v>16.100844436195562</v>
      </c>
      <c r="K19" s="6">
        <f>Model!S19</f>
        <v>16.550993541588248</v>
      </c>
      <c r="L19" s="6">
        <f>Model!T19</f>
        <v>17.004592962347541</v>
      </c>
      <c r="M19" s="6">
        <f>Model!U19</f>
        <v>17.461572865564694</v>
      </c>
      <c r="N19" s="6">
        <f>Model!V19</f>
        <v>17.921862313009296</v>
      </c>
      <c r="O19" s="6">
        <f>Model!W19</f>
        <v>18.385389489541947</v>
      </c>
      <c r="P19" s="7">
        <f>Model!X19</f>
        <v>18.852081922784837</v>
      </c>
      <c r="Q19" s="18">
        <f t="shared" si="0"/>
        <v>900</v>
      </c>
      <c r="XFD19">
        <f>1</f>
        <v>1</v>
      </c>
    </row>
    <row r="20" spans="2:17 16384:16384" x14ac:dyDescent="0.25">
      <c r="B20" s="11">
        <f>Model!J20</f>
        <v>18.26923076923077</v>
      </c>
      <c r="C20" s="15">
        <f>Model!K20</f>
        <v>950</v>
      </c>
      <c r="D20" s="5">
        <f>Model!L20</f>
        <v>12.990529256102963</v>
      </c>
      <c r="E20" s="6">
        <f>Model!M20</f>
        <v>13.39584061577769</v>
      </c>
      <c r="F20" s="6">
        <f>Model!N20</f>
        <v>13.804669758415137</v>
      </c>
      <c r="G20" s="6">
        <f>Model!O20</f>
        <v>14.216966145423864</v>
      </c>
      <c r="H20" s="6">
        <f>Model!P20</f>
        <v>14.632677086567709</v>
      </c>
      <c r="I20" s="6">
        <f>Model!Q20</f>
        <v>15.051747938049807</v>
      </c>
      <c r="J20" s="6">
        <f>Model!R20</f>
        <v>15.474122300501133</v>
      </c>
      <c r="K20" s="6">
        <f>Model!S20</f>
        <v>15.899742215622407</v>
      </c>
      <c r="L20" s="6">
        <f>Model!T20</f>
        <v>16.328548360313437</v>
      </c>
      <c r="M20" s="6">
        <f>Model!U20</f>
        <v>16.760480237220847</v>
      </c>
      <c r="N20" s="6">
        <f>Model!V20</f>
        <v>17.195476360733295</v>
      </c>
      <c r="O20" s="6">
        <f>Model!W20</f>
        <v>17.633474437558526</v>
      </c>
      <c r="P20" s="7">
        <f>Model!X20</f>
        <v>18.074411541120089</v>
      </c>
      <c r="Q20" s="18">
        <f t="shared" si="0"/>
        <v>950</v>
      </c>
      <c r="XFD20">
        <f>0</f>
        <v>0</v>
      </c>
    </row>
    <row r="21" spans="2:17 16384:16384" x14ac:dyDescent="0.25">
      <c r="B21" s="11">
        <f>Model!J21</f>
        <v>19.23076923076923</v>
      </c>
      <c r="C21" s="15">
        <f>Model!K21</f>
        <v>1000</v>
      </c>
      <c r="D21" s="5">
        <f>Model!L21</f>
        <v>12.553717374046425</v>
      </c>
      <c r="E21" s="6">
        <f>Model!M21</f>
        <v>12.938618327997538</v>
      </c>
      <c r="F21" s="6">
        <f>Model!N21</f>
        <v>13.326763440872075</v>
      </c>
      <c r="G21" s="6">
        <f>Model!O21</f>
        <v>13.718108241734599</v>
      </c>
      <c r="H21" s="6">
        <f>Model!P21</f>
        <v>14.112606455942094</v>
      </c>
      <c r="I21" s="6">
        <f>Model!Q21</f>
        <v>14.510210162601586</v>
      </c>
      <c r="J21" s="6">
        <f>Model!R21</f>
        <v>14.910869951927143</v>
      </c>
      <c r="K21" s="6">
        <f>Model!S21</f>
        <v>15.314535081604323</v>
      </c>
      <c r="L21" s="6">
        <f>Model!T21</f>
        <v>15.721153631327391</v>
      </c>
      <c r="M21" s="6">
        <f>Model!U21</f>
        <v>16.13067265474087</v>
      </c>
      <c r="N21" s="6">
        <f>Model!V21</f>
        <v>16.543038328082783</v>
      </c>
      <c r="O21" s="6">
        <f>Model!W21</f>
        <v>16.95819609489854</v>
      </c>
      <c r="P21" s="7">
        <f>Model!X21</f>
        <v>17.376090806264013</v>
      </c>
      <c r="Q21" s="18">
        <f t="shared" si="0"/>
        <v>1000</v>
      </c>
      <c r="XFD21">
        <f>1</f>
        <v>1</v>
      </c>
    </row>
    <row r="22" spans="2:17 16384:16384" x14ac:dyDescent="0.25">
      <c r="B22" s="11">
        <f>Model!J22</f>
        <v>20.192307692307693</v>
      </c>
      <c r="C22" s="15">
        <f>Model!K22</f>
        <v>1050</v>
      </c>
      <c r="D22" s="5">
        <f>Model!L22</f>
        <v>12.158684345505939</v>
      </c>
      <c r="E22" s="6">
        <f>Model!M22</f>
        <v>12.525180427767372</v>
      </c>
      <c r="F22" s="6">
        <f>Model!N22</f>
        <v>12.894681137087412</v>
      </c>
      <c r="G22" s="6">
        <f>Model!O22</f>
        <v>13.267146959356811</v>
      </c>
      <c r="H22" s="6">
        <f>Model!P22</f>
        <v>13.64253685529069</v>
      </c>
      <c r="I22" s="6">
        <f>Model!Q22</f>
        <v>14.020808387588549</v>
      </c>
      <c r="J22" s="6">
        <f>Model!R22</f>
        <v>14.401917847959972</v>
      </c>
      <c r="K22" s="6">
        <f>Model!S22</f>
        <v>14.785820383368483</v>
      </c>
      <c r="L22" s="6">
        <f>Model!T22</f>
        <v>15.17247012088569</v>
      </c>
      <c r="M22" s="6">
        <f>Model!U22</f>
        <v>15.561820290594463</v>
      </c>
      <c r="N22" s="6">
        <f>Model!V22</f>
        <v>15.953823346025059</v>
      </c>
      <c r="O22" s="6">
        <f>Model!W22</f>
        <v>16.348431081658177</v>
      </c>
      <c r="P22" s="7">
        <f>Model!X22</f>
        <v>16.745594747076826</v>
      </c>
      <c r="Q22" s="18">
        <f t="shared" si="0"/>
        <v>1050</v>
      </c>
      <c r="XFD22">
        <f>0</f>
        <v>0</v>
      </c>
    </row>
    <row r="23" spans="2:17 16384:16384" x14ac:dyDescent="0.25">
      <c r="B23" s="11">
        <f>Model!J23</f>
        <v>21.153846153846153</v>
      </c>
      <c r="C23" s="15">
        <f>Model!K23</f>
        <v>1100</v>
      </c>
      <c r="D23" s="5">
        <f>Model!L23</f>
        <v>11.799710226786047</v>
      </c>
      <c r="E23" s="6">
        <f>Model!M23</f>
        <v>12.149525711780727</v>
      </c>
      <c r="F23" s="6">
        <f>Model!N23</f>
        <v>12.502134815020137</v>
      </c>
      <c r="G23" s="6">
        <f>Model!O23</f>
        <v>12.857502121362121</v>
      </c>
      <c r="H23" s="6">
        <f>Model!P23</f>
        <v>13.215590915299968</v>
      </c>
      <c r="I23" s="6">
        <f>Model!Q23</f>
        <v>13.576363285169535</v>
      </c>
      <c r="J23" s="6">
        <f>Model!R23</f>
        <v>13.939780227184018</v>
      </c>
      <c r="K23" s="6">
        <f>Model!S23</f>
        <v>14.305801748818311</v>
      </c>
      <c r="L23" s="6">
        <f>Model!T23</f>
        <v>14.674386971092741</v>
      </c>
      <c r="M23" s="6">
        <f>Model!U23</f>
        <v>15.045494229339763</v>
      </c>
      <c r="N23" s="6">
        <f>Model!V23</f>
        <v>15.419081172069022</v>
      </c>
      <c r="O23" s="6">
        <f>Model!W23</f>
        <v>15.795104857582016</v>
      </c>
      <c r="P23" s="7">
        <f>Model!X23</f>
        <v>16.173521848021338</v>
      </c>
      <c r="Q23" s="18">
        <f t="shared" si="0"/>
        <v>1100</v>
      </c>
      <c r="XFD23">
        <f>1</f>
        <v>1</v>
      </c>
    </row>
    <row r="24" spans="2:17 16384:16384" x14ac:dyDescent="0.25">
      <c r="B24" s="11">
        <f>Model!J24</f>
        <v>22.115384615384617</v>
      </c>
      <c r="C24" s="15">
        <f>Model!K24</f>
        <v>1150</v>
      </c>
      <c r="D24" s="5">
        <f>Model!L24</f>
        <v>11.472073585389596</v>
      </c>
      <c r="E24" s="6">
        <f>Model!M24</f>
        <v>11.806701648289154</v>
      </c>
      <c r="F24" s="6">
        <f>Model!N24</f>
        <v>12.143936372516464</v>
      </c>
      <c r="G24" s="6">
        <f>Model!O24</f>
        <v>12.483745770349586</v>
      </c>
      <c r="H24" s="6">
        <f>Model!P24</f>
        <v>12.826096736596238</v>
      </c>
      <c r="I24" s="6">
        <f>Model!Q24</f>
        <v>13.170955135158094</v>
      </c>
      <c r="J24" s="6">
        <f>Model!R24</f>
        <v>13.518285885390268</v>
      </c>
      <c r="K24" s="6">
        <f>Model!S24</f>
        <v>13.868053047896947</v>
      </c>
      <c r="L24" s="6">
        <f>Model!T24</f>
        <v>14.220219909424404</v>
      </c>
      <c r="M24" s="6">
        <f>Model!U24</f>
        <v>14.574749066537702</v>
      </c>
      <c r="N24" s="6">
        <f>Model!V24</f>
        <v>14.931602507790174</v>
      </c>
      <c r="O24" s="6">
        <f>Model!W24</f>
        <v>15.290741694121246</v>
      </c>
      <c r="P24" s="7">
        <f>Model!X24</f>
        <v>15.652127637242335</v>
      </c>
      <c r="Q24" s="18">
        <f t="shared" si="0"/>
        <v>1150</v>
      </c>
      <c r="XFD24">
        <f>0</f>
        <v>0</v>
      </c>
    </row>
    <row r="25" spans="2:17 16384:16384" x14ac:dyDescent="0.25">
      <c r="B25" s="11">
        <f>Model!J25</f>
        <v>23.076923076923077</v>
      </c>
      <c r="C25" s="15">
        <f>Model!K25</f>
        <v>1200</v>
      </c>
      <c r="D25" s="5">
        <f>Model!L25</f>
        <v>11.171842743597873</v>
      </c>
      <c r="E25" s="6">
        <f>Model!M25</f>
        <v>11.492584932553841</v>
      </c>
      <c r="F25" s="6">
        <f>Model!N25</f>
        <v>11.815767255184117</v>
      </c>
      <c r="G25" s="6">
        <f>Model!O25</f>
        <v>12.141360618893131</v>
      </c>
      <c r="H25" s="6">
        <f>Model!P25</f>
        <v>12.469334963540827</v>
      </c>
      <c r="I25" s="6">
        <f>Model!Q25</f>
        <v>12.799659334262731</v>
      </c>
      <c r="J25" s="6">
        <f>Model!R25</f>
        <v>13.132301954060946</v>
      </c>
      <c r="K25" s="6">
        <f>Model!S25</f>
        <v>13.467230295892175</v>
      </c>
      <c r="L25" s="6">
        <f>Model!T25</f>
        <v>13.804411153993728</v>
      </c>
      <c r="M25" s="6">
        <f>Model!U25</f>
        <v>14.143810714207671</v>
      </c>
      <c r="N25" s="6">
        <f>Model!V25</f>
        <v>14.485394623079838</v>
      </c>
      <c r="O25" s="6">
        <f>Model!W25</f>
        <v>14.829128055530539</v>
      </c>
      <c r="P25" s="7">
        <f>Model!X25</f>
        <v>15.174975780911337</v>
      </c>
      <c r="Q25" s="18">
        <f t="shared" si="0"/>
        <v>1200</v>
      </c>
      <c r="XFD25">
        <f>1</f>
        <v>1</v>
      </c>
    </row>
    <row r="26" spans="2:17 16384:16384" x14ac:dyDescent="0.25">
      <c r="B26" s="11">
        <f>Model!J26</f>
        <v>24.03846153846154</v>
      </c>
      <c r="C26" s="15">
        <f>Model!K26</f>
        <v>1250</v>
      </c>
      <c r="D26" s="5">
        <f>Model!L26</f>
        <v>10.895717289250488</v>
      </c>
      <c r="E26" s="6">
        <f>Model!M26</f>
        <v>11.203714926855298</v>
      </c>
      <c r="F26" s="6">
        <f>Model!N26</f>
        <v>11.514003639571063</v>
      </c>
      <c r="G26" s="6">
        <f>Model!O26</f>
        <v>11.826556803137148</v>
      </c>
      <c r="H26" s="6">
        <f>Model!P26</f>
        <v>12.141346949541784</v>
      </c>
      <c r="I26" s="6">
        <f>Model!Q26</f>
        <v>12.458345829001054</v>
      </c>
      <c r="J26" s="6">
        <f>Model!R26</f>
        <v>12.777524471692715</v>
      </c>
      <c r="K26" s="6">
        <f>Model!S26</f>
        <v>13.098853249032773</v>
      </c>
      <c r="L26" s="6">
        <f>Model!T26</f>
        <v>13.422301934293523</v>
      </c>
      <c r="M26" s="6">
        <f>Model!U26</f>
        <v>13.74783976237703</v>
      </c>
      <c r="N26" s="6">
        <f>Model!V26</f>
        <v>14.075435488570104</v>
      </c>
      <c r="O26" s="6">
        <f>Model!W26</f>
        <v>14.405057446122644</v>
      </c>
      <c r="P26" s="7">
        <f>Model!X26</f>
        <v>14.736673602503984</v>
      </c>
      <c r="Q26" s="18">
        <f t="shared" si="0"/>
        <v>1250</v>
      </c>
      <c r="XFD26">
        <f>0</f>
        <v>0</v>
      </c>
    </row>
    <row r="27" spans="2:17 16384:16384" x14ac:dyDescent="0.25">
      <c r="B27" s="11">
        <f>Model!J27</f>
        <v>25</v>
      </c>
      <c r="C27" s="15">
        <f>Model!K27</f>
        <v>1300</v>
      </c>
      <c r="D27" s="5">
        <f>Model!L27</f>
        <v>10.640906278268249</v>
      </c>
      <c r="E27" s="6">
        <f>Model!M27</f>
        <v>10.937165692137274</v>
      </c>
      <c r="F27" s="6">
        <f>Model!N27</f>
        <v>11.235582153615102</v>
      </c>
      <c r="G27" s="6">
        <f>Model!O27</f>
        <v>11.53613116092599</v>
      </c>
      <c r="H27" s="6">
        <f>Model!P27</f>
        <v>11.838787471466244</v>
      </c>
      <c r="I27" s="6">
        <f>Model!Q27</f>
        <v>12.143525155132556</v>
      </c>
      <c r="J27" s="6">
        <f>Model!R27</f>
        <v>12.450317647396293</v>
      </c>
      <c r="K27" s="6">
        <f>Model!S27</f>
        <v>12.75913780195685</v>
      </c>
      <c r="L27" s="6">
        <f>Model!T27</f>
        <v>13.069957942815359</v>
      </c>
      <c r="M27" s="6">
        <f>Model!U27</f>
        <v>13.382749915622275</v>
      </c>
      <c r="N27" s="6">
        <f>Model!V27</f>
        <v>13.697485138161458</v>
      </c>
      <c r="O27" s="6">
        <f>Model!W27</f>
        <v>14.01413464984585</v>
      </c>
      <c r="P27" s="7">
        <f>Model!X27</f>
        <v>14.332669160109592</v>
      </c>
      <c r="Q27" s="18">
        <f t="shared" si="0"/>
        <v>1300</v>
      </c>
      <c r="XFD27">
        <f>1</f>
        <v>1</v>
      </c>
    </row>
    <row r="28" spans="2:17 16384:16384" x14ac:dyDescent="0.25">
      <c r="B28" s="11">
        <f>Model!J28</f>
        <v>25.96153846153846</v>
      </c>
      <c r="C28" s="15">
        <f>Model!K28</f>
        <v>1350</v>
      </c>
      <c r="D28" s="5">
        <f>Model!L28</f>
        <v>10.405033587526344</v>
      </c>
      <c r="E28" s="6">
        <f>Model!M28</f>
        <v>10.69044656844407</v>
      </c>
      <c r="F28" s="6">
        <f>Model!N28</f>
        <v>10.977895577727672</v>
      </c>
      <c r="G28" s="6">
        <f>Model!O28</f>
        <v>11.267357953061007</v>
      </c>
      <c r="H28" s="6">
        <f>Model!P28</f>
        <v>11.558810377434988</v>
      </c>
      <c r="I28" s="6">
        <f>Model!Q28</f>
        <v>11.852228925498366</v>
      </c>
      <c r="J28" s="6">
        <f>Model!R28</f>
        <v>12.14758910965126</v>
      </c>
      <c r="K28" s="6">
        <f>Model!S28</f>
        <v>12.444865925748108</v>
      </c>
      <c r="L28" s="6">
        <f>Model!T28</f>
        <v>12.744033898282982</v>
      </c>
      <c r="M28" s="6">
        <f>Model!U28</f>
        <v>13.045067124940285</v>
      </c>
      <c r="N28" s="6">
        <f>Model!V28</f>
        <v>13.347939320400693</v>
      </c>
      <c r="O28" s="6">
        <f>Model!W28</f>
        <v>13.652623859302402</v>
      </c>
      <c r="P28" s="7">
        <f>Model!X28</f>
        <v>13.959093818265202</v>
      </c>
      <c r="Q28" s="18">
        <f t="shared" si="0"/>
        <v>1350</v>
      </c>
      <c r="XFD28">
        <f>0</f>
        <v>0</v>
      </c>
    </row>
    <row r="29" spans="2:17 16384:16384" x14ac:dyDescent="0.25">
      <c r="B29" s="11">
        <f>Model!J29</f>
        <v>26.923076923076923</v>
      </c>
      <c r="C29" s="15">
        <f>Model!K29</f>
        <v>1400</v>
      </c>
      <c r="D29" s="5">
        <f>Model!L29</f>
        <v>10.186063610544785</v>
      </c>
      <c r="E29" s="6">
        <f>Model!M29</f>
        <v>10.461424140757797</v>
      </c>
      <c r="F29" s="6">
        <f>Model!N29</f>
        <v>10.738710998512222</v>
      </c>
      <c r="G29" s="6">
        <f>Model!O29</f>
        <v>11.017903127219233</v>
      </c>
      <c r="H29" s="6">
        <f>Model!P29</f>
        <v>11.298978888133908</v>
      </c>
      <c r="I29" s="6">
        <f>Model!Q29</f>
        <v>11.58191610102107</v>
      </c>
      <c r="J29" s="6">
        <f>Model!R29</f>
        <v>11.866692084564939</v>
      </c>
      <c r="K29" s="6">
        <f>Model!S29</f>
        <v>12.153283696414478</v>
      </c>
      <c r="L29" s="6">
        <f>Model!T29</f>
        <v>12.441667372761321</v>
      </c>
      <c r="M29" s="6">
        <f>Model!U29</f>
        <v>12.731819167355289</v>
      </c>
      <c r="N29" s="6">
        <f>Model!V29</f>
        <v>13.023714789868141</v>
      </c>
      <c r="O29" s="6">
        <f>Model!W29</f>
        <v>13.317329643524396</v>
      </c>
      <c r="P29" s="7">
        <f>Model!X29</f>
        <v>13.61263886192388</v>
      </c>
      <c r="Q29" s="18">
        <f t="shared" si="0"/>
        <v>1400</v>
      </c>
      <c r="XFD29">
        <f>1</f>
        <v>1</v>
      </c>
    </row>
    <row r="30" spans="2:17 16384:16384" x14ac:dyDescent="0.25">
      <c r="B30" s="11">
        <f>Model!J30</f>
        <v>27.884615384615383</v>
      </c>
      <c r="C30" s="15">
        <f>Model!K30</f>
        <v>1450</v>
      </c>
      <c r="D30" s="5">
        <f>Model!L30</f>
        <v>9.9822423716134647</v>
      </c>
      <c r="E30" s="6">
        <f>Model!M30</f>
        <v>10.248260409743795</v>
      </c>
      <c r="F30" s="6">
        <f>Model!N30</f>
        <v>10.516104972251123</v>
      </c>
      <c r="G30" s="6">
        <f>Model!O30</f>
        <v>10.785756413608633</v>
      </c>
      <c r="H30" s="6">
        <f>Model!P30</f>
        <v>11.057194567583183</v>
      </c>
      <c r="I30" s="6">
        <f>Model!Q30</f>
        <v>11.330398783225483</v>
      </c>
      <c r="J30" s="6">
        <f>Model!R30</f>
        <v>11.605347960608231</v>
      </c>
      <c r="K30" s="6">
        <f>Model!S30</f>
        <v>11.882020586223394</v>
      </c>
      <c r="L30" s="6">
        <f>Model!T30</f>
        <v>12.160394767953509</v>
      </c>
      <c r="M30" s="6">
        <f>Model!U30</f>
        <v>12.440448269538972</v>
      </c>
      <c r="N30" s="6">
        <f>Model!V30</f>
        <v>12.722158544467625</v>
      </c>
      <c r="O30" s="6">
        <f>Model!W30</f>
        <v>13.005502769219873</v>
      </c>
      <c r="P30" s="7">
        <f>Model!X30</f>
        <v>13.290457875807219</v>
      </c>
      <c r="Q30" s="18">
        <f t="shared" si="0"/>
        <v>1450</v>
      </c>
      <c r="XFD30">
        <f>0</f>
        <v>0</v>
      </c>
    </row>
    <row r="31" spans="2:17 16384:16384" x14ac:dyDescent="0.25">
      <c r="B31" s="11">
        <f>Model!J31</f>
        <v>28.846153846153847</v>
      </c>
      <c r="C31" s="15">
        <f>Model!K31</f>
        <v>1500</v>
      </c>
      <c r="D31" s="5">
        <f>Model!L31</f>
        <v>9.7920504506943882</v>
      </c>
      <c r="E31" s="6">
        <f>Model!M31</f>
        <v>10.049363373029266</v>
      </c>
      <c r="F31" s="6">
        <f>Model!N31</f>
        <v>10.308411712530862</v>
      </c>
      <c r="G31" s="6">
        <f>Model!O31</f>
        <v>10.569177071323578</v>
      </c>
      <c r="H31" s="6">
        <f>Model!P31</f>
        <v>10.831640583178539</v>
      </c>
      <c r="I31" s="6">
        <f>Model!Q31</f>
        <v>11.095782945624023</v>
      </c>
      <c r="J31" s="6">
        <f>Model!R31</f>
        <v>11.36158445181024</v>
      </c>
      <c r="K31" s="6">
        <f>Model!S31</f>
        <v>11.629025022054371</v>
      </c>
      <c r="L31" s="6">
        <f>Model!T31</f>
        <v>11.898084234994624</v>
      </c>
      <c r="M31" s="6">
        <f>Model!U31</f>
        <v>12.168741358288353</v>
      </c>
      <c r="N31" s="6">
        <f>Model!V31</f>
        <v>12.440975378792487</v>
      </c>
      <c r="O31" s="6">
        <f>Model!W31</f>
        <v>12.714765032170721</v>
      </c>
      <c r="P31" s="7">
        <f>Model!X31</f>
        <v>12.990088831875481</v>
      </c>
      <c r="Q31" s="18">
        <f t="shared" si="0"/>
        <v>1500</v>
      </c>
      <c r="XFD31">
        <f>1</f>
        <v>1</v>
      </c>
    </row>
    <row r="32" spans="2:17 16384:16384" x14ac:dyDescent="0.25">
      <c r="B32" s="11">
        <f>Model!J32</f>
        <v>29.807692307692307</v>
      </c>
      <c r="C32" s="15">
        <f>Model!K32</f>
        <v>1550</v>
      </c>
      <c r="D32" s="5">
        <f>Model!L32</f>
        <v>9.6141650449136744</v>
      </c>
      <c r="E32" s="6">
        <f>Model!M32</f>
        <v>9.8633472050629116</v>
      </c>
      <c r="F32" s="6">
        <f>Model!N32</f>
        <v>10.114181348967973</v>
      </c>
      <c r="G32" s="6">
        <f>Model!O32</f>
        <v>10.366650188218475</v>
      </c>
      <c r="H32" s="6">
        <f>Model!P32</f>
        <v>10.620736010895266</v>
      </c>
      <c r="I32" s="6">
        <f>Model!Q32</f>
        <v>10.876420710434694</v>
      </c>
      <c r="J32" s="6">
        <f>Model!R32</f>
        <v>11.133685814255026</v>
      </c>
      <c r="K32" s="6">
        <f>Model!S32</f>
        <v>11.392512512082416</v>
      </c>
      <c r="L32" s="6">
        <f>Model!T32</f>
        <v>11.652881683915929</v>
      </c>
      <c r="M32" s="6">
        <f>Model!U32</f>
        <v>11.914773927576741</v>
      </c>
      <c r="N32" s="6">
        <f>Model!V32</f>
        <v>12.178169585789211</v>
      </c>
      <c r="O32" s="6">
        <f>Model!W32</f>
        <v>12.44304877274684</v>
      </c>
      <c r="P32" s="7">
        <f>Model!X32</f>
        <v>12.709391400119053</v>
      </c>
      <c r="Q32" s="18">
        <f t="shared" si="0"/>
        <v>1550</v>
      </c>
      <c r="XFD32">
        <f>0</f>
        <v>0</v>
      </c>
    </row>
    <row r="33" spans="2:20 16384:16384" x14ac:dyDescent="0.25">
      <c r="B33" s="11">
        <f>Model!J33</f>
        <v>30.76923076923077</v>
      </c>
      <c r="C33" s="15">
        <f>Model!K33</f>
        <v>1600</v>
      </c>
      <c r="D33" s="5">
        <f>Model!L33</f>
        <v>9.4474291627285254</v>
      </c>
      <c r="E33" s="6">
        <f>Model!M33</f>
        <v>9.6889999288610973</v>
      </c>
      <c r="F33" s="6">
        <f>Model!N33</f>
        <v>9.9321460451075829</v>
      </c>
      <c r="G33" s="6">
        <f>Model!O33</f>
        <v>10.176851214863149</v>
      </c>
      <c r="H33" s="6">
        <f>Model!P33</f>
        <v>10.423098756625595</v>
      </c>
      <c r="I33" s="6">
        <f>Model!Q33</f>
        <v>10.670871630122214</v>
      </c>
      <c r="J33" s="6">
        <f>Model!R33</f>
        <v>10.920152462207495</v>
      </c>
      <c r="K33" s="6">
        <f>Model!S33</f>
        <v>11.170923572478051</v>
      </c>
      <c r="L33" s="6">
        <f>Model!T33</f>
        <v>11.423166998552757</v>
      </c>
      <c r="M33" s="6">
        <f>Model!U33</f>
        <v>11.676864520971085</v>
      </c>
      <c r="N33" s="6">
        <f>Model!V33</f>
        <v>11.931997687664694</v>
      </c>
      <c r="O33" s="6">
        <f>Model!W33</f>
        <v>12.188547837962041</v>
      </c>
      <c r="P33" s="7">
        <f>Model!X33</f>
        <v>12.446496126088251</v>
      </c>
      <c r="Q33" s="18">
        <f t="shared" si="0"/>
        <v>1600</v>
      </c>
      <c r="XFD33">
        <f>1</f>
        <v>1</v>
      </c>
    </row>
    <row r="34" spans="2:20 16384:16384" x14ac:dyDescent="0.25">
      <c r="B34" s="11">
        <f>Model!J34</f>
        <v>31.73076923076923</v>
      </c>
      <c r="C34" s="15">
        <f>Model!K34</f>
        <v>1650</v>
      </c>
      <c r="D34" s="5">
        <f>Model!L34</f>
        <v>9.2908264338765836</v>
      </c>
      <c r="E34" s="6">
        <f>Model!M34</f>
        <v>9.525256985274261</v>
      </c>
      <c r="F34" s="6">
        <f>Model!N34</f>
        <v>9.7611923018239324</v>
      </c>
      <c r="G34" s="6">
        <f>Model!O34</f>
        <v>9.9986169778989886</v>
      </c>
      <c r="H34" s="6">
        <f>Model!P34</f>
        <v>10.237515256384301</v>
      </c>
      <c r="I34" s="6">
        <f>Model!Q34</f>
        <v>10.477871052477504</v>
      </c>
      <c r="J34" s="6">
        <f>Model!R34</f>
        <v>10.719667977270397</v>
      </c>
      <c r="K34" s="6">
        <f>Model!S34</f>
        <v>10.962889361063819</v>
      </c>
      <c r="L34" s="6">
        <f>Model!T34</f>
        <v>11.207518276370696</v>
      </c>
      <c r="M34" s="6">
        <f>Model!U34</f>
        <v>11.453537560566502</v>
      </c>
      <c r="N34" s="6">
        <f>Model!V34</f>
        <v>11.700929838147992</v>
      </c>
      <c r="O34" s="6">
        <f>Model!W34</f>
        <v>11.949677542565356</v>
      </c>
      <c r="P34" s="7">
        <f>Model!X34</f>
        <v>12.199762937594922</v>
      </c>
      <c r="Q34" s="18">
        <f t="shared" si="0"/>
        <v>1650</v>
      </c>
      <c r="XFD34">
        <f>0</f>
        <v>0</v>
      </c>
    </row>
    <row r="35" spans="2:20 16384:16384" x14ac:dyDescent="0.25">
      <c r="B35" s="11">
        <f>Model!J35</f>
        <v>32.692307692307693</v>
      </c>
      <c r="C35" s="15">
        <f>Model!K35</f>
        <v>1700</v>
      </c>
      <c r="D35" s="5">
        <f>Model!L35</f>
        <v>9.1434603760098287</v>
      </c>
      <c r="E35" s="6">
        <f>Model!M35</f>
        <v>9.3711794817129714</v>
      </c>
      <c r="F35" s="6">
        <f>Model!N35</f>
        <v>9.6003381678220272</v>
      </c>
      <c r="G35" s="6">
        <f>Model!O35</f>
        <v>9.8309218327647656</v>
      </c>
      <c r="H35" s="6">
        <f>Model!P35</f>
        <v>10.06291555252419</v>
      </c>
      <c r="I35" s="6">
        <f>Model!Q35</f>
        <v>10.296304102450403</v>
      </c>
      <c r="J35" s="6">
        <f>Model!R35</f>
        <v>10.53107197886192</v>
      </c>
      <c r="K35" s="6">
        <f>Model!S35</f>
        <v>10.767203420395479</v>
      </c>
      <c r="L35" s="6">
        <f>Model!T35</f>
        <v>11.004682429064411</v>
      </c>
      <c r="M35" s="6">
        <f>Model!U35</f>
        <v>11.243492790989738</v>
      </c>
      <c r="N35" s="6">
        <f>Model!V35</f>
        <v>11.483618096769515</v>
      </c>
      <c r="O35" s="6">
        <f>Model!W35</f>
        <v>11.725041761455886</v>
      </c>
      <c r="P35" s="7">
        <f>Model!X35</f>
        <v>11.967747044110835</v>
      </c>
      <c r="Q35" s="18">
        <f t="shared" si="0"/>
        <v>1700</v>
      </c>
      <c r="XFD35">
        <f>1</f>
        <v>1</v>
      </c>
    </row>
    <row r="36" spans="2:20 16384:16384" x14ac:dyDescent="0.25">
      <c r="B36" s="11">
        <f>Model!J36</f>
        <v>33.653846153846153</v>
      </c>
      <c r="C36" s="15">
        <f>Model!K36</f>
        <v>1750</v>
      </c>
      <c r="D36" s="5">
        <f>Model!L36</f>
        <v>9.0045372244891677</v>
      </c>
      <c r="E36" s="6">
        <f>Model!M36</f>
        <v>9.2259361815303986</v>
      </c>
      <c r="F36" s="6">
        <f>Model!N36</f>
        <v>9.4487143721121996</v>
      </c>
      <c r="G36" s="6">
        <f>Model!O36</f>
        <v>9.6728579233555685</v>
      </c>
      <c r="H36" s="6">
        <f>Model!P36</f>
        <v>9.8983526652999583</v>
      </c>
      <c r="I36" s="6">
        <f>Model!Q36</f>
        <v>10.125184151001935</v>
      </c>
      <c r="J36" s="6">
        <f>Model!R36</f>
        <v>10.353337676432599</v>
      </c>
      <c r="K36" s="6">
        <f>Model!S36</f>
        <v>10.582798300137391</v>
      </c>
      <c r="L36" s="6">
        <f>Model!T36</f>
        <v>10.813550862622641</v>
      </c>
      <c r="M36" s="6">
        <f>Model!U36</f>
        <v>11.045580005436992</v>
      </c>
      <c r="N36" s="6">
        <f>Model!V36</f>
        <v>11.278870189917033</v>
      </c>
      <c r="O36" s="6">
        <f>Model!W36</f>
        <v>11.513405715569947</v>
      </c>
      <c r="P36" s="7">
        <f>Model!X36</f>
        <v>11.74917073806745</v>
      </c>
      <c r="Q36" s="18">
        <f t="shared" si="0"/>
        <v>1750</v>
      </c>
      <c r="XFD36">
        <f>0</f>
        <v>0</v>
      </c>
    </row>
    <row r="37" spans="2:20 16384:16384" x14ac:dyDescent="0.25">
      <c r="B37" s="11">
        <f>Model!J37</f>
        <v>34.615384615384613</v>
      </c>
      <c r="C37" s="15">
        <f>Model!K37</f>
        <v>1800</v>
      </c>
      <c r="D37" s="5">
        <f>Model!L37</f>
        <v>8.8733516308435441</v>
      </c>
      <c r="E37" s="6">
        <f>Model!M37</f>
        <v>9.0887885044996111</v>
      </c>
      <c r="F37" s="6">
        <f>Model!N37</f>
        <v>9.3055486130307319</v>
      </c>
      <c r="G37" s="6">
        <f>Model!O37</f>
        <v>9.5236187465679958</v>
      </c>
      <c r="H37" s="6">
        <f>Model!P37</f>
        <v>9.742985420406054</v>
      </c>
      <c r="I37" s="6">
        <f>Model!Q37</f>
        <v>9.9636348936171721</v>
      </c>
      <c r="J37" s="6">
        <f>Model!R37</f>
        <v>10.185553187473207</v>
      </c>
      <c r="K37" s="6">
        <f>Model!S37</f>
        <v>10.408726103642801</v>
      </c>
      <c r="L37" s="6">
        <f>Model!T37</f>
        <v>10.633139242131593</v>
      </c>
      <c r="M37" s="6">
        <f>Model!U37</f>
        <v>10.858778018936933</v>
      </c>
      <c r="N37" s="6">
        <f>Model!V37</f>
        <v>11.085627683389363</v>
      </c>
      <c r="O37" s="6">
        <f>Model!W37</f>
        <v>11.313673335156537</v>
      </c>
      <c r="P37" s="7">
        <f>Model!X37</f>
        <v>11.542899940886368</v>
      </c>
      <c r="Q37" s="18">
        <f t="shared" si="0"/>
        <v>1800</v>
      </c>
      <c r="XFD37">
        <f>1</f>
        <v>1</v>
      </c>
    </row>
    <row r="38" spans="2:20 16384:16384" x14ac:dyDescent="0.25">
      <c r="B38" s="11">
        <f>Model!J38</f>
        <v>35.57692307692308</v>
      </c>
      <c r="C38" s="15">
        <f>Model!K38</f>
        <v>1850</v>
      </c>
      <c r="D38" s="5">
        <f>Model!L38</f>
        <v>8.7492746859040462</v>
      </c>
      <c r="E38" s="6">
        <f>Model!M38</f>
        <v>8.959077967025344</v>
      </c>
      <c r="F38" s="6">
        <f>Model!N38</f>
        <v>9.170152404459067</v>
      </c>
      <c r="G38" s="6">
        <f>Model!O38</f>
        <v>9.3824853938129351</v>
      </c>
      <c r="H38" s="6">
        <f>Model!P38</f>
        <v>9.5960640754497017</v>
      </c>
      <c r="I38" s="6">
        <f>Model!Q38</f>
        <v>9.8108753518070841</v>
      </c>
      <c r="J38" s="6">
        <f>Model!R38</f>
        <v>10.026905904534459</v>
      </c>
      <c r="K38" s="6">
        <f>Model!S38</f>
        <v>10.244142211416619</v>
      </c>
      <c r="L38" s="6">
        <f>Model!T38</f>
        <v>10.462570563055294</v>
      </c>
      <c r="M38" s="6">
        <f>Model!U38</f>
        <v>10.68217707928255</v>
      </c>
      <c r="N38" s="6">
        <f>Model!V38</f>
        <v>10.902947725280812</v>
      </c>
      <c r="O38" s="6">
        <f>Model!W38</f>
        <v>11.1248683273875</v>
      </c>
      <c r="P38" s="7">
        <f>Model!X38</f>
        <v>11.34792458856313</v>
      </c>
      <c r="Q38" s="18">
        <f t="shared" si="0"/>
        <v>1850</v>
      </c>
      <c r="XFD38">
        <f>0</f>
        <v>0</v>
      </c>
    </row>
    <row r="39" spans="2:20 16384:16384" x14ac:dyDescent="0.25">
      <c r="B39" s="11">
        <f>Model!J39</f>
        <v>36.53846153846154</v>
      </c>
      <c r="C39" s="15">
        <f>Model!K39</f>
        <v>1900</v>
      </c>
      <c r="D39" s="5">
        <f>Model!L39</f>
        <v>8.6317438384047946</v>
      </c>
      <c r="E39" s="6">
        <f>Model!M39</f>
        <v>8.8362156113585044</v>
      </c>
      <c r="F39" s="6">
        <f>Model!N39</f>
        <v>9.0419100065075533</v>
      </c>
      <c r="G39" s="6">
        <f>Model!O39</f>
        <v>9.2488149743048993</v>
      </c>
      <c r="H39" s="6">
        <f>Model!P39</f>
        <v>9.4569182272818733</v>
      </c>
      <c r="I39" s="6">
        <f>Model!Q39</f>
        <v>9.6662072562336405</v>
      </c>
      <c r="J39" s="6">
        <f>Model!R39</f>
        <v>9.8766693462299227</v>
      </c>
      <c r="K39" s="6">
        <f>Model!S39</f>
        <v>10.088291592423733</v>
      </c>
      <c r="L39" s="6">
        <f>Model!T39</f>
        <v>10.301060915631234</v>
      </c>
      <c r="M39" s="6">
        <f>Model!U39</f>
        <v>10.514964077658989</v>
      </c>
      <c r="N39" s="6">
        <f>Model!V39</f>
        <v>10.729987696355451</v>
      </c>
      <c r="O39" s="6">
        <f>Model!W39</f>
        <v>10.946118260366498</v>
      </c>
      <c r="P39" s="7">
        <f>Model!X39</f>
        <v>11.163342143575678</v>
      </c>
      <c r="Q39" s="18">
        <f t="shared" si="0"/>
        <v>1900</v>
      </c>
      <c r="XFD39">
        <f>1</f>
        <v>1</v>
      </c>
    </row>
    <row r="40" spans="2:20 16384:16384" x14ac:dyDescent="0.25">
      <c r="B40" s="11">
        <f>Model!J40</f>
        <v>37.5</v>
      </c>
      <c r="C40" s="15">
        <f>Model!K40</f>
        <v>1950</v>
      </c>
      <c r="D40" s="5">
        <f>Model!L40</f>
        <v>8.5202543680789145</v>
      </c>
      <c r="E40" s="6">
        <f>Model!M40</f>
        <v>8.7196730657970249</v>
      </c>
      <c r="F40" s="6">
        <f>Model!N40</f>
        <v>8.9202690652287657</v>
      </c>
      <c r="G40" s="6">
        <f>Model!O40</f>
        <v>9.1220308269180688</v>
      </c>
      <c r="H40" s="6">
        <f>Model!P40</f>
        <v>9.3249465888638703</v>
      </c>
      <c r="I40" s="6">
        <f>Model!Q40</f>
        <v>9.5290043817057501</v>
      </c>
      <c r="J40" s="6">
        <f>Model!R40</f>
        <v>9.7341920437428939</v>
      </c>
      <c r="K40" s="6">
        <f>Model!S40</f>
        <v>9.9404972357612422</v>
      </c>
      <c r="L40" s="6">
        <f>Model!T40</f>
        <v>10.147907455643884</v>
      </c>
      <c r="M40" s="6">
        <f>Model!U40</f>
        <v>10.356410052742794</v>
      </c>
      <c r="N40" s="6">
        <f>Model!V40</f>
        <v>10.565992241990479</v>
      </c>
      <c r="O40" s="6">
        <f>Model!W40</f>
        <v>10.7766411177329</v>
      </c>
      <c r="P40" s="7">
        <f>Model!X40</f>
        <v>10.988343667265761</v>
      </c>
      <c r="Q40" s="18">
        <f t="shared" si="0"/>
        <v>1950</v>
      </c>
      <c r="XFD40">
        <f>0</f>
        <v>0</v>
      </c>
    </row>
    <row r="41" spans="2:20 16384:16384" x14ac:dyDescent="0.25">
      <c r="B41" s="11">
        <f>Model!J41</f>
        <v>38.46153846153846</v>
      </c>
      <c r="C41" s="15">
        <f>Model!K41</f>
        <v>2000</v>
      </c>
      <c r="D41" s="5">
        <f>Model!L41</f>
        <v>8.4143521406188988</v>
      </c>
      <c r="E41" s="6">
        <f>Model!M41</f>
        <v>8.6089749496556429</v>
      </c>
      <c r="F41" s="6">
        <f>Model!N41</f>
        <v>8.8047326612618022</v>
      </c>
      <c r="G41" s="6">
        <f>Model!O41</f>
        <v>9.0016142063481013</v>
      </c>
      <c r="H41" s="6">
        <f>Model!P41</f>
        <v>9.199608306979405</v>
      </c>
      <c r="I41" s="6">
        <f>Model!Q41</f>
        <v>9.3987034906746967</v>
      </c>
      <c r="J41" s="6">
        <f>Model!R41</f>
        <v>9.5988881045480667</v>
      </c>
      <c r="K41" s="6">
        <f>Model!S41</f>
        <v>9.800150329267229</v>
      </c>
      <c r="L41" s="6">
        <f>Model!T41</f>
        <v>10.002478192806414</v>
      </c>
      <c r="M41" s="6">
        <f>Model!U41</f>
        <v>10.205859583973162</v>
      </c>
      <c r="N41" s="6">
        <f>Model!V41</f>
        <v>10.410282265689066</v>
      </c>
      <c r="O41" s="6">
        <f>Model!W41</f>
        <v>10.615733888007119</v>
      </c>
      <c r="P41" s="7">
        <f>Model!X41</f>
        <v>10.822202000848995</v>
      </c>
      <c r="Q41" s="18">
        <f t="shared" si="0"/>
        <v>2000</v>
      </c>
      <c r="S41" s="19">
        <f>P41-L41</f>
        <v>0.81972380804258016</v>
      </c>
      <c r="T41" s="32"/>
      <c r="XFD41">
        <f>1</f>
        <v>1</v>
      </c>
    </row>
    <row r="42" spans="2:20 16384:16384" x14ac:dyDescent="0.25">
      <c r="B42" s="11">
        <f>Model!J42</f>
        <v>39.42307692307692</v>
      </c>
      <c r="C42" s="15">
        <f>Model!K42</f>
        <v>2050</v>
      </c>
      <c r="D42" s="5">
        <f>Model!L42</f>
        <v>8.3136274251789608</v>
      </c>
      <c r="E42" s="6">
        <f>Model!M42</f>
        <v>8.5036923927837993</v>
      </c>
      <c r="F42" s="6">
        <f>Model!N42</f>
        <v>8.6948525260554916</v>
      </c>
      <c r="G42" s="6">
        <f>Model!O42</f>
        <v>8.887097190873412</v>
      </c>
      <c r="H42" s="6">
        <f>Model!P42</f>
        <v>9.0804155565191582</v>
      </c>
      <c r="I42" s="6">
        <f>Model!Q42</f>
        <v>9.2747966091882201</v>
      </c>
      <c r="J42" s="6">
        <f>Model!R42</f>
        <v>9.4702291653498651</v>
      </c>
      <c r="K42" s="6">
        <f>Model!S42</f>
        <v>9.6667018849333175</v>
      </c>
      <c r="L42" s="6">
        <f>Model!T42</f>
        <v>9.8642032843183749</v>
      </c>
      <c r="M42" s="6">
        <f>Model!U42</f>
        <v>10.06272174911137</v>
      </c>
      <c r="N42" s="6">
        <f>Model!V42</f>
        <v>10.262245546687701</v>
      </c>
      <c r="O42" s="6">
        <f>Model!W42</f>
        <v>10.462762838484705</v>
      </c>
      <c r="P42" s="7">
        <f>Model!X42</f>
        <v>10.664261692029228</v>
      </c>
      <c r="Q42" s="18">
        <f t="shared" si="0"/>
        <v>2050</v>
      </c>
      <c r="S42" s="19">
        <f t="shared" ref="S42:S105" si="1">P42-L42</f>
        <v>0.80005840771085346</v>
      </c>
      <c r="T42" s="32"/>
      <c r="XFD42">
        <f>0</f>
        <v>0</v>
      </c>
    </row>
    <row r="43" spans="2:20 16384:16384" x14ac:dyDescent="0.25">
      <c r="B43" s="11">
        <f>Model!J43</f>
        <v>40.384615384615387</v>
      </c>
      <c r="C43" s="15">
        <f>Model!K43</f>
        <v>2100</v>
      </c>
      <c r="D43" s="5">
        <f>Model!L43</f>
        <v>8.2177095969589153</v>
      </c>
      <c r="E43" s="6">
        <f>Model!M43</f>
        <v>8.4034374833775729</v>
      </c>
      <c r="F43" s="6">
        <f>Model!N43</f>
        <v>8.5902232304372887</v>
      </c>
      <c r="G43" s="6">
        <f>Model!O43</f>
        <v>8.7780566073256185</v>
      </c>
      <c r="H43" s="6">
        <f>Model!P43</f>
        <v>8.9669271976206311</v>
      </c>
      <c r="I43" s="6">
        <f>Model!Q43</f>
        <v>9.1568244120976932</v>
      </c>
      <c r="J43" s="6">
        <f>Model!R43</f>
        <v>9.34773750139124</v>
      </c>
      <c r="K43" s="6">
        <f>Model!S43</f>
        <v>9.5396555684909661</v>
      </c>
      <c r="L43" s="6">
        <f>Model!T43</f>
        <v>9.7325675810516827</v>
      </c>
      <c r="M43" s="6">
        <f>Model!U43</f>
        <v>9.9264623834989401</v>
      </c>
      <c r="N43" s="6">
        <f>Model!V43</f>
        <v>10.121328708912619</v>
      </c>
      <c r="O43" s="6">
        <f>Model!W43</f>
        <v>10.317155190673226</v>
      </c>
      <c r="P43" s="7">
        <f>Model!X43</f>
        <v>10.51393037385613</v>
      </c>
      <c r="Q43" s="18">
        <f t="shared" si="0"/>
        <v>2100</v>
      </c>
      <c r="S43" s="19">
        <f t="shared" si="1"/>
        <v>0.78136279280444754</v>
      </c>
      <c r="T43" s="32"/>
      <c r="XFD43">
        <f>1</f>
        <v>1</v>
      </c>
    </row>
    <row r="44" spans="2:20 16384:16384" x14ac:dyDescent="0.25">
      <c r="B44" s="11">
        <f>Model!J44</f>
        <v>41.346153846153847</v>
      </c>
      <c r="C44" s="15">
        <f>Model!K44</f>
        <v>2150</v>
      </c>
      <c r="D44" s="5">
        <f>Model!L44</f>
        <v>8.1262625804916482</v>
      </c>
      <c r="E44" s="6">
        <f>Model!M44</f>
        <v>8.30785849257264</v>
      </c>
      <c r="F44" s="6">
        <f>Model!N44</f>
        <v>8.4904771867311908</v>
      </c>
      <c r="G44" s="6">
        <f>Model!O44</f>
        <v>8.6741088070460268</v>
      </c>
      <c r="H44" s="6">
        <f>Model!P44</f>
        <v>8.858743321877089</v>
      </c>
      <c r="I44" s="6">
        <f>Model!Q44</f>
        <v>9.0443705360392386</v>
      </c>
      <c r="J44" s="6">
        <f>Model!R44</f>
        <v>9.2309801028373517</v>
      </c>
      <c r="K44" s="6">
        <f>Model!S44</f>
        <v>9.4185615359433346</v>
      </c>
      <c r="L44" s="6">
        <f>Model!T44</f>
        <v>9.6071042210953266</v>
      </c>
      <c r="M44" s="6">
        <f>Model!U44</f>
        <v>9.7965974276021353</v>
      </c>
      <c r="N44" s="6">
        <f>Model!V44</f>
        <v>9.9870303196360357</v>
      </c>
      <c r="O44" s="6">
        <f>Model!W44</f>
        <v>10.178391967299428</v>
      </c>
      <c r="P44" s="7">
        <f>Model!X44</f>
        <v>10.370671357451362</v>
      </c>
      <c r="Q44" s="18">
        <f t="shared" si="0"/>
        <v>2150</v>
      </c>
      <c r="S44" s="19">
        <f t="shared" si="1"/>
        <v>0.7635671363560359</v>
      </c>
      <c r="T44" s="32"/>
      <c r="XFD44">
        <f>0</f>
        <v>0</v>
      </c>
    </row>
    <row r="45" spans="2:20 16384:16384" x14ac:dyDescent="0.25">
      <c r="B45" s="11">
        <f>Model!J45</f>
        <v>42.307692307692307</v>
      </c>
      <c r="C45" s="15">
        <f>Model!K45</f>
        <v>2200</v>
      </c>
      <c r="D45" s="5">
        <f>Model!L45</f>
        <v>8.0389809155588505</v>
      </c>
      <c r="E45" s="6">
        <f>Model!M45</f>
        <v>8.2166357519225439</v>
      </c>
      <c r="F45" s="6">
        <f>Model!N45</f>
        <v>8.3952803345890388</v>
      </c>
      <c r="G45" s="6">
        <f>Model!O45</f>
        <v>8.5749051569375361</v>
      </c>
      <c r="H45" s="6">
        <f>Model!P45</f>
        <v>8.7555005455596042</v>
      </c>
      <c r="I45" s="6">
        <f>Model!Q45</f>
        <v>8.9370566718619315</v>
      </c>
      <c r="J45" s="6">
        <f>Model!R45</f>
        <v>9.1195635635365235</v>
      </c>
      <c r="K45" s="6">
        <f>Model!S45</f>
        <v>9.303011115879718</v>
      </c>
      <c r="L45" s="6">
        <f>Model!T45</f>
        <v>9.4873891029412842</v>
      </c>
      <c r="M45" s="6">
        <f>Model!U45</f>
        <v>9.6726871884874228</v>
      </c>
      <c r="N45" s="6">
        <f>Model!V45</f>
        <v>9.8588949367615637</v>
      </c>
      <c r="O45" s="6">
        <f>Model!W45</f>
        <v>10.046001823029201</v>
      </c>
      <c r="P45" s="7">
        <f>Model!X45</f>
        <v>10.23399724389337</v>
      </c>
      <c r="Q45" s="18">
        <f t="shared" si="0"/>
        <v>2200</v>
      </c>
      <c r="S45" s="19">
        <f t="shared" si="1"/>
        <v>0.74660814095208572</v>
      </c>
      <c r="T45" s="32"/>
      <c r="XFD45">
        <f>1</f>
        <v>1</v>
      </c>
    </row>
    <row r="46" spans="2:20 16384:16384" x14ac:dyDescent="0.25">
      <c r="B46" s="11">
        <f>Model!J46</f>
        <v>43.269230769230766</v>
      </c>
      <c r="C46" s="15">
        <f>Model!K46</f>
        <v>2250</v>
      </c>
      <c r="D46" s="5">
        <f>Model!L46</f>
        <v>7.9555863486915861</v>
      </c>
      <c r="E46" s="6">
        <f>Model!M46</f>
        <v>8.1294780819470347</v>
      </c>
      <c r="F46" s="6">
        <f>Model!N46</f>
        <v>8.3043284038514376</v>
      </c>
      <c r="G46" s="6">
        <f>Model!O46</f>
        <v>8.4801281339662964</v>
      </c>
      <c r="H46" s="6">
        <f>Model!P46</f>
        <v>8.6568679331550236</v>
      </c>
      <c r="I46" s="6">
        <f>Model!Q46</f>
        <v>8.8345383146687482</v>
      </c>
      <c r="J46" s="6">
        <f>Model!R46</f>
        <v>9.0131296551052085</v>
      </c>
      <c r="K46" s="6">
        <f>Model!S46</f>
        <v>9.1926322052229263</v>
      </c>
      <c r="L46" s="6">
        <f>Model!T46</f>
        <v>9.3730361005927243</v>
      </c>
      <c r="M46" s="6">
        <f>Model!U46</f>
        <v>9.5543313720711041</v>
      </c>
      <c r="N46" s="6">
        <f>Model!V46</f>
        <v>9.7365079560800538</v>
      </c>
      <c r="O46" s="6">
        <f>Model!W46</f>
        <v>9.9195557046801781</v>
      </c>
      <c r="P46" s="7">
        <f>Model!X46</f>
        <v>10.103464395424258</v>
      </c>
      <c r="Q46" s="18">
        <f t="shared" si="0"/>
        <v>2250</v>
      </c>
      <c r="S46" s="19">
        <f t="shared" si="1"/>
        <v>0.73042829483153326</v>
      </c>
      <c r="T46" s="32"/>
      <c r="XFD46">
        <f>0</f>
        <v>0</v>
      </c>
    </row>
    <row r="47" spans="2:20 16384:16384" x14ac:dyDescent="0.25">
      <c r="B47" s="11">
        <f>Model!J47</f>
        <v>44.230769230769234</v>
      </c>
      <c r="C47" s="15">
        <f>Model!K47</f>
        <v>2300</v>
      </c>
      <c r="D47" s="5">
        <f>Model!L47</f>
        <v>7.8758248701214182</v>
      </c>
      <c r="E47" s="6">
        <f>Model!M47</f>
        <v>8.0461196876852306</v>
      </c>
      <c r="F47" s="6">
        <f>Model!N47</f>
        <v>8.2173436663633108</v>
      </c>
      <c r="G47" s="6">
        <f>Model!O47</f>
        <v>8.3894879309524661</v>
      </c>
      <c r="H47" s="6">
        <f>Model!P47</f>
        <v>8.562543454900446</v>
      </c>
      <c r="I47" s="6">
        <f>Model!Q47</f>
        <v>8.7365010709219355</v>
      </c>
      <c r="J47" s="6">
        <f>Model!R47</f>
        <v>8.9113514814929076</v>
      </c>
      <c r="K47" s="6">
        <f>Model!S47</f>
        <v>9.0870852692062876</v>
      </c>
      <c r="L47" s="6">
        <f>Model!T47</f>
        <v>9.2636929069716452</v>
      </c>
      <c r="M47" s="6">
        <f>Model!U47</f>
        <v>9.4411647680440911</v>
      </c>
      <c r="N47" s="6">
        <f>Model!V47</f>
        <v>9.6194911358675483</v>
      </c>
      <c r="O47" s="6">
        <f>Model!W47</f>
        <v>9.7986622137197834</v>
      </c>
      <c r="P47" s="7">
        <f>Model!X47</f>
        <v>9.9786681341468881</v>
      </c>
      <c r="Q47" s="18">
        <f t="shared" si="0"/>
        <v>2300</v>
      </c>
      <c r="S47" s="19">
        <f t="shared" si="1"/>
        <v>0.71497522717524298</v>
      </c>
      <c r="T47" s="32"/>
      <c r="XFD47">
        <f>1</f>
        <v>1</v>
      </c>
    </row>
    <row r="48" spans="2:20 16384:16384" x14ac:dyDescent="0.25">
      <c r="B48" s="11">
        <f>Model!J48</f>
        <v>45.192307692307693</v>
      </c>
      <c r="C48" s="15">
        <f>Model!K48</f>
        <v>2350</v>
      </c>
      <c r="D48" s="5">
        <f>Model!L48</f>
        <v>7.7994641297133276</v>
      </c>
      <c r="E48" s="6">
        <f>Model!M48</f>
        <v>7.9663174515315065</v>
      </c>
      <c r="F48" s="6">
        <f>Model!N48</f>
        <v>8.1340721037044812</v>
      </c>
      <c r="G48" s="6">
        <f>Model!O48</f>
        <v>8.3027194972307417</v>
      </c>
      <c r="H48" s="6">
        <f>Model!P48</f>
        <v>8.4722508984552203</v>
      </c>
      <c r="I48" s="6">
        <f>Model!Q48</f>
        <v>8.642657439256757</v>
      </c>
      <c r="J48" s="6">
        <f>Model!R48</f>
        <v>8.8139301271188923</v>
      </c>
      <c r="K48" s="6">
        <f>Model!S48</f>
        <v>8.9860598550675466</v>
      </c>
      <c r="L48" s="6">
        <f>Model!T48</f>
        <v>9.1590374114589501</v>
      </c>
      <c r="M48" s="6">
        <f>Model!U48</f>
        <v>9.3328534896035542</v>
      </c>
      <c r="N48" s="6">
        <f>Model!V48</f>
        <v>9.5074986972116093</v>
      </c>
      <c r="O48" s="6">
        <f>Model!W48</f>
        <v>9.682963565648274</v>
      </c>
      <c r="P48" s="7">
        <f>Model!X48</f>
        <v>9.8592385589864069</v>
      </c>
      <c r="Q48" s="18">
        <f t="shared" si="0"/>
        <v>2350</v>
      </c>
      <c r="S48" s="19">
        <f t="shared" si="1"/>
        <v>0.70020114752745677</v>
      </c>
      <c r="T48" s="32"/>
      <c r="XFD48">
        <f>0</f>
        <v>0</v>
      </c>
    </row>
    <row r="49" spans="2:20 16384:16384" x14ac:dyDescent="0.25">
      <c r="B49" s="11">
        <f>Model!J49</f>
        <v>46.153846153846153</v>
      </c>
      <c r="C49" s="15">
        <f>Model!K49</f>
        <v>2400</v>
      </c>
      <c r="D49" s="5">
        <f>Model!L49</f>
        <v>7.7262911765098847</v>
      </c>
      <c r="E49" s="6">
        <f>Model!M49</f>
        <v>7.8898485652794914</v>
      </c>
      <c r="F49" s="6">
        <f>Model!N49</f>
        <v>8.0542809300037863</v>
      </c>
      <c r="G49" s="6">
        <f>Model!O49</f>
        <v>8.2195799505412719</v>
      </c>
      <c r="H49" s="6">
        <f>Model!P49</f>
        <v>8.3857371682139004</v>
      </c>
      <c r="I49" s="6">
        <f>Model!Q49</f>
        <v>8.5527439956023734</v>
      </c>
      <c r="J49" s="6">
        <f>Model!R49</f>
        <v>8.7205917262293635</v>
      </c>
      <c r="K49" s="6">
        <f>Model!S49</f>
        <v>8.8892715441148518</v>
      </c>
      <c r="L49" s="6">
        <f>Model!T49</f>
        <v>9.0587745331874832</v>
      </c>
      <c r="M49" s="6">
        <f>Model!U49</f>
        <v>9.229091686538176</v>
      </c>
      <c r="N49" s="6">
        <f>Model!V49</f>
        <v>9.4002139155021123</v>
      </c>
      <c r="O49" s="6">
        <f>Model!W49</f>
        <v>9.572132058557461</v>
      </c>
      <c r="P49" s="7">
        <f>Model!X49</f>
        <v>9.7448368900292905</v>
      </c>
      <c r="Q49" s="18">
        <f t="shared" si="0"/>
        <v>2400</v>
      </c>
      <c r="S49" s="19">
        <f t="shared" si="1"/>
        <v>0.68606235684180739</v>
      </c>
      <c r="T49" s="32"/>
      <c r="XFD49">
        <f>1</f>
        <v>1</v>
      </c>
    </row>
    <row r="50" spans="2:20 16384:16384" x14ac:dyDescent="0.25">
      <c r="B50" s="11">
        <f>Model!J50</f>
        <v>47.115384615384613</v>
      </c>
      <c r="C50" s="15">
        <f>Model!K50</f>
        <v>2450</v>
      </c>
      <c r="D50" s="5">
        <f>Model!L50</f>
        <v>7.6561104755726799</v>
      </c>
      <c r="E50" s="6">
        <f>Model!M50</f>
        <v>7.8165084528030366</v>
      </c>
      <c r="F50" s="6">
        <f>Model!N50</f>
        <v>7.9777564189650336</v>
      </c>
      <c r="G50" s="6">
        <f>Model!O50</f>
        <v>8.1398463069365086</v>
      </c>
      <c r="H50" s="6">
        <f>Model!P50</f>
        <v>8.3027699166622817</v>
      </c>
      <c r="I50" s="6">
        <f>Model!Q50</f>
        <v>8.4665189245893409</v>
      </c>
      <c r="J50" s="6">
        <f>Model!R50</f>
        <v>8.6310848929942736</v>
      </c>
      <c r="K50" s="6">
        <f>Model!S50</f>
        <v>8.7964592791877152</v>
      </c>
      <c r="L50" s="6">
        <f>Model!T50</f>
        <v>8.9626334445801632</v>
      </c>
      <c r="M50" s="6">
        <f>Model!U50</f>
        <v>9.1295986635958339</v>
      </c>
      <c r="N50" s="6">
        <f>Model!V50</f>
        <v>9.2973461324211755</v>
      </c>
      <c r="O50" s="6">
        <f>Model!W50</f>
        <v>9.4658669775766988</v>
      </c>
      <c r="P50" s="7">
        <f>Model!X50</f>
        <v>9.6351522643009666</v>
      </c>
      <c r="Q50" s="18">
        <f t="shared" si="0"/>
        <v>2450</v>
      </c>
      <c r="S50" s="19">
        <f t="shared" si="1"/>
        <v>0.67251881972080341</v>
      </c>
      <c r="T50" s="32"/>
      <c r="XFD50">
        <f>0</f>
        <v>0</v>
      </c>
    </row>
    <row r="51" spans="2:20 16384:16384" x14ac:dyDescent="0.25">
      <c r="B51" s="11">
        <f>Model!J51</f>
        <v>48.07692307692308</v>
      </c>
      <c r="C51" s="15">
        <f>Model!K51</f>
        <v>2500</v>
      </c>
      <c r="D51" s="5">
        <f>Model!L51</f>
        <v>7.5887421632301475</v>
      </c>
      <c r="E51" s="6">
        <f>Model!M51</f>
        <v>7.746108942591885</v>
      </c>
      <c r="F51" s="6">
        <f>Model!N51</f>
        <v>7.9043019923950677</v>
      </c>
      <c r="G51" s="6">
        <f>Model!O51</f>
        <v>8.063313484031978</v>
      </c>
      <c r="H51" s="6">
        <f>Model!P51</f>
        <v>8.2231354611083436</v>
      </c>
      <c r="I51" s="6">
        <f>Model!Q51</f>
        <v>8.3837598485468234</v>
      </c>
      <c r="J51" s="6">
        <f>Model!R51</f>
        <v>8.5451784615868256</v>
      </c>
      <c r="K51" s="6">
        <f>Model!S51</f>
        <v>8.7073830146658864</v>
      </c>
      <c r="L51" s="6">
        <f>Model!T51</f>
        <v>8.8703651301674178</v>
      </c>
      <c r="M51" s="6">
        <f>Model!U51</f>
        <v>9.0341163470218664</v>
      </c>
      <c r="N51" s="6">
        <f>Model!V51</f>
        <v>9.19862812914835</v>
      </c>
      <c r="O51" s="6">
        <f>Model!W51</f>
        <v>9.3638918737257164</v>
      </c>
      <c r="P51" s="7">
        <f>Model!X51</f>
        <v>9.5298989192822106</v>
      </c>
      <c r="Q51" s="18">
        <f t="shared" si="0"/>
        <v>2500</v>
      </c>
      <c r="S51" s="19">
        <f t="shared" si="1"/>
        <v>0.65953378911479277</v>
      </c>
      <c r="T51" s="32"/>
      <c r="XFD51">
        <f>1</f>
        <v>1</v>
      </c>
    </row>
    <row r="52" spans="2:20 16384:16384" x14ac:dyDescent="0.25">
      <c r="B52" s="11">
        <f>Model!J52</f>
        <v>49.03846153846154</v>
      </c>
      <c r="C52" s="15">
        <f>Model!K52</f>
        <v>2550</v>
      </c>
      <c r="D52" s="5">
        <f>Model!L52</f>
        <v>7.524020507952164</v>
      </c>
      <c r="E52" s="6">
        <f>Model!M52</f>
        <v>7.6784766557712008</v>
      </c>
      <c r="F52" s="6">
        <f>Model!N52</f>
        <v>7.8337365342421306</v>
      </c>
      <c r="G52" s="6">
        <f>Model!O52</f>
        <v>7.9897925399590477</v>
      </c>
      <c r="H52" s="6">
        <f>Model!P52</f>
        <v>8.1466369464680017</v>
      </c>
      <c r="I52" s="6">
        <f>Model!Q52</f>
        <v>8.3042619130640869</v>
      </c>
      <c r="J52" s="6">
        <f>Model!R52</f>
        <v>8.4626594934886796</v>
      </c>
      <c r="K52" s="6">
        <f>Model!S52</f>
        <v>8.6218216445124796</v>
      </c>
      <c r="L52" s="6">
        <f>Model!T52</f>
        <v>8.7817402343895559</v>
      </c>
      <c r="M52" s="6">
        <f>Model!U52</f>
        <v>8.9424070511698854</v>
      </c>
      <c r="N52" s="6">
        <f>Model!V52</f>
        <v>9.103813810857698</v>
      </c>
      <c r="O52" s="6">
        <f>Model!W52</f>
        <v>9.2659521654049453</v>
      </c>
      <c r="P52" s="7">
        <f>Model!X52</f>
        <v>9.4288137105293881</v>
      </c>
      <c r="Q52" s="18">
        <f t="shared" si="0"/>
        <v>2550</v>
      </c>
      <c r="S52" s="19">
        <f t="shared" si="1"/>
        <v>0.64707347613983224</v>
      </c>
      <c r="T52" s="32"/>
      <c r="XFD52">
        <f>0</f>
        <v>0</v>
      </c>
    </row>
    <row r="53" spans="2:20 16384:16384" x14ac:dyDescent="0.25">
      <c r="B53" s="11">
        <f>Model!J53</f>
        <v>50</v>
      </c>
      <c r="C53" s="15">
        <f>Model!K53</f>
        <v>2600</v>
      </c>
      <c r="D53" s="5">
        <f>Model!L53</f>
        <v>7.4617925491233379</v>
      </c>
      <c r="E53" s="6">
        <f>Model!M53</f>
        <v>7.613451580533531</v>
      </c>
      <c r="F53" s="6">
        <f>Model!N53</f>
        <v>7.7658928997047205</v>
      </c>
      <c r="G53" s="6">
        <f>Model!O53</f>
        <v>7.9191091161873288</v>
      </c>
      <c r="H53" s="6">
        <f>Model!P53</f>
        <v>8.0730927208572396</v>
      </c>
      <c r="I53" s="6">
        <f>Model!Q53</f>
        <v>8.2278360944290263</v>
      </c>
      <c r="J53" s="6">
        <f>Model!R53</f>
        <v>8.3833315158729427</v>
      </c>
      <c r="K53" s="6">
        <f>Model!S53</f>
        <v>8.5395711707216595</v>
      </c>
      <c r="L53" s="6">
        <f>Model!T53</f>
        <v>8.6965471592523897</v>
      </c>
      <c r="M53" s="6">
        <f>Model!U53</f>
        <v>8.8542515045321739</v>
      </c>
      <c r="N53" s="6">
        <f>Model!V53</f>
        <v>9.0126761603140011</v>
      </c>
      <c r="O53" s="6">
        <f>Model!W53</f>
        <v>9.1718130187733387</v>
      </c>
      <c r="P53" s="7">
        <f>Model!X53</f>
        <v>9.3316539180748421</v>
      </c>
      <c r="Q53" s="18">
        <f t="shared" si="0"/>
        <v>2600</v>
      </c>
      <c r="S53" s="19">
        <f t="shared" si="1"/>
        <v>0.63510675882245238</v>
      </c>
      <c r="T53" s="32"/>
      <c r="XFD53">
        <f>1</f>
        <v>1</v>
      </c>
    </row>
    <row r="54" spans="2:20 16384:16384" x14ac:dyDescent="0.25">
      <c r="B54" s="11">
        <f>Model!J54</f>
        <v>50.96153846153846</v>
      </c>
      <c r="C54" s="15">
        <f>Model!K54</f>
        <v>2650</v>
      </c>
      <c r="D54" s="5">
        <f>Model!L54</f>
        <v>7.4019168901792867</v>
      </c>
      <c r="E54" s="6">
        <f>Model!M54</f>
        <v>7.5508858083092534</v>
      </c>
      <c r="F54" s="6">
        <f>Model!N54</f>
        <v>7.7006165935779149</v>
      </c>
      <c r="G54" s="6">
        <f>Model!O54</f>
        <v>7.8511020572043595</v>
      </c>
      <c r="H54" s="6">
        <f>Model!P54</f>
        <v>8.0023348957791942</v>
      </c>
      <c r="I54" s="6">
        <f>Model!Q54</f>
        <v>8.1543076995141277</v>
      </c>
      <c r="J54" s="6">
        <f>Model!R54</f>
        <v>8.3070129603986658</v>
      </c>
      <c r="K54" s="6">
        <f>Model!S54</f>
        <v>8.4604430802502808</v>
      </c>
      <c r="L54" s="6">
        <f>Model!T54</f>
        <v>8.6145903786440616</v>
      </c>
      <c r="M54" s="6">
        <f>Model!U54</f>
        <v>8.7694471007098844</v>
      </c>
      <c r="N54" s="6">
        <f>Model!V54</f>
        <v>8.9250054247851001</v>
      </c>
      <c r="O54" s="6">
        <f>Model!W54</f>
        <v>9.0812574699125879</v>
      </c>
      <c r="P54" s="7">
        <f>Model!X54</f>
        <v>9.2381953031741801</v>
      </c>
      <c r="Q54" s="18">
        <f t="shared" si="0"/>
        <v>2650</v>
      </c>
      <c r="S54" s="19">
        <f t="shared" si="1"/>
        <v>0.62360492453011851</v>
      </c>
      <c r="T54" s="32"/>
      <c r="XFD54">
        <f>0</f>
        <v>0</v>
      </c>
    </row>
    <row r="55" spans="2:20 16384:16384" x14ac:dyDescent="0.25">
      <c r="B55" s="11">
        <f>Model!J55</f>
        <v>51.92307692307692</v>
      </c>
      <c r="C55" s="15">
        <f>Model!K55</f>
        <v>2700</v>
      </c>
      <c r="D55" s="5">
        <f>Model!L55</f>
        <v>7.344262626062747</v>
      </c>
      <c r="E55" s="6">
        <f>Model!M55</f>
        <v>7.4906424106647389</v>
      </c>
      <c r="F55" s="6">
        <f>Model!N55</f>
        <v>7.6377645958413209</v>
      </c>
      <c r="G55" s="6">
        <f>Model!O55</f>
        <v>7.7856221840544624</v>
      </c>
      <c r="H55" s="6">
        <f>Model!P55</f>
        <v>7.9342080668892798</v>
      </c>
      <c r="I55" s="6">
        <f>Model!Q55</f>
        <v>8.0835150330580845</v>
      </c>
      <c r="J55" s="6">
        <f>Model!R55</f>
        <v>8.2335357763147243</v>
      </c>
      <c r="K55" s="6">
        <f>Model!S55</f>
        <v>8.3842629032658991</v>
      </c>
      <c r="L55" s="6">
        <f>Model!T55</f>
        <v>8.5356889410657377</v>
      </c>
      <c r="M55" s="6">
        <f>Model!U55</f>
        <v>8.6878063449820448</v>
      </c>
      <c r="N55" s="6">
        <f>Model!V55</f>
        <v>8.840607505822426</v>
      </c>
      <c r="O55" s="6">
        <f>Model!W55</f>
        <v>8.9940847572103877</v>
      </c>
      <c r="P55" s="7">
        <f>Model!X55</f>
        <v>9.1482303827016711</v>
      </c>
      <c r="Q55" s="18">
        <f t="shared" si="0"/>
        <v>2700</v>
      </c>
      <c r="S55" s="19">
        <f t="shared" si="1"/>
        <v>0.61254144163593338</v>
      </c>
      <c r="T55" s="32"/>
      <c r="XFD55">
        <f>1</f>
        <v>1</v>
      </c>
    </row>
    <row r="56" spans="2:20 16384:16384" x14ac:dyDescent="0.25">
      <c r="B56" s="11">
        <f>Model!J56</f>
        <v>52.884615384615387</v>
      </c>
      <c r="C56" s="15">
        <f>Model!K56</f>
        <v>2750</v>
      </c>
      <c r="D56" s="5">
        <f>Model!L56</f>
        <v>7.2887083878763654</v>
      </c>
      <c r="E56" s="6">
        <f>Model!M56</f>
        <v>7.4325944389798622</v>
      </c>
      <c r="F56" s="6">
        <f>Model!N56</f>
        <v>7.5772043157002109</v>
      </c>
      <c r="G56" s="6">
        <f>Model!O56</f>
        <v>7.722531202093986</v>
      </c>
      <c r="H56" s="6">
        <f>Model!P56</f>
        <v>7.8685681748271428</v>
      </c>
      <c r="I56" s="6">
        <f>Model!Q56</f>
        <v>8.0153082109498772</v>
      </c>
      <c r="J56" s="6">
        <f>Model!R56</f>
        <v>8.1627441955847289</v>
      </c>
      <c r="K56" s="6">
        <f>Model!S56</f>
        <v>8.310868929514978</v>
      </c>
      <c r="L56" s="6">
        <f>Model!T56</f>
        <v>8.4596751366598593</v>
      </c>
      <c r="M56" s="6">
        <f>Model!U56</f>
        <v>8.6091554714253107</v>
      </c>
      <c r="N56" s="6">
        <f>Model!V56</f>
        <v>8.7593025259186881</v>
      </c>
      <c r="O56" s="6">
        <f>Model!W56</f>
        <v>8.9101088370178125</v>
      </c>
      <c r="P56" s="7">
        <f>Model!X56</f>
        <v>9.0615668932847697</v>
      </c>
      <c r="Q56" s="18">
        <f t="shared" si="0"/>
        <v>2750</v>
      </c>
      <c r="S56" s="19">
        <f t="shared" si="1"/>
        <v>0.60189175662491046</v>
      </c>
      <c r="T56" s="32"/>
      <c r="XFD56">
        <f>0</f>
        <v>0</v>
      </c>
    </row>
    <row r="57" spans="2:20 16384:16384" x14ac:dyDescent="0.25">
      <c r="B57" s="11">
        <f>Model!J57</f>
        <v>53.846153846153847</v>
      </c>
      <c r="C57" s="15">
        <f>Model!K57</f>
        <v>2800</v>
      </c>
      <c r="D57" s="5">
        <f>Model!L57</f>
        <v>7.2351414900591733</v>
      </c>
      <c r="E57" s="6">
        <f>Model!M57</f>
        <v>7.3766240315258145</v>
      </c>
      <c r="F57" s="6">
        <f>Model!N57</f>
        <v>7.5188126579823358</v>
      </c>
      <c r="G57" s="6">
        <f>Model!O57</f>
        <v>7.661700726134713</v>
      </c>
      <c r="H57" s="6">
        <f>Model!P57</f>
        <v>7.8052814885447628</v>
      </c>
      <c r="I57" s="6">
        <f>Model!Q57</f>
        <v>7.9495481011905786</v>
      </c>
      <c r="J57" s="6">
        <f>Model!R57</f>
        <v>8.0944936309429831</v>
      </c>
      <c r="K57" s="6">
        <f>Model!S57</f>
        <v>8.2401110629453616</v>
      </c>
      <c r="L57" s="6">
        <f>Model!T57</f>
        <v>8.3863933078836883</v>
      </c>
      <c r="M57" s="6">
        <f>Model!U57</f>
        <v>8.5333332091356979</v>
      </c>
      <c r="N57" s="6">
        <f>Model!V57</f>
        <v>8.6809235497878756</v>
      </c>
      <c r="O57" s="6">
        <f>Model!W57</f>
        <v>8.8291570595108659</v>
      </c>
      <c r="P57" s="7">
        <f>Model!X57</f>
        <v>8.9780264212838556</v>
      </c>
      <c r="Q57" s="18">
        <f t="shared" si="0"/>
        <v>2800</v>
      </c>
      <c r="S57" s="19">
        <f t="shared" si="1"/>
        <v>0.59163311340016733</v>
      </c>
      <c r="T57" s="32"/>
      <c r="XFD57">
        <f>1</f>
        <v>1</v>
      </c>
    </row>
    <row r="58" spans="2:20 16384:16384" x14ac:dyDescent="0.25">
      <c r="B58" s="11">
        <f>Model!J58</f>
        <v>54.807692307692307</v>
      </c>
      <c r="C58" s="15">
        <f>Model!K58</f>
        <v>2850</v>
      </c>
      <c r="D58" s="5">
        <f>Model!L58</f>
        <v>7.1834571674762504</v>
      </c>
      <c r="E58" s="6">
        <f>Model!M58</f>
        <v>7.3226216147269572</v>
      </c>
      <c r="F58" s="6">
        <f>Model!N58</f>
        <v>7.4624751880577902</v>
      </c>
      <c r="G58" s="6">
        <f>Model!O58</f>
        <v>7.6030114085160942</v>
      </c>
      <c r="H58" s="6">
        <f>Model!P58</f>
        <v>7.7442236960344601</v>
      </c>
      <c r="I58" s="6">
        <f>Model!Q58</f>
        <v>7.8861053767900469</v>
      </c>
      <c r="J58" s="6">
        <f>Model!R58</f>
        <v>8.028649690482613</v>
      </c>
      <c r="K58" s="6">
        <f>Model!S58</f>
        <v>8.1718497975187798</v>
      </c>
      <c r="L58" s="6">
        <f>Model!T58</f>
        <v>8.3156987860897047</v>
      </c>
      <c r="M58" s="6">
        <f>Model!U58</f>
        <v>8.4601896791312559</v>
      </c>
      <c r="N58" s="6">
        <f>Model!V58</f>
        <v>8.6053154411556729</v>
      </c>
      <c r="O58" s="6">
        <f>Model!W58</f>
        <v>8.7510689849454408</v>
      </c>
      <c r="P58" s="7">
        <f>Model!X58</f>
        <v>8.8974431781001773</v>
      </c>
      <c r="Q58" s="18">
        <f t="shared" si="0"/>
        <v>2850</v>
      </c>
      <c r="S58" s="19">
        <f t="shared" si="1"/>
        <v>0.58174439201047257</v>
      </c>
      <c r="T58" s="32"/>
      <c r="XFD58">
        <f>0</f>
        <v>0</v>
      </c>
    </row>
    <row r="59" spans="2:20 16384:16384" x14ac:dyDescent="0.25">
      <c r="B59" s="11">
        <f>Model!J59</f>
        <v>55.769230769230766</v>
      </c>
      <c r="C59" s="15">
        <f>Model!K59</f>
        <v>2900</v>
      </c>
      <c r="D59" s="5">
        <f>Model!L59</f>
        <v>7.1335578915531563</v>
      </c>
      <c r="E59" s="6">
        <f>Model!M59</f>
        <v>7.2704851872169787</v>
      </c>
      <c r="F59" s="6">
        <f>Model!N59</f>
        <v>7.4080853833617999</v>
      </c>
      <c r="G59" s="6">
        <f>Model!O59</f>
        <v>7.5463521576470836</v>
      </c>
      <c r="H59" s="6">
        <f>Model!P59</f>
        <v>7.685279089449967</v>
      </c>
      <c r="I59" s="6">
        <f>Model!Q59</f>
        <v>7.8248596670356125</v>
      </c>
      <c r="J59" s="6">
        <f>Model!R59</f>
        <v>7.9650872946487787</v>
      </c>
      <c r="K59" s="6">
        <f>Model!S59</f>
        <v>8.1059552995143456</v>
      </c>
      <c r="L59" s="6">
        <f>Model!T59</f>
        <v>8.2474569387342402</v>
      </c>
      <c r="M59" s="6">
        <f>Model!U59</f>
        <v>8.3895854060700668</v>
      </c>
      <c r="N59" s="6">
        <f>Model!V59</f>
        <v>8.5323338386006551</v>
      </c>
      <c r="O59" s="6">
        <f>Model!W59</f>
        <v>8.6756953232454013</v>
      </c>
      <c r="P59" s="7">
        <f>Model!X59</f>
        <v>8.8196629031444171</v>
      </c>
      <c r="Q59" s="18">
        <f t="shared" si="0"/>
        <v>2900</v>
      </c>
      <c r="S59" s="19">
        <f t="shared" si="1"/>
        <v>0.5722059644101769</v>
      </c>
      <c r="T59" s="32"/>
      <c r="XFD59">
        <f>1</f>
        <v>1</v>
      </c>
    </row>
    <row r="60" spans="2:20 16384:16384" x14ac:dyDescent="0.25">
      <c r="B60" s="11">
        <f>Model!J60</f>
        <v>56.730769230769234</v>
      </c>
      <c r="C60" s="15">
        <f>Model!K60</f>
        <v>2950</v>
      </c>
      <c r="D60" s="5">
        <f>Model!L60</f>
        <v>7.0853527560627079</v>
      </c>
      <c r="E60" s="6">
        <f>Model!M60</f>
        <v>7.2201196768470561</v>
      </c>
      <c r="F60" s="6">
        <f>Model!N60</f>
        <v>7.3555439612206612</v>
      </c>
      <c r="G60" s="6">
        <f>Model!O60</f>
        <v>7.4916194362526749</v>
      </c>
      <c r="H60" s="6">
        <f>Model!P60</f>
        <v>7.6283398333832242</v>
      </c>
      <c r="I60" s="6">
        <f>Model!Q60</f>
        <v>7.7656987954158865</v>
      </c>
      <c r="J60" s="6">
        <f>Model!R60</f>
        <v>7.9036898834336533</v>
      </c>
      <c r="K60" s="6">
        <f>Model!S60</f>
        <v>8.0423065836264893</v>
      </c>
      <c r="L60" s="6">
        <f>Model!T60</f>
        <v>8.1815423140180918</v>
      </c>
      <c r="M60" s="6">
        <f>Model!U60</f>
        <v>8.3213904310813724</v>
      </c>
      <c r="N60" s="6">
        <f>Model!V60</f>
        <v>8.4618442362320856</v>
      </c>
      <c r="O60" s="6">
        <f>Model!W60</f>
        <v>8.6028969821916679</v>
      </c>
      <c r="P60" s="7">
        <f>Model!X60</f>
        <v>8.7445418792104235</v>
      </c>
      <c r="Q60" s="18">
        <f t="shared" si="0"/>
        <v>2950</v>
      </c>
      <c r="S60" s="19">
        <f t="shared" si="1"/>
        <v>0.56299956519233163</v>
      </c>
      <c r="T60" s="32"/>
      <c r="XFD60">
        <f>0</f>
        <v>0</v>
      </c>
    </row>
    <row r="61" spans="2:20 16384:16384" x14ac:dyDescent="0.25">
      <c r="B61" s="11">
        <f>Model!J61</f>
        <v>57.692307692307693</v>
      </c>
      <c r="C61" s="15">
        <f>Model!K61</f>
        <v>3000</v>
      </c>
      <c r="D61" s="5">
        <f>Model!L61</f>
        <v>7.0387569244257229</v>
      </c>
      <c r="E61" s="6">
        <f>Model!M61</f>
        <v>7.1714363621184241</v>
      </c>
      <c r="F61" s="6">
        <f>Model!N61</f>
        <v>7.3047582740574049</v>
      </c>
      <c r="G61" s="6">
        <f>Model!O61</f>
        <v>7.4387166299995409</v>
      </c>
      <c r="H61" s="6">
        <f>Model!P61</f>
        <v>7.5733053065628297</v>
      </c>
      <c r="I61" s="6">
        <f>Model!Q61</f>
        <v>7.7085180940509925</v>
      </c>
      <c r="J61" s="6">
        <f>Model!R61</f>
        <v>7.844348703203857</v>
      </c>
      <c r="K61" s="6">
        <f>Model!S61</f>
        <v>7.9807907718617068</v>
      </c>
      <c r="L61" s="6">
        <f>Model!T61</f>
        <v>8.1178378715315223</v>
      </c>
      <c r="M61" s="6">
        <f>Model!U61</f>
        <v>8.2554835138448244</v>
      </c>
      <c r="N61" s="6">
        <f>Model!V61</f>
        <v>8.3937211568966852</v>
      </c>
      <c r="O61" s="6">
        <f>Model!W61</f>
        <v>8.5325442114571537</v>
      </c>
      <c r="P61" s="7">
        <f>Model!X61</f>
        <v>8.6719460470464487</v>
      </c>
      <c r="Q61" s="18">
        <f t="shared" si="0"/>
        <v>3000</v>
      </c>
      <c r="S61" s="19">
        <f t="shared" si="1"/>
        <v>0.55410817551492642</v>
      </c>
      <c r="T61" s="32"/>
      <c r="XFD61">
        <f>1</f>
        <v>1</v>
      </c>
    </row>
    <row r="62" spans="2:20 16384:16384" x14ac:dyDescent="0.25">
      <c r="B62" s="11">
        <f>Model!J62</f>
        <v>58.653846153846153</v>
      </c>
      <c r="C62" s="15">
        <f>Model!K62</f>
        <v>3050</v>
      </c>
      <c r="D62" s="5">
        <f>Model!L62</f>
        <v>6.9936911314563694</v>
      </c>
      <c r="E62" s="6">
        <f>Model!M62</f>
        <v>7.1243523506323978</v>
      </c>
      <c r="F62" s="6">
        <f>Model!N62</f>
        <v>7.2556417642269269</v>
      </c>
      <c r="G62" s="6">
        <f>Model!O62</f>
        <v>7.3875534784017276</v>
      </c>
      <c r="H62" s="6">
        <f>Model!P62</f>
        <v>7.5200815085208088</v>
      </c>
      <c r="I62" s="6">
        <f>Model!Q62</f>
        <v>7.6532197858164537</v>
      </c>
      <c r="J62" s="6">
        <f>Model!R62</f>
        <v>7.7869621639830351</v>
      </c>
      <c r="K62" s="6">
        <f>Model!S62</f>
        <v>7.9213024256871947</v>
      </c>
      <c r="L62" s="6">
        <f>Model!T62</f>
        <v>8.0562342889823633</v>
      </c>
      <c r="M62" s="6">
        <f>Model!U62</f>
        <v>8.1917514136176148</v>
      </c>
      <c r="N62" s="6">
        <f>Model!V62</f>
        <v>8.3278474072305748</v>
      </c>
      <c r="O62" s="6">
        <f>Model!W62</f>
        <v>8.4645158314158131</v>
      </c>
      <c r="P62" s="7">
        <f>Model!X62</f>
        <v>8.6017502076601193</v>
      </c>
      <c r="Q62" s="18">
        <f t="shared" si="0"/>
        <v>3050</v>
      </c>
      <c r="S62" s="19">
        <f t="shared" si="1"/>
        <v>0.54551591867775606</v>
      </c>
      <c r="T62" s="32"/>
      <c r="XFD62">
        <f>0</f>
        <v>0</v>
      </c>
    </row>
    <row r="63" spans="2:20 16384:16384" x14ac:dyDescent="0.25">
      <c r="B63" s="11">
        <f>Model!J63</f>
        <v>59.615384615384613</v>
      </c>
      <c r="C63" s="15">
        <f>Model!K63</f>
        <v>3100</v>
      </c>
      <c r="D63" s="5">
        <f>Model!L63</f>
        <v>6.950081233396217</v>
      </c>
      <c r="E63" s="6">
        <f>Model!M63</f>
        <v>7.0787901081082332</v>
      </c>
      <c r="F63" s="6">
        <f>Model!N63</f>
        <v>7.2081134717325996</v>
      </c>
      <c r="G63" s="6">
        <f>Model!O63</f>
        <v>7.3380455609551118</v>
      </c>
      <c r="H63" s="6">
        <f>Model!P63</f>
        <v>7.4685805238686971</v>
      </c>
      <c r="I63" s="6">
        <f>Model!Q63</f>
        <v>7.5997124264892388</v>
      </c>
      <c r="J63" s="6">
        <f>Model!R63</f>
        <v>7.731435259201251</v>
      </c>
      <c r="K63" s="6">
        <f>Model!S63</f>
        <v>7.863742943122026</v>
      </c>
      <c r="L63" s="6">
        <f>Model!T63</f>
        <v>7.9966293363725711</v>
      </c>
      <c r="M63" s="6">
        <f>Model!U63</f>
        <v>8.1300882402454118</v>
      </c>
      <c r="N63" s="6">
        <f>Model!V63</f>
        <v>8.2641134052591934</v>
      </c>
      <c r="O63" s="6">
        <f>Model!W63</f>
        <v>8.3986985370916276</v>
      </c>
      <c r="P63" s="7">
        <f>Model!X63</f>
        <v>8.5338373023824055</v>
      </c>
      <c r="Q63" s="18">
        <f t="shared" si="0"/>
        <v>3100</v>
      </c>
      <c r="S63" s="19">
        <f t="shared" si="1"/>
        <v>0.53720796600983434</v>
      </c>
      <c r="T63" s="32"/>
      <c r="XFD63">
        <f>1</f>
        <v>1</v>
      </c>
    </row>
    <row r="64" spans="2:20 16384:16384" x14ac:dyDescent="0.25">
      <c r="B64" s="11">
        <f>Model!J64</f>
        <v>60.57692307692308</v>
      </c>
      <c r="C64" s="15">
        <f>Model!K64</f>
        <v>3150</v>
      </c>
      <c r="D64" s="5">
        <f>Model!L64</f>
        <v>6.9078578008638587</v>
      </c>
      <c r="E64" s="6">
        <f>Model!M64</f>
        <v>7.034677032339923</v>
      </c>
      <c r="F64" s="6">
        <f>Model!N64</f>
        <v>7.1620975889351577</v>
      </c>
      <c r="G64" s="6">
        <f>Model!O64</f>
        <v>7.2901138323473216</v>
      </c>
      <c r="H64" s="6">
        <f>Model!P64</f>
        <v>7.4187200377612399</v>
      </c>
      <c r="I64" s="6">
        <f>Model!Q64</f>
        <v>7.5479104002222854</v>
      </c>
      <c r="J64" s="6">
        <f>Model!R64</f>
        <v>7.6776790409415154</v>
      </c>
      <c r="K64" s="6">
        <f>Model!S64</f>
        <v>7.8080200135213973</v>
      </c>
      <c r="L64" s="6">
        <f>Model!T64</f>
        <v>7.9389273100905413</v>
      </c>
      <c r="M64" s="6">
        <f>Model!U64</f>
        <v>8.0703948673377628</v>
      </c>
      <c r="N64" s="6">
        <f>Model!V64</f>
        <v>8.2024165724355242</v>
      </c>
      <c r="O64" s="6">
        <f>Model!W64</f>
        <v>8.3349862688444869</v>
      </c>
      <c r="P64" s="7">
        <f>Model!X64</f>
        <v>8.4680977619908635</v>
      </c>
      <c r="Q64" s="18">
        <f t="shared" si="0"/>
        <v>3150</v>
      </c>
      <c r="S64" s="19">
        <f t="shared" si="1"/>
        <v>0.52917045190032219</v>
      </c>
      <c r="T64" s="32"/>
      <c r="XFD64">
        <f>0</f>
        <v>0</v>
      </c>
    </row>
    <row r="65" spans="2:20 16384:16384" x14ac:dyDescent="0.25">
      <c r="B65" s="11">
        <f>Model!J65</f>
        <v>61.53846153846154</v>
      </c>
      <c r="C65" s="15">
        <f>Model!K65</f>
        <v>3200</v>
      </c>
      <c r="D65" s="5">
        <f>Model!L65</f>
        <v>6.8669557500196357</v>
      </c>
      <c r="E65" s="6">
        <f>Model!M65</f>
        <v>6.9919450671676193</v>
      </c>
      <c r="F65" s="6">
        <f>Model!N65</f>
        <v>7.1175230571025843</v>
      </c>
      <c r="G65" s="6">
        <f>Model!O65</f>
        <v>7.2436842013609173</v>
      </c>
      <c r="H65" s="6">
        <f>Model!P65</f>
        <v>7.3704228969313723</v>
      </c>
      <c r="I65" s="6">
        <f>Model!Q65</f>
        <v>7.4977334624933158</v>
      </c>
      <c r="J65" s="6">
        <f>Model!R65</f>
        <v>7.6256101445884106</v>
      </c>
      <c r="K65" s="6">
        <f>Model!S65</f>
        <v>7.7540471237148338</v>
      </c>
      <c r="L65" s="6">
        <f>Model!T65</f>
        <v>7.8830385203326738</v>
      </c>
      <c r="M65" s="6">
        <f>Model!U65</f>
        <v>8.0125784007709591</v>
      </c>
      <c r="N65" s="6">
        <f>Model!V65</f>
        <v>8.1426607830265407</v>
      </c>
      <c r="O65" s="6">
        <f>Model!W65</f>
        <v>8.2732796424466546</v>
      </c>
      <c r="P65" s="7">
        <f>Model!X65</f>
        <v>8.4044289172870847</v>
      </c>
      <c r="Q65" s="18">
        <f t="shared" si="0"/>
        <v>3200</v>
      </c>
      <c r="S65" s="19">
        <f t="shared" si="1"/>
        <v>0.52139039695441092</v>
      </c>
      <c r="T65" s="32"/>
      <c r="XFD65">
        <f>1</f>
        <v>1</v>
      </c>
    </row>
    <row r="66" spans="2:20 16384:16384" x14ac:dyDescent="0.25">
      <c r="B66" s="11">
        <f>Model!J66</f>
        <v>62.5</v>
      </c>
      <c r="C66" s="15">
        <f>Model!K66</f>
        <v>3250</v>
      </c>
      <c r="D66" s="5">
        <f>Model!L66</f>
        <v>6.8273140078242154</v>
      </c>
      <c r="E66" s="6">
        <f>Model!M66</f>
        <v>6.9505303521468829</v>
      </c>
      <c r="F66" s="6">
        <f>Model!N66</f>
        <v>7.0743232002849279</v>
      </c>
      <c r="G66" s="6">
        <f>Model!O66</f>
        <v>7.1986871487518673</v>
      </c>
      <c r="H66" s="6">
        <f>Model!P66</f>
        <v>7.3236167113734147</v>
      </c>
      <c r="I66" s="6">
        <f>Model!Q66</f>
        <v>7.4491063253970893</v>
      </c>
      <c r="J66" s="6">
        <f>Model!R66</f>
        <v>7.5751503575369536</v>
      </c>
      <c r="K66" s="6">
        <f>Model!S66</f>
        <v>7.7017431099427576</v>
      </c>
      <c r="L66" s="6">
        <f>Model!T66</f>
        <v>7.8288788260823026</v>
      </c>
      <c r="M66" s="6">
        <f>Model!U66</f>
        <v>7.9565516965276171</v>
      </c>
      <c r="N66" s="6">
        <f>Model!V66</f>
        <v>8.0847558646353477</v>
      </c>
      <c r="O66" s="6">
        <f>Model!W66</f>
        <v>8.2134854321133197</v>
      </c>
      <c r="P66" s="7">
        <f>Model!X66</f>
        <v>8.342734464465293</v>
      </c>
      <c r="Q66" s="18">
        <f t="shared" si="0"/>
        <v>3250</v>
      </c>
      <c r="S66" s="19">
        <f t="shared" si="1"/>
        <v>0.51385563838299042</v>
      </c>
      <c r="T66" s="32"/>
      <c r="XFD66">
        <f>0</f>
        <v>0</v>
      </c>
    </row>
    <row r="67" spans="2:20 16384:16384" x14ac:dyDescent="0.25">
      <c r="B67" s="11">
        <f>Model!J67</f>
        <v>63.46153846153846</v>
      </c>
      <c r="C67" s="15">
        <f>Model!K67</f>
        <v>3300</v>
      </c>
      <c r="D67" s="5">
        <f>Model!L67</f>
        <v>6.7888752077701398</v>
      </c>
      <c r="E67" s="6">
        <f>Model!M67</f>
        <v>6.9103729041227631</v>
      </c>
      <c r="F67" s="6">
        <f>Model!N67</f>
        <v>7.0324353925467626</v>
      </c>
      <c r="G67" s="6">
        <f>Model!O67</f>
        <v>7.1550573799587109</v>
      </c>
      <c r="H67" s="6">
        <f>Model!P67</f>
        <v>7.2782334923500276</v>
      </c>
      <c r="I67" s="6">
        <f>Model!Q67</f>
        <v>7.4019582807740552</v>
      </c>
      <c r="J67" s="6">
        <f>Model!R67</f>
        <v>7.5262262272698814</v>
      </c>
      <c r="K67" s="6">
        <f>Model!S67</f>
        <v>7.6510317507123329</v>
      </c>
      <c r="L67" s="6">
        <f>Model!T67</f>
        <v>7.7763692125771193</v>
      </c>
      <c r="M67" s="6">
        <f>Model!U67</f>
        <v>7.9022329226119137</v>
      </c>
      <c r="N67" s="6">
        <f>Model!V67</f>
        <v>8.0286171444038423</v>
      </c>
      <c r="O67" s="6">
        <f>Model!W67</f>
        <v>8.1555161008355572</v>
      </c>
      <c r="P67" s="7">
        <f>Model!X67</f>
        <v>8.2829239794219323</v>
      </c>
      <c r="Q67" s="18">
        <f t="shared" si="0"/>
        <v>3300</v>
      </c>
      <c r="S67" s="19">
        <f t="shared" si="1"/>
        <v>0.50655476684481293</v>
      </c>
      <c r="T67" s="32"/>
      <c r="XFD67">
        <f>1</f>
        <v>1</v>
      </c>
    </row>
    <row r="68" spans="2:20 16384:16384" x14ac:dyDescent="0.25">
      <c r="B68" s="11">
        <f>Model!J68</f>
        <v>64.42307692307692</v>
      </c>
      <c r="C68" s="15">
        <f>Model!K68</f>
        <v>3350</v>
      </c>
      <c r="D68" s="5">
        <f>Model!L68</f>
        <v>6.7515854128981907</v>
      </c>
      <c r="E68" s="6">
        <f>Model!M68</f>
        <v>6.8714163273696567</v>
      </c>
      <c r="F68" s="6">
        <f>Model!N68</f>
        <v>6.9918007550645846</v>
      </c>
      <c r="G68" s="6">
        <f>Model!O68</f>
        <v>7.1127335089938946</v>
      </c>
      <c r="H68" s="6">
        <f>Model!P68</f>
        <v>7.2342093229163194</v>
      </c>
      <c r="I68" s="6">
        <f>Model!Q68</f>
        <v>7.3562228572085946</v>
      </c>
      <c r="J68" s="6">
        <f>Model!R68</f>
        <v>7.4787687046739482</v>
      </c>
      <c r="K68" s="6">
        <f>Model!S68</f>
        <v>7.6018413962784335</v>
      </c>
      <c r="L68" s="6">
        <f>Model!T68</f>
        <v>7.725435406804257</v>
      </c>
      <c r="M68" s="6">
        <f>Model!U68</f>
        <v>7.8495451604110524</v>
      </c>
      <c r="N68" s="6">
        <f>Model!V68</f>
        <v>7.9741650360956946</v>
      </c>
      <c r="O68" s="6">
        <f>Model!W68</f>
        <v>8.0992893730429358</v>
      </c>
      <c r="P68" s="7">
        <f>Model!X68</f>
        <v>8.224912475859055</v>
      </c>
      <c r="Q68" s="18">
        <f t="shared" ref="Q68:Q131" si="2">C68</f>
        <v>3350</v>
      </c>
      <c r="S68" s="19">
        <f t="shared" si="1"/>
        <v>0.49947706905479805</v>
      </c>
      <c r="T68" s="32"/>
      <c r="XFD68">
        <f>0</f>
        <v>0</v>
      </c>
    </row>
    <row r="69" spans="2:20 16384:16384" x14ac:dyDescent="0.25">
      <c r="B69" s="11">
        <f>Model!J69</f>
        <v>65.384615384615387</v>
      </c>
      <c r="C69" s="15">
        <f>Model!K69</f>
        <v>3400</v>
      </c>
      <c r="D69" s="5">
        <f>Model!L69</f>
        <v>6.7153938632862253</v>
      </c>
      <c r="E69" s="6">
        <f>Model!M69</f>
        <v>6.8336075493512993</v>
      </c>
      <c r="F69" s="6">
        <f>Model!N69</f>
        <v>6.9523638800083045</v>
      </c>
      <c r="G69" s="6">
        <f>Model!O69</f>
        <v>7.0716577702991916</v>
      </c>
      <c r="H69" s="6">
        <f>Model!P69</f>
        <v>7.1914840576037466</v>
      </c>
      <c r="I69" s="6">
        <f>Model!Q69</f>
        <v>7.3118375073981969</v>
      </c>
      <c r="J69" s="6">
        <f>Model!R69</f>
        <v>7.4327128189535001</v>
      </c>
      <c r="K69" s="6">
        <f>Model!S69</f>
        <v>7.5541046309631286</v>
      </c>
      <c r="L69" s="6">
        <f>Model!T69</f>
        <v>7.6760075270896149</v>
      </c>
      <c r="M69" s="6">
        <f>Model!U69</f>
        <v>7.7984160414209036</v>
      </c>
      <c r="N69" s="6">
        <f>Model!V69</f>
        <v>7.9213246638273267</v>
      </c>
      <c r="O69" s="6">
        <f>Model!W69</f>
        <v>8.0447278452115416</v>
      </c>
      <c r="P69" s="7">
        <f>Model!X69</f>
        <v>8.168620002643733</v>
      </c>
      <c r="Q69" s="18">
        <f t="shared" si="2"/>
        <v>3400</v>
      </c>
      <c r="S69" s="19">
        <f t="shared" si="1"/>
        <v>0.49261247555411813</v>
      </c>
      <c r="T69" s="32"/>
      <c r="XFD69">
        <f>1</f>
        <v>1</v>
      </c>
    </row>
    <row r="70" spans="2:20 16384:16384" x14ac:dyDescent="0.25">
      <c r="B70" s="11">
        <f>Model!J70</f>
        <v>66.34615384615384</v>
      </c>
      <c r="C70" s="15">
        <f>Model!K70</f>
        <v>3450</v>
      </c>
      <c r="D70" s="5">
        <f>Model!L70</f>
        <v>6.6802527455243936</v>
      </c>
      <c r="E70" s="6">
        <f>Model!M70</f>
        <v>6.7968965794972487</v>
      </c>
      <c r="F70" s="6">
        <f>Model!N70</f>
        <v>6.9140725784838422</v>
      </c>
      <c r="G70" s="6">
        <f>Model!O70</f>
        <v>7.0317757557210285</v>
      </c>
      <c r="H70" s="6">
        <f>Model!P70</f>
        <v>7.15000104829676</v>
      </c>
      <c r="I70" s="6">
        <f>Model!Q70</f>
        <v>7.2687433228019405</v>
      </c>
      <c r="J70" s="6">
        <f>Model!R70</f>
        <v>7.3879973809233848</v>
      </c>
      <c r="K70" s="6">
        <f>Model!S70</f>
        <v>7.5077579649677624</v>
      </c>
      <c r="L70" s="6">
        <f>Model!T70</f>
        <v>7.628019763306007</v>
      </c>
      <c r="M70" s="6">
        <f>Model!U70</f>
        <v>7.7487774157293554</v>
      </c>
      <c r="N70" s="6">
        <f>Model!V70</f>
        <v>7.8700255187079406</v>
      </c>
      <c r="O70" s="6">
        <f>Model!W70</f>
        <v>7.9917586305444157</v>
      </c>
      <c r="P70" s="7">
        <f>Model!X70</f>
        <v>8.1139712764150218</v>
      </c>
      <c r="Q70" s="18">
        <f t="shared" si="2"/>
        <v>3450</v>
      </c>
      <c r="S70" s="19">
        <f t="shared" si="1"/>
        <v>0.48595151310901485</v>
      </c>
      <c r="T70" s="32"/>
      <c r="XFD70">
        <f>0</f>
        <v>0</v>
      </c>
    </row>
    <row r="71" spans="2:20 16384:16384" x14ac:dyDescent="0.25">
      <c r="B71" s="11">
        <f>Model!J71</f>
        <v>67.307692307692307</v>
      </c>
      <c r="C71" s="15">
        <f>Model!K71</f>
        <v>3500</v>
      </c>
      <c r="D71" s="5">
        <f>Model!L71</f>
        <v>6.6461169819753501</v>
      </c>
      <c r="E71" s="6">
        <f>Model!M71</f>
        <v>6.7612362886905064</v>
      </c>
      <c r="F71" s="6">
        <f>Model!N71</f>
        <v>6.876877650125798</v>
      </c>
      <c r="G71" s="6">
        <f>Model!O71</f>
        <v>6.9930361740875595</v>
      </c>
      <c r="H71" s="6">
        <f>Model!P71</f>
        <v>7.1097068936752539</v>
      </c>
      <c r="I71" s="6">
        <f>Model!Q71</f>
        <v>7.2268847728311716</v>
      </c>
      <c r="J71" s="6">
        <f>Model!R71</f>
        <v>7.3445647118324988</v>
      </c>
      <c r="K71" s="6">
        <f>Model!S71</f>
        <v>7.4627415527158592</v>
      </c>
      <c r="L71" s="6">
        <f>Model!T71</f>
        <v>7.5814100846239221</v>
      </c>
      <c r="M71" s="6">
        <f>Model!U71</f>
        <v>7.7005650490653768</v>
      </c>
      <c r="N71" s="6">
        <f>Model!V71</f>
        <v>7.8202011450793272</v>
      </c>
      <c r="O71" s="6">
        <f>Model!W71</f>
        <v>7.9403130342966941</v>
      </c>
      <c r="P71" s="7">
        <f>Model!X71</f>
        <v>8.0608953458911277</v>
      </c>
      <c r="Q71" s="18">
        <f t="shared" si="2"/>
        <v>3500</v>
      </c>
      <c r="S71" s="19">
        <f t="shared" si="1"/>
        <v>0.47948526126720559</v>
      </c>
      <c r="T71" s="32"/>
      <c r="XFD71">
        <f>1</f>
        <v>1</v>
      </c>
    </row>
    <row r="72" spans="2:20 16384:16384" x14ac:dyDescent="0.25">
      <c r="B72" s="11">
        <f>Model!J72</f>
        <v>68.269230769230774</v>
      </c>
      <c r="C72" s="15">
        <f>Model!K72</f>
        <v>3550</v>
      </c>
      <c r="D72" s="5">
        <f>Model!L72</f>
        <v>6.6129440378662654</v>
      </c>
      <c r="E72" s="6">
        <f>Model!M72</f>
        <v>6.7265822074208295</v>
      </c>
      <c r="F72" s="6">
        <f>Model!N72</f>
        <v>6.8407326722012627</v>
      </c>
      <c r="G72" s="6">
        <f>Model!O72</f>
        <v>6.9553906311535556</v>
      </c>
      <c r="H72" s="6">
        <f>Model!P72</f>
        <v>7.0705512098927521</v>
      </c>
      <c r="I72" s="6">
        <f>Model!Q72</f>
        <v>7.1862094661546703</v>
      </c>
      <c r="J72" s="6">
        <f>Model!R72</f>
        <v>7.3023603951913101</v>
      </c>
      <c r="K72" s="6">
        <f>Model!S72</f>
        <v>7.418998935100082</v>
      </c>
      <c r="L72" s="6">
        <f>Model!T72</f>
        <v>7.5361199720766798</v>
      </c>
      <c r="M72" s="6">
        <f>Model!U72</f>
        <v>7.6537183455829521</v>
      </c>
      <c r="N72" s="6">
        <f>Model!V72</f>
        <v>7.7717888534209925</v>
      </c>
      <c r="O72" s="6">
        <f>Model!W72</f>
        <v>7.8903262567061345</v>
      </c>
      <c r="P72" s="7">
        <f>Model!X72</f>
        <v>8.0093252847314353</v>
      </c>
      <c r="Q72" s="18">
        <f t="shared" si="2"/>
        <v>3550</v>
      </c>
      <c r="S72" s="19">
        <f t="shared" si="1"/>
        <v>0.47320531265475552</v>
      </c>
      <c r="T72" s="32"/>
      <c r="XFD72">
        <f>0</f>
        <v>0</v>
      </c>
    </row>
    <row r="73" spans="2:20 16384:16384" x14ac:dyDescent="0.25">
      <c r="B73" s="11">
        <f>Model!J73</f>
        <v>69.230769230769226</v>
      </c>
      <c r="C73" s="15">
        <f>Model!K73</f>
        <v>3600</v>
      </c>
      <c r="D73" s="5">
        <f>Model!L73</f>
        <v>6.5806937444768607</v>
      </c>
      <c r="E73" s="6">
        <f>Model!M73</f>
        <v>6.6928923407861625</v>
      </c>
      <c r="F73" s="6">
        <f>Model!N73</f>
        <v>6.8055938063240289</v>
      </c>
      <c r="G73" s="6">
        <f>Model!O73</f>
        <v>6.9187934279281968</v>
      </c>
      <c r="H73" s="6">
        <f>Model!P73</f>
        <v>7.0324864204198168</v>
      </c>
      <c r="I73" s="6">
        <f>Model!Q73</f>
        <v>7.1466679319612343</v>
      </c>
      <c r="J73" s="6">
        <f>Model!R73</f>
        <v>7.2613330493585782</v>
      </c>
      <c r="K73" s="6">
        <f>Model!S73</f>
        <v>7.3764768032995827</v>
      </c>
      <c r="L73" s="6">
        <f>Model!T73</f>
        <v>7.4920941735164579</v>
      </c>
      <c r="M73" s="6">
        <f>Model!U73</f>
        <v>7.608180093865391</v>
      </c>
      <c r="N73" s="6">
        <f>Model!V73</f>
        <v>7.7247294573139795</v>
      </c>
      <c r="O73" s="6">
        <f>Model!W73</f>
        <v>7.8417371208293591</v>
      </c>
      <c r="P73" s="7">
        <f>Model!X73</f>
        <v>7.959197910159757</v>
      </c>
      <c r="Q73" s="18">
        <f t="shared" si="2"/>
        <v>3600</v>
      </c>
      <c r="S73" s="19">
        <f t="shared" si="1"/>
        <v>0.46710373664329907</v>
      </c>
      <c r="T73" s="32"/>
      <c r="XFD73">
        <f>1</f>
        <v>1</v>
      </c>
    </row>
    <row r="74" spans="2:20 16384:16384" x14ac:dyDescent="0.25">
      <c r="B74" s="11">
        <f>Model!J74</f>
        <v>70.192307692307693</v>
      </c>
      <c r="C74" s="15">
        <f>Model!K74</f>
        <v>3650</v>
      </c>
      <c r="D74" s="5">
        <f>Model!L74</f>
        <v>6.5493281368780405</v>
      </c>
      <c r="E74" s="6">
        <f>Model!M74</f>
        <v>6.6601269987239533</v>
      </c>
      <c r="F74" s="6">
        <f>Model!N74</f>
        <v>6.7714196210872224</v>
      </c>
      <c r="G74" s="6">
        <f>Model!O74</f>
        <v>6.8832013756187145</v>
      </c>
      <c r="H74" s="6">
        <f>Model!P74</f>
        <v>6.9954675632097736</v>
      </c>
      <c r="I74" s="6">
        <f>Model!Q74</f>
        <v>7.1082134192597159</v>
      </c>
      <c r="J74" s="6">
        <f>Model!R74</f>
        <v>7.2214341188893325</v>
      </c>
      <c r="K74" s="6">
        <f>Model!S74</f>
        <v>7.335124782090829</v>
      </c>
      <c r="L74" s="6">
        <f>Model!T74</f>
        <v>7.449280478804285</v>
      </c>
      <c r="M74" s="6">
        <f>Model!U74</f>
        <v>7.5638962339122546</v>
      </c>
      <c r="N74" s="6">
        <f>Model!V74</f>
        <v>7.6789670321439152</v>
      </c>
      <c r="O74" s="6">
        <f>Model!W74</f>
        <v>7.7944878228816918</v>
      </c>
      <c r="P74" s="7">
        <f>Model!X74</f>
        <v>7.9104535248631187</v>
      </c>
      <c r="Q74" s="18">
        <f t="shared" si="2"/>
        <v>3650</v>
      </c>
      <c r="S74" s="19">
        <f t="shared" si="1"/>
        <v>0.46117304605883369</v>
      </c>
      <c r="XFD74">
        <f>0</f>
        <v>0</v>
      </c>
    </row>
    <row r="75" spans="2:20 16384:16384" x14ac:dyDescent="0.25">
      <c r="B75" s="11">
        <f>Model!J75</f>
        <v>71.15384615384616</v>
      </c>
      <c r="C75" s="15">
        <f>Model!K75</f>
        <v>3700</v>
      </c>
      <c r="D75" s="5">
        <f>Model!L75</f>
        <v>6.5188113048430676</v>
      </c>
      <c r="E75" s="6">
        <f>Model!M75</f>
        <v>6.6282486400294456</v>
      </c>
      <c r="F75" s="6">
        <f>Model!N75</f>
        <v>6.7381709291055074</v>
      </c>
      <c r="G75" s="6">
        <f>Model!O75</f>
        <v>6.8485736256144616</v>
      </c>
      <c r="H75" s="6">
        <f>Model!P75</f>
        <v>6.9594521135435663</v>
      </c>
      <c r="I75" s="6">
        <f>Model!Q75</f>
        <v>7.070801712504851</v>
      </c>
      <c r="J75" s="6">
        <f>Model!R75</f>
        <v>7.1826176828629187</v>
      </c>
      <c r="K75" s="6">
        <f>Model!S75</f>
        <v>7.2948952308004262</v>
      </c>
      <c r="L75" s="6">
        <f>Model!T75</f>
        <v>7.4076295133114263</v>
      </c>
      <c r="M75" s="6">
        <f>Model!U75</f>
        <v>7.5208156431142985</v>
      </c>
      <c r="N75" s="6">
        <f>Model!V75</f>
        <v>7.6344486934758624</v>
      </c>
      <c r="O75" s="6">
        <f>Model!W75</f>
        <v>7.7485237029395684</v>
      </c>
      <c r="P75" s="7">
        <f>Model!X75</f>
        <v>7.8630356799507535</v>
      </c>
      <c r="Q75" s="18">
        <f t="shared" si="2"/>
        <v>3700</v>
      </c>
      <c r="S75" s="19">
        <f t="shared" si="1"/>
        <v>0.4554061666393272</v>
      </c>
      <c r="XFD75">
        <f>1</f>
        <v>1</v>
      </c>
    </row>
    <row r="76" spans="2:20 16384:16384" x14ac:dyDescent="0.25">
      <c r="B76" s="11">
        <f>Model!J76</f>
        <v>72.115384615384613</v>
      </c>
      <c r="C76" s="15">
        <f>Model!K76</f>
        <v>3750</v>
      </c>
      <c r="D76" s="5">
        <f>Model!L76</f>
        <v>6.4891092557003578</v>
      </c>
      <c r="E76" s="6">
        <f>Model!M76</f>
        <v>6.5972217288721229</v>
      </c>
      <c r="F76" s="6">
        <f>Model!N76</f>
        <v>6.7058106371194306</v>
      </c>
      <c r="G76" s="6">
        <f>Model!O76</f>
        <v>6.8148715131042854</v>
      </c>
      <c r="H76" s="6">
        <f>Model!P76</f>
        <v>6.9243998210863733</v>
      </c>
      <c r="I76" s="6">
        <f>Model!Q76</f>
        <v>7.0343909620202467</v>
      </c>
      <c r="J76" s="6">
        <f>Model!R76</f>
        <v>7.1448402786006646</v>
      </c>
      <c r="K76" s="6">
        <f>Model!S76</f>
        <v>7.2557430602467683</v>
      </c>
      <c r="L76" s="6">
        <f>Model!T76</f>
        <v>7.3670945480154231</v>
      </c>
      <c r="M76" s="6">
        <f>Model!U76</f>
        <v>7.4788899394355592</v>
      </c>
      <c r="N76" s="6">
        <f>Model!V76</f>
        <v>7.5911243932551953</v>
      </c>
      <c r="O76" s="6">
        <f>Model!W76</f>
        <v>7.7037930340941765</v>
      </c>
      <c r="P76" s="7">
        <f>Model!X76</f>
        <v>7.8168909569956533</v>
      </c>
      <c r="Q76" s="18">
        <f t="shared" si="2"/>
        <v>3750</v>
      </c>
      <c r="S76" s="19">
        <f t="shared" si="1"/>
        <v>0.44979640898023021</v>
      </c>
      <c r="XFD76">
        <f>0</f>
        <v>0</v>
      </c>
    </row>
    <row r="77" spans="2:20 16384:16384" x14ac:dyDescent="0.25">
      <c r="B77" s="11">
        <f>Model!J77</f>
        <v>73.07692307692308</v>
      </c>
      <c r="C77" s="15">
        <f>Model!K77</f>
        <v>3800</v>
      </c>
      <c r="D77" s="5">
        <f>Model!L77</f>
        <v>6.4601897880266383</v>
      </c>
      <c r="E77" s="6">
        <f>Model!M77</f>
        <v>6.5670126026574103</v>
      </c>
      <c r="F77" s="6">
        <f>Model!N77</f>
        <v>6.6743036079564728</v>
      </c>
      <c r="G77" s="6">
        <f>Model!O77</f>
        <v>6.7820584130686719</v>
      </c>
      <c r="H77" s="6">
        <f>Model!P77</f>
        <v>6.8902725598434165</v>
      </c>
      <c r="I77" s="6">
        <f>Model!Q77</f>
        <v>6.9989415278514242</v>
      </c>
      <c r="J77" s="6">
        <f>Model!R77</f>
        <v>7.1080607393506074</v>
      </c>
      <c r="K77" s="6">
        <f>Model!S77</f>
        <v>7.2176255641919393</v>
      </c>
      <c r="L77" s="6">
        <f>Model!T77</f>
        <v>7.3276313246556963</v>
      </c>
      <c r="M77" s="6">
        <f>Model!U77</f>
        <v>7.4380733002101023</v>
      </c>
      <c r="N77" s="6">
        <f>Model!V77</f>
        <v>7.548946732184076</v>
      </c>
      <c r="O77" s="6">
        <f>Model!W77</f>
        <v>7.6602468283472707</v>
      </c>
      <c r="P77" s="7">
        <f>Model!X77</f>
        <v>7.7719687673904616</v>
      </c>
      <c r="Q77" s="18">
        <f t="shared" si="2"/>
        <v>3800</v>
      </c>
      <c r="S77" s="19">
        <f t="shared" si="1"/>
        <v>0.44433744273476528</v>
      </c>
      <c r="XFD77">
        <f>1</f>
        <v>1</v>
      </c>
    </row>
    <row r="78" spans="2:20 16384:16384" x14ac:dyDescent="0.25">
      <c r="B78" s="11">
        <f>Model!J78</f>
        <v>74.038461538461533</v>
      </c>
      <c r="C78" s="15">
        <f>Model!K78</f>
        <v>3850</v>
      </c>
      <c r="D78" s="5">
        <f>Model!L78</f>
        <v>6.4320223751938892</v>
      </c>
      <c r="E78" s="6">
        <f>Model!M78</f>
        <v>6.5375893502006397</v>
      </c>
      <c r="F78" s="6">
        <f>Model!N78</f>
        <v>6.6436165332688972</v>
      </c>
      <c r="G78" s="6">
        <f>Model!O78</f>
        <v>6.750099607519056</v>
      </c>
      <c r="H78" s="6">
        <f>Model!P78</f>
        <v>6.857034189839176</v>
      </c>
      <c r="I78" s="6">
        <f>Model!Q78</f>
        <v>6.9644158358241866</v>
      </c>
      <c r="J78" s="6">
        <f>Model!R78</f>
        <v>7.0722400446651523</v>
      </c>
      <c r="K78" s="6">
        <f>Model!S78</f>
        <v>7.180502263979637</v>
      </c>
      <c r="L78" s="6">
        <f>Model!T78</f>
        <v>7.2891978945736229</v>
      </c>
      <c r="M78" s="6">
        <f>Model!U78</f>
        <v>7.3983222951271328</v>
      </c>
      <c r="N78" s="6">
        <f>Model!V78</f>
        <v>7.5078707867953689</v>
      </c>
      <c r="O78" s="6">
        <f>Model!W78</f>
        <v>7.6178386577186377</v>
      </c>
      <c r="P78" s="7">
        <f>Model!X78</f>
        <v>7.7282211674341896</v>
      </c>
      <c r="Q78" s="18">
        <f t="shared" si="2"/>
        <v>3850</v>
      </c>
      <c r="S78" s="19">
        <f t="shared" si="1"/>
        <v>0.43902327286056675</v>
      </c>
      <c r="XFD78">
        <f>0</f>
        <v>0</v>
      </c>
    </row>
    <row r="79" spans="2:20 16384:16384" x14ac:dyDescent="0.25">
      <c r="B79" s="11">
        <f>Model!J79</f>
        <v>75</v>
      </c>
      <c r="C79" s="15">
        <f>Model!K79</f>
        <v>3900</v>
      </c>
      <c r="D79" s="5">
        <f>Model!L79</f>
        <v>6.4045780578846863</v>
      </c>
      <c r="E79" s="6">
        <f>Model!M79</f>
        <v>6.50892169928645</v>
      </c>
      <c r="F79" s="6">
        <f>Model!N79</f>
        <v>6.6137178160794141</v>
      </c>
      <c r="G79" s="6">
        <f>Model!O79</f>
        <v>6.7189621629727041</v>
      </c>
      <c r="H79" s="6">
        <f>Model!P79</f>
        <v>6.8246504294651444</v>
      </c>
      <c r="I79" s="6">
        <f>Model!Q79</f>
        <v>6.9307782447096482</v>
      </c>
      <c r="J79" s="6">
        <f>Model!R79</f>
        <v>7.0373411823285581</v>
      </c>
      <c r="K79" s="6">
        <f>Model!S79</f>
        <v>7.144334765171144</v>
      </c>
      <c r="L79" s="6">
        <f>Model!T79</f>
        <v>7.2517544700037924</v>
      </c>
      <c r="M79" s="6">
        <f>Model!U79</f>
        <v>7.3595957321251699</v>
      </c>
      <c r="N79" s="6">
        <f>Model!V79</f>
        <v>7.4678539498982355</v>
      </c>
      <c r="O79" s="6">
        <f>Model!W79</f>
        <v>7.5765244891925008</v>
      </c>
      <c r="P79" s="7">
        <f>Model!X79</f>
        <v>7.6856026877297161</v>
      </c>
      <c r="Q79" s="18">
        <f t="shared" si="2"/>
        <v>3900</v>
      </c>
      <c r="S79" s="19">
        <f t="shared" si="1"/>
        <v>0.43384821772592375</v>
      </c>
      <c r="XFD79">
        <f>1</f>
        <v>1</v>
      </c>
    </row>
    <row r="80" spans="2:20 16384:16384" x14ac:dyDescent="0.25">
      <c r="B80" s="11">
        <f>Model!J80</f>
        <v>75.961538461538467</v>
      </c>
      <c r="C80" s="15">
        <f>Model!K80</f>
        <v>3950</v>
      </c>
      <c r="D80" s="5">
        <f>Model!L80</f>
        <v>6.3778293447803422</v>
      </c>
      <c r="E80" s="6">
        <f>Model!M80</f>
        <v>6.4809809127807281</v>
      </c>
      <c r="F80" s="6">
        <f>Model!N80</f>
        <v>6.5845774622640336</v>
      </c>
      <c r="G80" s="6">
        <f>Model!O80</f>
        <v>6.6886148172541855</v>
      </c>
      <c r="H80" s="6">
        <f>Model!P80</f>
        <v>6.7930887375482989</v>
      </c>
      <c r="I80" s="6">
        <f>Model!Q80</f>
        <v>6.8979949235087918</v>
      </c>
      <c r="J80" s="6">
        <f>Model!R80</f>
        <v>7.0033290208073655</v>
      </c>
      <c r="K80" s="6">
        <f>Model!S80</f>
        <v>7.1090866251121057</v>
      </c>
      <c r="L80" s="6">
        <f>Model!T80</f>
        <v>7.2152632867084083</v>
      </c>
      <c r="M80" s="6">
        <f>Model!U80</f>
        <v>7.3218545150460717</v>
      </c>
      <c r="N80" s="6">
        <f>Model!V80</f>
        <v>7.4288557832045683</v>
      </c>
      <c r="O80" s="6">
        <f>Model!W80</f>
        <v>7.5362625322699204</v>
      </c>
      <c r="P80" s="7">
        <f>Model!X80</f>
        <v>7.6440701756165019</v>
      </c>
      <c r="Q80" s="18">
        <f t="shared" si="2"/>
        <v>3950</v>
      </c>
      <c r="S80" s="19">
        <f t="shared" si="1"/>
        <v>0.4288068889080936</v>
      </c>
      <c r="XFD80">
        <f>0</f>
        <v>0</v>
      </c>
    </row>
    <row r="81" spans="2:19 16384:16384" x14ac:dyDescent="0.25">
      <c r="B81" s="11">
        <f>Model!J81</f>
        <v>76.92307692307692</v>
      </c>
      <c r="C81" s="15">
        <f>Model!K81</f>
        <v>4000</v>
      </c>
      <c r="D81" s="5">
        <f>Model!L81</f>
        <v>6.3517501207059839</v>
      </c>
      <c r="E81" s="6">
        <f>Model!M81</f>
        <v>6.4537396925457173</v>
      </c>
      <c r="F81" s="6">
        <f>Model!N81</f>
        <v>6.5561669801886602</v>
      </c>
      <c r="G81" s="6">
        <f>Model!O81</f>
        <v>6.6590278748055471</v>
      </c>
      <c r="H81" s="6">
        <f>Model!P81</f>
        <v>6.7623182042875296</v>
      </c>
      <c r="I81" s="6">
        <f>Model!Q81</f>
        <v>6.866033737968456</v>
      </c>
      <c r="J81" s="6">
        <f>Model!R81</f>
        <v>6.9701701912998768</v>
      </c>
      <c r="K81" s="6">
        <f>Model!S81</f>
        <v>7.0747232304701004</v>
      </c>
      <c r="L81" s="6">
        <f>Model!T81</f>
        <v>7.1796884769581801</v>
      </c>
      <c r="M81" s="6">
        <f>Model!U81</f>
        <v>7.2850615120152176</v>
      </c>
      <c r="N81" s="6">
        <f>Model!V81</f>
        <v>7.390837881065103</v>
      </c>
      <c r="O81" s="6">
        <f>Model!W81</f>
        <v>7.4970130980181917</v>
      </c>
      <c r="P81" s="7">
        <f>Model!X81</f>
        <v>7.603582649491357</v>
      </c>
      <c r="Q81" s="18">
        <f t="shared" si="2"/>
        <v>4000</v>
      </c>
      <c r="S81" s="19">
        <f t="shared" si="1"/>
        <v>0.42389417253317685</v>
      </c>
      <c r="XFD81">
        <f>1</f>
        <v>1</v>
      </c>
    </row>
    <row r="82" spans="2:19 16384:16384" x14ac:dyDescent="0.25">
      <c r="B82" s="11">
        <f>Model!J82</f>
        <v>77.884615384615387</v>
      </c>
      <c r="C82" s="15">
        <f>Model!K82</f>
        <v>4050</v>
      </c>
      <c r="D82" s="5">
        <f>Model!L82</f>
        <v>6.3263155615873075</v>
      </c>
      <c r="E82" s="6">
        <f>Model!M82</f>
        <v>6.4271720904828609</v>
      </c>
      <c r="F82" s="6">
        <f>Model!N82</f>
        <v>6.528459287793507</v>
      </c>
      <c r="G82" s="6">
        <f>Model!O82</f>
        <v>6.6301731097682772</v>
      </c>
      <c r="H82" s="6">
        <f>Model!P82</f>
        <v>6.7323094502897192</v>
      </c>
      <c r="I82" s="6">
        <f>Model!Q82</f>
        <v>6.8348641455286296</v>
      </c>
      <c r="J82" s="6">
        <f>Model!R82</f>
        <v>6.9378329785523434</v>
      </c>
      <c r="K82" s="6">
        <f>Model!S82</f>
        <v>7.0412116838780126</v>
      </c>
      <c r="L82" s="6">
        <f>Model!T82</f>
        <v>7.1449959519618131</v>
      </c>
      <c r="M82" s="6">
        <f>Model!U82</f>
        <v>7.2491814336166156</v>
      </c>
      <c r="N82" s="6">
        <f>Model!V82</f>
        <v>7.3537637443502959</v>
      </c>
      <c r="O82" s="6">
        <f>Model!W82</f>
        <v>7.4587384686183036</v>
      </c>
      <c r="P82" s="7">
        <f>Model!X82</f>
        <v>7.5641011639839526</v>
      </c>
      <c r="Q82" s="18">
        <f t="shared" si="2"/>
        <v>4050</v>
      </c>
      <c r="S82" s="19">
        <f t="shared" si="1"/>
        <v>0.41910521202213946</v>
      </c>
      <c r="XFD82">
        <f>0</f>
        <v>0</v>
      </c>
    </row>
    <row r="83" spans="2:19 16384:16384" x14ac:dyDescent="0.25">
      <c r="B83" s="11">
        <f>Model!J83</f>
        <v>78.84615384615384</v>
      </c>
      <c r="C83" s="15">
        <f>Model!K83</f>
        <v>4100</v>
      </c>
      <c r="D83" s="5">
        <f>Model!L83</f>
        <v>6.3015020556370231</v>
      </c>
      <c r="E83" s="6">
        <f>Model!M83</f>
        <v>6.4012534260941276</v>
      </c>
      <c r="F83" s="6">
        <f>Model!N83</f>
        <v>6.5014286264884218</v>
      </c>
      <c r="G83" s="6">
        <f>Model!O83</f>
        <v>6.6020236761722266</v>
      </c>
      <c r="H83" s="6">
        <f>Model!P83</f>
        <v>6.7030345330122909</v>
      </c>
      <c r="I83" s="6">
        <f>Model!Q83</f>
        <v>6.8044570979791965</v>
      </c>
      <c r="J83" s="6">
        <f>Model!R83</f>
        <v>6.9062872196910554</v>
      </c>
      <c r="K83" s="6">
        <f>Model!S83</f>
        <v>7.0085206989031033</v>
      </c>
      <c r="L83" s="6">
        <f>Model!T83</f>
        <v>7.1111532929342296</v>
      </c>
      <c r="M83" s="6">
        <f>Model!U83</f>
        <v>7.2141807200230446</v>
      </c>
      <c r="N83" s="6">
        <f>Model!V83</f>
        <v>7.3175986636057573</v>
      </c>
      <c r="O83" s="6">
        <f>Model!W83</f>
        <v>7.4214027765095825</v>
      </c>
      <c r="P83" s="7">
        <f>Model!X83</f>
        <v>7.5255886850551788</v>
      </c>
      <c r="Q83" s="18">
        <f t="shared" si="2"/>
        <v>4100</v>
      </c>
      <c r="S83" s="19">
        <f t="shared" si="1"/>
        <v>0.41443539212094915</v>
      </c>
      <c r="XFD83">
        <f>1</f>
        <v>1</v>
      </c>
    </row>
    <row r="84" spans="2:19 16384:16384" x14ac:dyDescent="0.25">
      <c r="B84" s="11">
        <f>Model!J84</f>
        <v>79.807692307692307</v>
      </c>
      <c r="C84" s="15">
        <f>Model!K84</f>
        <v>4150</v>
      </c>
      <c r="D84" s="5">
        <f>Model!L84</f>
        <v>6.2772871302448401</v>
      </c>
      <c r="E84" s="6">
        <f>Model!M84</f>
        <v>6.3759602100112467</v>
      </c>
      <c r="F84" s="6">
        <f>Model!N84</f>
        <v>6.4750504812836862</v>
      </c>
      <c r="G84" s="6">
        <f>Model!O84</f>
        <v>6.5745540246307286</v>
      </c>
      <c r="H84" s="6">
        <f>Model!P84</f>
        <v>6.6744668599859569</v>
      </c>
      <c r="I84" s="6">
        <f>Model!Q84</f>
        <v>6.7747849511740554</v>
      </c>
      <c r="J84" s="6">
        <f>Model!R84</f>
        <v>6.8755042103919859</v>
      </c>
      <c r="K84" s="6">
        <f>Model!S84</f>
        <v>6.9766205026368899</v>
      </c>
      <c r="L84" s="6">
        <f>Model!T84</f>
        <v>7.0781296500719133</v>
      </c>
      <c r="M84" s="6">
        <f>Model!U84</f>
        <v>7.1800274363225842</v>
      </c>
      <c r="N84" s="6">
        <f>Model!V84</f>
        <v>7.2823096106961769</v>
      </c>
      <c r="O84" s="6">
        <f>Model!W84</f>
        <v>7.3849718923177905</v>
      </c>
      <c r="P84" s="7">
        <f>Model!X84</f>
        <v>7.4880099741767499</v>
      </c>
      <c r="Q84" s="18">
        <f t="shared" si="2"/>
        <v>4150</v>
      </c>
      <c r="S84" s="19">
        <f t="shared" si="1"/>
        <v>0.40988032410483655</v>
      </c>
      <c r="XFD84">
        <f>0</f>
        <v>0</v>
      </c>
    </row>
    <row r="85" spans="2:19 16384:16384" x14ac:dyDescent="0.25">
      <c r="B85" s="11">
        <f>Model!J85</f>
        <v>80.769230769230774</v>
      </c>
      <c r="C85" s="15">
        <f>Model!K85</f>
        <v>4200</v>
      </c>
      <c r="D85" s="5">
        <f>Model!L85</f>
        <v>6.2536493840953611</v>
      </c>
      <c r="E85" s="6">
        <f>Model!M85</f>
        <v>6.3512700729948453</v>
      </c>
      <c r="F85" s="6">
        <f>Model!N85</f>
        <v>6.4493015066357557</v>
      </c>
      <c r="G85" s="6">
        <f>Model!O85</f>
        <v>6.5477398249987413</v>
      </c>
      <c r="H85" s="6">
        <f>Model!P85</f>
        <v>6.6465811082513575</v>
      </c>
      <c r="I85" s="6">
        <f>Model!Q85</f>
        <v>6.7458213812128403</v>
      </c>
      <c r="J85" s="6">
        <f>Model!R85</f>
        <v>6.8454566177746408</v>
      </c>
      <c r="K85" s="6">
        <f>Model!S85</f>
        <v>6.9454827452685972</v>
      </c>
      <c r="L85" s="6">
        <f>Model!T85</f>
        <v>7.0458956487738647</v>
      </c>
      <c r="M85" s="6">
        <f>Model!U85</f>
        <v>7.14669117535548</v>
      </c>
      <c r="N85" s="6">
        <f>Model!V85</f>
        <v>7.2478651382269899</v>
      </c>
      <c r="O85" s="6">
        <f>Model!W85</f>
        <v>7.349413320830954</v>
      </c>
      <c r="P85" s="7">
        <f>Model!X85</f>
        <v>7.4513314808310582</v>
      </c>
      <c r="Q85" s="18">
        <f t="shared" si="2"/>
        <v>4200</v>
      </c>
      <c r="S85" s="19">
        <f t="shared" si="1"/>
        <v>0.40543583205719358</v>
      </c>
      <c r="XFD85">
        <f>1</f>
        <v>1</v>
      </c>
    </row>
    <row r="86" spans="2:19 16384:16384" x14ac:dyDescent="0.25">
      <c r="B86" s="11">
        <f>Model!J86</f>
        <v>81.730769230769226</v>
      </c>
      <c r="C86" s="15">
        <f>Model!K86</f>
        <v>4250</v>
      </c>
      <c r="D86" s="5">
        <f>Model!L86</f>
        <v>6.2305684240827679</v>
      </c>
      <c r="E86" s="6">
        <f>Model!M86</f>
        <v>6.3271616999523737</v>
      </c>
      <c r="F86" s="6">
        <f>Model!N86</f>
        <v>6.4241594575364971</v>
      </c>
      <c r="G86" s="6">
        <f>Model!O86</f>
        <v>6.5215578945017647</v>
      </c>
      <c r="H86" s="6">
        <f>Model!P86</f>
        <v>6.6193531494965168</v>
      </c>
      <c r="I86" s="6">
        <f>Model!Q86</f>
        <v>6.7175413065560647</v>
      </c>
      <c r="J86" s="6">
        <f>Model!R86</f>
        <v>6.8161183994645054</v>
      </c>
      <c r="K86" s="6">
        <f>Model!S86</f>
        <v>6.9150804160648773</v>
      </c>
      <c r="L86" s="6">
        <f>Model!T86</f>
        <v>7.0144233025090408</v>
      </c>
      <c r="M86" s="6">
        <f>Model!U86</f>
        <v>7.114142967440138</v>
      </c>
      <c r="N86" s="6">
        <f>Model!V86</f>
        <v>7.214235286100199</v>
      </c>
      <c r="O86" s="6">
        <f>Model!W86</f>
        <v>7.3146961043567575</v>
      </c>
      <c r="P86" s="7">
        <f>Model!X86</f>
        <v>7.4155212426422636</v>
      </c>
      <c r="Q86" s="18">
        <f t="shared" si="2"/>
        <v>4250</v>
      </c>
      <c r="S86" s="19">
        <f t="shared" si="1"/>
        <v>0.40109794013322286</v>
      </c>
      <c r="XFD86">
        <f>0</f>
        <v>0</v>
      </c>
    </row>
    <row r="87" spans="2:19 16384:16384" x14ac:dyDescent="0.25">
      <c r="B87" s="11">
        <f>Model!J87</f>
        <v>82.692307692307693</v>
      </c>
      <c r="C87" s="15">
        <f>Model!K87</f>
        <v>4300</v>
      </c>
      <c r="D87" s="5">
        <f>Model!L87</f>
        <v>6.2080248066314851</v>
      </c>
      <c r="E87" s="6">
        <f>Model!M87</f>
        <v>6.3036147685657919</v>
      </c>
      <c r="F87" s="6">
        <f>Model!N87</f>
        <v>6.3996031254183894</v>
      </c>
      <c r="G87" s="6">
        <f>Model!O87</f>
        <v>6.4959861308894533</v>
      </c>
      <c r="H87" s="6">
        <f>Model!P87</f>
        <v>6.5927599804300083</v>
      </c>
      <c r="I87" s="6">
        <f>Model!Q87</f>
        <v>6.6899208155894705</v>
      </c>
      <c r="J87" s="6">
        <f>Model!R87</f>
        <v>6.7874647283204359</v>
      </c>
      <c r="K87" s="6">
        <f>Model!S87</f>
        <v>6.8853877652325846</v>
      </c>
      <c r="L87" s="6">
        <f>Model!T87</f>
        <v>6.9836859317871767</v>
      </c>
      <c r="M87" s="6">
        <f>Model!U87</f>
        <v>7.0823551964250715</v>
      </c>
      <c r="N87" s="6">
        <f>Model!V87</f>
        <v>7.1813914946209358</v>
      </c>
      <c r="O87" s="6">
        <f>Model!W87</f>
        <v>7.2807907328575494</v>
      </c>
      <c r="P87" s="7">
        <f>Model!X87</f>
        <v>7.3805487925141087</v>
      </c>
      <c r="Q87" s="18">
        <f t="shared" si="2"/>
        <v>4300</v>
      </c>
      <c r="S87" s="19">
        <f t="shared" si="1"/>
        <v>0.396862860726932</v>
      </c>
      <c r="XFD87">
        <f>1</f>
        <v>1</v>
      </c>
    </row>
    <row r="88" spans="2:19 16384:16384" x14ac:dyDescent="0.25">
      <c r="B88" s="11">
        <f>Model!J88</f>
        <v>83.65384615384616</v>
      </c>
      <c r="C88" s="15">
        <f>Model!K88</f>
        <v>4350</v>
      </c>
      <c r="D88" s="5">
        <f>Model!L88</f>
        <v>6.1859999830679619</v>
      </c>
      <c r="E88" s="6">
        <f>Model!M88</f>
        <v>6.2806098921575924</v>
      </c>
      <c r="F88" s="6">
        <f>Model!N88</f>
        <v>6.3756122784875533</v>
      </c>
      <c r="G88" s="6">
        <f>Model!O88</f>
        <v>6.4710034502087153</v>
      </c>
      <c r="H88" s="6">
        <f>Model!P88</f>
        <v>6.5667796579675723</v>
      </c>
      <c r="I88" s="6">
        <f>Model!Q88</f>
        <v>6.6629370991978192</v>
      </c>
      <c r="J88" s="6">
        <f>Model!R88</f>
        <v>6.7594719223697446</v>
      </c>
      <c r="K88" s="6">
        <f>Model!S88</f>
        <v>6.8563802311895339</v>
      </c>
      <c r="L88" s="6">
        <f>Model!T88</f>
        <v>6.9536580887399762</v>
      </c>
      <c r="M88" s="6">
        <f>Model!U88</f>
        <v>7.0513015215556329</v>
      </c>
      <c r="N88" s="6">
        <f>Model!V88</f>
        <v>7.1493065236251852</v>
      </c>
      <c r="O88" s="6">
        <f>Model!W88</f>
        <v>7.2476690603149567</v>
      </c>
      <c r="P88" s="7">
        <f>Model!X88</f>
        <v>7.3463850722075588</v>
      </c>
      <c r="Q88" s="18">
        <f t="shared" si="2"/>
        <v>4350</v>
      </c>
      <c r="S88" s="19">
        <f t="shared" si="1"/>
        <v>0.39272698346758261</v>
      </c>
      <c r="XFD88">
        <f>0</f>
        <v>0</v>
      </c>
    </row>
    <row r="89" spans="2:19 16384:16384" x14ac:dyDescent="0.25">
      <c r="B89" s="11">
        <f>Model!J89</f>
        <v>84.615384615384613</v>
      </c>
      <c r="C89" s="15">
        <f>Model!K89</f>
        <v>4400</v>
      </c>
      <c r="D89" s="5">
        <f>Model!L89</f>
        <v>6.1644762487209839</v>
      </c>
      <c r="E89" s="6">
        <f>Model!M89</f>
        <v>6.2581285664575388</v>
      </c>
      <c r="F89" s="6">
        <f>Model!N89</f>
        <v>6.3521676061318102</v>
      </c>
      <c r="G89" s="6">
        <f>Model!O89</f>
        <v>6.4465897288281653</v>
      </c>
      <c r="H89" s="6">
        <f>Model!P89</f>
        <v>6.5413912388483553</v>
      </c>
      <c r="I89" s="6">
        <f>Model!Q89</f>
        <v>6.6365683879486488</v>
      </c>
      <c r="J89" s="6">
        <f>Model!R89</f>
        <v>6.7321173795354596</v>
      </c>
      <c r="K89" s="6">
        <f>Model!S89</f>
        <v>6.8280343728115813</v>
      </c>
      <c r="L89" s="6">
        <f>Model!T89</f>
        <v>6.9243154868646624</v>
      </c>
      <c r="M89" s="6">
        <f>Model!U89</f>
        <v>7.0209568046910054</v>
      </c>
      <c r="N89" s="6">
        <f>Model!V89</f>
        <v>7.1179543771475391</v>
      </c>
      <c r="O89" s="6">
        <f>Model!W89</f>
        <v>7.215304226826003</v>
      </c>
      <c r="P89" s="7">
        <f>Model!X89</f>
        <v>7.3130023518433358</v>
      </c>
      <c r="Q89" s="18">
        <f t="shared" si="2"/>
        <v>4400</v>
      </c>
      <c r="S89" s="19">
        <f t="shared" si="1"/>
        <v>0.38868686497867344</v>
      </c>
      <c r="XFD89">
        <f>1</f>
        <v>1</v>
      </c>
    </row>
    <row r="90" spans="2:19 16384:16384" x14ac:dyDescent="0.25">
      <c r="B90" s="11">
        <f>Model!J90</f>
        <v>85.57692307692308</v>
      </c>
      <c r="C90" s="15">
        <f>Model!K90</f>
        <v>4450</v>
      </c>
      <c r="D90" s="5">
        <f>Model!L90</f>
        <v>6.1434366954569235</v>
      </c>
      <c r="E90" s="6">
        <f>Model!M90</f>
        <v>6.2361531199629967</v>
      </c>
      <c r="F90" s="6">
        <f>Model!N90</f>
        <v>6.329250667082694</v>
      </c>
      <c r="G90" s="6">
        <f>Model!O90</f>
        <v>6.4227257493788663</v>
      </c>
      <c r="H90" s="6">
        <f>Model!P90</f>
        <v>6.5165747233315816</v>
      </c>
      <c r="I90" s="6">
        <f>Model!Q90</f>
        <v>6.6107938935223869</v>
      </c>
      <c r="J90" s="6">
        <f>Model!R90</f>
        <v>6.7053795167776666</v>
      </c>
      <c r="K90" s="6">
        <f>Model!S90</f>
        <v>6.8003278062632919</v>
      </c>
      <c r="L90" s="6">
        <f>Model!T90</f>
        <v>6.8956349355223283</v>
      </c>
      <c r="M90" s="6">
        <f>Model!U90</f>
        <v>6.9912970424489087</v>
      </c>
      <c r="N90" s="6">
        <f>Model!V90</f>
        <v>7.0873102331912321</v>
      </c>
      <c r="O90" s="6">
        <f>Model!W90</f>
        <v>7.1836705859777688</v>
      </c>
      <c r="P90" s="7">
        <f>Model!X90</f>
        <v>7.2803741548607777</v>
      </c>
      <c r="Q90" s="18">
        <f t="shared" si="2"/>
        <v>4450</v>
      </c>
      <c r="S90" s="19">
        <f t="shared" si="1"/>
        <v>0.38473921933844935</v>
      </c>
      <c r="XFD90">
        <f>0</f>
        <v>0</v>
      </c>
    </row>
    <row r="91" spans="2:19 16384:16384" x14ac:dyDescent="0.25">
      <c r="B91" s="11">
        <f>Model!J91</f>
        <v>86.538461538461533</v>
      </c>
      <c r="C91" s="15">
        <f>Model!K91</f>
        <v>4500</v>
      </c>
      <c r="D91" s="5">
        <f>Model!L91</f>
        <v>6.1228651673825514</v>
      </c>
      <c r="E91" s="6">
        <f>Model!M91</f>
        <v>6.2146666676128799</v>
      </c>
      <c r="F91" s="6">
        <f>Model!N91</f>
        <v>6.3068438410390399</v>
      </c>
      <c r="G91" s="6">
        <f>Model!O91</f>
        <v>6.3993931503061487</v>
      </c>
      <c r="H91" s="6">
        <f>Model!P91</f>
        <v>6.4923110026555495</v>
      </c>
      <c r="I91" s="6">
        <f>Model!Q91</f>
        <v>6.5855937540576761</v>
      </c>
      <c r="J91" s="6">
        <f>Model!R91</f>
        <v>6.6792377133045822</v>
      </c>
      <c r="K91" s="6">
        <f>Model!S91</f>
        <v>6.7732391460544354</v>
      </c>
      <c r="L91" s="6">
        <f>Model!T91</f>
        <v>6.8675942788198281</v>
      </c>
      <c r="M91" s="6">
        <f>Model!U91</f>
        <v>6.9622993028931202</v>
      </c>
      <c r="N91" s="6">
        <f>Model!V91</f>
        <v>7.0573503782017912</v>
      </c>
      <c r="O91" s="6">
        <f>Model!W91</f>
        <v>7.1527436370879958</v>
      </c>
      <c r="P91" s="7">
        <f>Model!X91</f>
        <v>7.2484751880064593</v>
      </c>
      <c r="Q91" s="18">
        <f t="shared" si="2"/>
        <v>4500</v>
      </c>
      <c r="S91" s="19">
        <f t="shared" si="1"/>
        <v>0.3808809091866312</v>
      </c>
      <c r="XFD91">
        <f>1</f>
        <v>1</v>
      </c>
    </row>
    <row r="92" spans="2:19 16384:16384" x14ac:dyDescent="0.25">
      <c r="B92" s="11">
        <f>Model!J92</f>
        <v>87.5</v>
      </c>
      <c r="C92" s="15">
        <f>Model!K92</f>
        <v>4550</v>
      </c>
      <c r="D92" s="5">
        <f>Model!L92</f>
        <v>6.1027462194714746</v>
      </c>
      <c r="E92" s="6">
        <f>Model!M92</f>
        <v>6.1936530675200743</v>
      </c>
      <c r="F92" s="6">
        <f>Model!N92</f>
        <v>6.2849302834853784</v>
      </c>
      <c r="G92" s="6">
        <f>Model!O92</f>
        <v>6.3765743787542108</v>
      </c>
      <c r="H92" s="6">
        <f>Model!P92</f>
        <v>6.4685818099688683</v>
      </c>
      <c r="I92" s="6">
        <f>Model!Q92</f>
        <v>6.5609489831099328</v>
      </c>
      <c r="J92" s="6">
        <f>Model!R92</f>
        <v>6.6536722575393616</v>
      </c>
      <c r="K92" s="6">
        <f>Model!S92</f>
        <v>6.746747949996192</v>
      </c>
      <c r="L92" s="6">
        <f>Model!T92</f>
        <v>6.840172338536787</v>
      </c>
      <c r="M92" s="6">
        <f>Model!U92</f>
        <v>6.9339416664129452</v>
      </c>
      <c r="N92" s="6">
        <f>Model!V92</f>
        <v>7.0280521458808973</v>
      </c>
      <c r="O92" s="6">
        <f>Model!W92</f>
        <v>7.1224999619354756</v>
      </c>
      <c r="P92" s="7">
        <f>Model!X92</f>
        <v>7.2172812759636038</v>
      </c>
      <c r="Q92" s="18">
        <f t="shared" si="2"/>
        <v>4550</v>
      </c>
      <c r="S92" s="19">
        <f t="shared" si="1"/>
        <v>0.37710893742681684</v>
      </c>
      <c r="XFD92">
        <f>0</f>
        <v>0</v>
      </c>
    </row>
    <row r="93" spans="2:19 16384:16384" x14ac:dyDescent="0.25">
      <c r="B93" s="11">
        <f>Model!J93</f>
        <v>88.461538461538467</v>
      </c>
      <c r="C93" s="15">
        <f>Model!K93</f>
        <v>4600</v>
      </c>
      <c r="D93" s="5">
        <f>Model!L93</f>
        <v>6.083065078891515</v>
      </c>
      <c r="E93" s="6">
        <f>Model!M93</f>
        <v>6.1730968805293083</v>
      </c>
      <c r="F93" s="6">
        <f>Model!N93</f>
        <v>6.2634938834616865</v>
      </c>
      <c r="G93" s="6">
        <f>Model!O93</f>
        <v>6.3542526465294298</v>
      </c>
      <c r="H93" s="6">
        <f>Model!P93</f>
        <v>6.445369674469168</v>
      </c>
      <c r="I93" s="6">
        <f>Model!Q93</f>
        <v>6.5368414219475115</v>
      </c>
      <c r="J93" s="6">
        <f>Model!R93</f>
        <v>6.6286642975560026</v>
      </c>
      <c r="K93" s="6">
        <f>Model!S93</f>
        <v>6.7208346677593243</v>
      </c>
      <c r="L93" s="6">
        <f>Model!T93</f>
        <v>6.8133488607887642</v>
      </c>
      <c r="M93" s="6">
        <f>Model!U93</f>
        <v>6.906203170474349</v>
      </c>
      <c r="N93" s="6">
        <f>Model!V93</f>
        <v>6.9993938600087029</v>
      </c>
      <c r="O93" s="6">
        <f>Model!W93</f>
        <v>7.0929171656370187</v>
      </c>
      <c r="P93" s="7">
        <f>Model!X93</f>
        <v>7.1867693002673594</v>
      </c>
      <c r="Q93" s="18">
        <f t="shared" si="2"/>
        <v>4600</v>
      </c>
      <c r="S93" s="19">
        <f t="shared" si="1"/>
        <v>0.37342043947859516</v>
      </c>
      <c r="XFD93">
        <f>1</f>
        <v>1</v>
      </c>
    </row>
    <row r="94" spans="2:19 16384:16384" x14ac:dyDescent="0.25">
      <c r="B94" s="11">
        <f>Model!J94</f>
        <v>89.42307692307692</v>
      </c>
      <c r="C94" s="15">
        <f>Model!K94</f>
        <v>4650</v>
      </c>
      <c r="D94" s="5">
        <f>Model!L94</f>
        <v>6.06380760882959</v>
      </c>
      <c r="E94" s="6">
        <f>Model!M94</f>
        <v>6.152983332387489</v>
      </c>
      <c r="F94" s="6">
        <f>Model!N94</f>
        <v>6.2425192240620042</v>
      </c>
      <c r="G94" s="6">
        <f>Model!O94</f>
        <v>6.3324118889101726</v>
      </c>
      <c r="H94" s="6">
        <f>Model!P94</f>
        <v>6.422657878507275</v>
      </c>
      <c r="I94" s="6">
        <f>Model!Q94</f>
        <v>6.5132536949336011</v>
      </c>
      <c r="J94" s="6">
        <f>Model!R94</f>
        <v>6.6041957947224912</v>
      </c>
      <c r="K94" s="6">
        <f>Model!S94</f>
        <v>6.6954805927623156</v>
      </c>
      <c r="L94" s="6">
        <f>Model!T94</f>
        <v>6.7871044661443669</v>
      </c>
      <c r="M94" s="6">
        <f>Model!U94</f>
        <v>6.8790637579502132</v>
      </c>
      <c r="N94" s="6">
        <f>Model!V94</f>
        <v>6.9713547809715966</v>
      </c>
      <c r="O94" s="6">
        <f>Model!W94</f>
        <v>7.0639738213573766</v>
      </c>
      <c r="P94" s="7">
        <f>Model!X94</f>
        <v>7.1569171421817099</v>
      </c>
      <c r="Q94" s="18">
        <f t="shared" si="2"/>
        <v>4650</v>
      </c>
      <c r="S94" s="19">
        <f t="shared" si="1"/>
        <v>0.36981267603734302</v>
      </c>
      <c r="XFD94">
        <f>0</f>
        <v>0</v>
      </c>
    </row>
    <row r="95" spans="2:19 16384:16384" x14ac:dyDescent="0.25">
      <c r="B95" s="11">
        <f>Model!J95</f>
        <v>90.384615384615387</v>
      </c>
      <c r="C95" s="15">
        <f>Model!K95</f>
        <v>4700</v>
      </c>
      <c r="D95" s="5">
        <f>Model!L95</f>
        <v>6.0449602746278543</v>
      </c>
      <c r="E95" s="6">
        <f>Model!M95</f>
        <v>6.1332982783317664</v>
      </c>
      <c r="F95" s="6">
        <f>Model!N95</f>
        <v>6.2219915454583949</v>
      </c>
      <c r="G95" s="6">
        <f>Model!O95</f>
        <v>6.3110367260907987</v>
      </c>
      <c r="H95" s="6">
        <f>Model!P95</f>
        <v>6.4004304174355857</v>
      </c>
      <c r="I95" s="6">
        <f>Model!Q95</f>
        <v>6.490169167763459</v>
      </c>
      <c r="J95" s="6">
        <f>Model!R95</f>
        <v>6.5802494803116227</v>
      </c>
      <c r="K95" s="6">
        <f>Model!S95</f>
        <v>6.6706678171406697</v>
      </c>
      <c r="L95" s="6">
        <f>Model!T95</f>
        <v>6.7614206029381023</v>
      </c>
      <c r="M95" s="6">
        <f>Model!U95</f>
        <v>6.8525042287620295</v>
      </c>
      <c r="N95" s="6">
        <f>Model!V95</f>
        <v>6.9439150557182643</v>
      </c>
      <c r="O95" s="6">
        <f>Model!W95</f>
        <v>7.0356494185652902</v>
      </c>
      <c r="P95" s="7">
        <f>Model!X95</f>
        <v>7.1277036292414486</v>
      </c>
      <c r="Q95" s="18">
        <f t="shared" si="2"/>
        <v>4700</v>
      </c>
      <c r="S95" s="19">
        <f t="shared" si="1"/>
        <v>0.3662830263033463</v>
      </c>
      <c r="XFD95">
        <f>1</f>
        <v>1</v>
      </c>
    </row>
    <row r="96" spans="2:19 16384:16384" x14ac:dyDescent="0.25">
      <c r="B96" s="11">
        <f>Model!J96</f>
        <v>91.34615384615384</v>
      </c>
      <c r="C96" s="15">
        <f>Model!K96</f>
        <v>4750</v>
      </c>
      <c r="D96" s="5">
        <f>Model!L96</f>
        <v>6.0265101120606914</v>
      </c>
      <c r="E96" s="6">
        <f>Model!M96</f>
        <v>6.1140281699169563</v>
      </c>
      <c r="F96" s="6">
        <f>Model!N96</f>
        <v>6.2018967102638412</v>
      </c>
      <c r="G96" s="6">
        <f>Model!O96</f>
        <v>6.2901124270653375</v>
      </c>
      <c r="H96" s="6">
        <f>Model!P96</f>
        <v>6.3786719619979211</v>
      </c>
      <c r="I96" s="6">
        <f>Model!Q96</f>
        <v>6.4675719083460788</v>
      </c>
      <c r="J96" s="6">
        <f>Model!R96</f>
        <v>6.5568088148602204</v>
      </c>
      <c r="K96" s="6">
        <f>Model!S96</f>
        <v>6.6463791895696254</v>
      </c>
      <c r="L96" s="6">
        <f>Model!T96</f>
        <v>6.7362795035427041</v>
      </c>
      <c r="M96" s="6">
        <f>Model!U96</f>
        <v>6.8265061945881573</v>
      </c>
      <c r="N96" s="6">
        <f>Model!V96</f>
        <v>6.917055670890317</v>
      </c>
      <c r="O96" s="6">
        <f>Model!W96</f>
        <v>7.0079243145732324</v>
      </c>
      <c r="P96" s="7">
        <f>Model!X96</f>
        <v>7.0991084851878661</v>
      </c>
      <c r="Q96" s="18">
        <f t="shared" si="2"/>
        <v>4750</v>
      </c>
      <c r="S96" s="19">
        <f t="shared" si="1"/>
        <v>0.36282898164516197</v>
      </c>
      <c r="XFD96">
        <f>0</f>
        <v>0</v>
      </c>
    </row>
    <row r="97" spans="2:19 16384:16384" x14ac:dyDescent="0.25">
      <c r="B97" s="11">
        <f>Model!J97</f>
        <v>92.307692307692307</v>
      </c>
      <c r="C97" s="15">
        <f>Model!K97</f>
        <v>4800</v>
      </c>
      <c r="D97" s="5">
        <f>Model!L97</f>
        <v>6.0084446975962926</v>
      </c>
      <c r="E97" s="6">
        <f>Model!M97</f>
        <v>6.0951600239187638</v>
      </c>
      <c r="F97" s="6">
        <f>Model!N97</f>
        <v>6.1822211710633148</v>
      </c>
      <c r="G97" s="6">
        <f>Model!O97</f>
        <v>6.2696248757726369</v>
      </c>
      <c r="H97" s="6">
        <f>Model!P97</f>
        <v>6.3573678230752098</v>
      </c>
      <c r="I97" s="6">
        <f>Model!Q97</f>
        <v>6.4454466501369563</v>
      </c>
      <c r="J97" s="6">
        <f>Model!R97</f>
        <v>6.5338579500757437</v>
      </c>
      <c r="K97" s="6">
        <f>Model!S97</f>
        <v>6.6225982757315105</v>
      </c>
      <c r="L97" s="6">
        <f>Model!T97</f>
        <v>6.7116641433843292</v>
      </c>
      <c r="M97" s="6">
        <f>Model!U97</f>
        <v>6.801052036414065</v>
      </c>
      <c r="N97" s="6">
        <f>Model!V97</f>
        <v>6.8907584088950395</v>
      </c>
      <c r="O97" s="6">
        <f>Model!W97</f>
        <v>6.980779689120209</v>
      </c>
      <c r="P97" s="7">
        <f>Model!X97</f>
        <v>7.0711122830493789</v>
      </c>
      <c r="Q97" s="18">
        <f t="shared" si="2"/>
        <v>4800</v>
      </c>
      <c r="S97" s="19">
        <f t="shared" si="1"/>
        <v>0.35944813966504974</v>
      </c>
      <c r="XFD97">
        <f>1</f>
        <v>1</v>
      </c>
    </row>
    <row r="98" spans="2:19 16384:16384" x14ac:dyDescent="0.25">
      <c r="B98" s="11">
        <f>Model!J98</f>
        <v>93.269230769230774</v>
      </c>
      <c r="C98" s="15">
        <f>Model!K98</f>
        <v>4850</v>
      </c>
      <c r="D98" s="5">
        <f>Model!L98</f>
        <v>5.9907521204994651</v>
      </c>
      <c r="E98" s="6">
        <f>Model!M98</f>
        <v>6.076681393162918</v>
      </c>
      <c r="F98" s="6">
        <f>Model!N98</f>
        <v>6.162951939956292</v>
      </c>
      <c r="G98" s="6">
        <f>Model!O98</f>
        <v>6.2495605393394822</v>
      </c>
      <c r="H98" s="6">
        <f>Model!P98</f>
        <v>6.3365039186165735</v>
      </c>
      <c r="I98" s="6">
        <f>Model!Q98</f>
        <v>6.4237787577446435</v>
      </c>
      <c r="J98" s="6">
        <f>Model!R98</f>
        <v>6.5113816931059656</v>
      </c>
      <c r="K98" s="6">
        <f>Model!S98</f>
        <v>6.5993093212363405</v>
      </c>
      <c r="L98" s="6">
        <f>Model!T98</f>
        <v>6.687558202501986</v>
      </c>
      <c r="M98" s="6">
        <f>Model!U98</f>
        <v>6.7761248647187511</v>
      </c>
      <c r="N98" s="6">
        <f>Model!V98</f>
        <v>6.8650058067070274</v>
      </c>
      <c r="O98" s="6">
        <f>Model!W98</f>
        <v>6.9541975017770552</v>
      </c>
      <c r="P98" s="7">
        <f>Model!X98</f>
        <v>7.0436964011390746</v>
      </c>
      <c r="Q98" s="18">
        <f t="shared" si="2"/>
        <v>4850</v>
      </c>
      <c r="S98" s="19">
        <f t="shared" si="1"/>
        <v>0.35613819863708862</v>
      </c>
      <c r="XFD98">
        <f>0</f>
        <v>0</v>
      </c>
    </row>
    <row r="99" spans="2:19 16384:16384" x14ac:dyDescent="0.25">
      <c r="B99" s="11">
        <f>Model!J99</f>
        <v>94.230769230769226</v>
      </c>
      <c r="C99" s="15">
        <f>Model!K99</f>
        <v>4900</v>
      </c>
      <c r="D99" s="5">
        <f>Model!L99</f>
        <v>5.9734209566439791</v>
      </c>
      <c r="E99" s="6">
        <f>Model!M99</f>
        <v>6.0585803391424307</v>
      </c>
      <c r="F99" s="6">
        <f>Model!N99</f>
        <v>6.144076559966825</v>
      </c>
      <c r="G99" s="6">
        <f>Model!O99</f>
        <v>6.2299064382715912</v>
      </c>
      <c r="H99" s="6">
        <f>Model!P99</f>
        <v>6.316066742599399</v>
      </c>
      <c r="I99" s="6">
        <f>Model!Q99</f>
        <v>6.4025541946482747</v>
      </c>
      <c r="J99" s="6">
        <f>Model!R99</f>
        <v>6.4893654730024135</v>
      </c>
      <c r="K99" s="6">
        <f>Model!S99</f>
        <v>6.5764972168197868</v>
      </c>
      <c r="L99" s="6">
        <f>Model!T99</f>
        <v>6.663946029468848</v>
      </c>
      <c r="M99" s="6">
        <f>Model!U99</f>
        <v>6.7517084821082367</v>
      </c>
      <c r="N99" s="6">
        <f>Model!V99</f>
        <v>6.8397811172029597</v>
      </c>
      <c r="O99" s="6">
        <f>Model!W99</f>
        <v>6.9281604519716797</v>
      </c>
      <c r="P99" s="7">
        <f>Model!X99</f>
        <v>7.0168429817597673</v>
      </c>
      <c r="Q99" s="18">
        <f t="shared" si="2"/>
        <v>4900</v>
      </c>
      <c r="S99" s="19">
        <f t="shared" si="1"/>
        <v>0.35289695229091933</v>
      </c>
      <c r="XFD99">
        <f>1</f>
        <v>1</v>
      </c>
    </row>
    <row r="100" spans="2:19 16384:16384" x14ac:dyDescent="0.25">
      <c r="B100" s="11">
        <f>Model!J100</f>
        <v>95.192307692307693</v>
      </c>
      <c r="C100" s="15">
        <f>Model!K100</f>
        <v>4950</v>
      </c>
      <c r="D100" s="5">
        <f>Model!L100</f>
        <v>5.9564402439136064</v>
      </c>
      <c r="E100" s="6">
        <f>Model!M100</f>
        <v>6.0408454062963948</v>
      </c>
      <c r="F100" s="6">
        <f>Model!N100</f>
        <v>6.1255830781889449</v>
      </c>
      <c r="G100" s="6">
        <f>Model!O100</f>
        <v>6.2106501184544216</v>
      </c>
      <c r="H100" s="6">
        <f>Model!P100</f>
        <v>6.2960433358746526</v>
      </c>
      <c r="I100" s="6">
        <f>Model!Q100</f>
        <v>6.3817594928764372</v>
      </c>
      <c r="J100" s="6">
        <f>Model!R100</f>
        <v>6.4677953092220619</v>
      </c>
      <c r="K100" s="6">
        <f>Model!S100</f>
        <v>6.5541474656570831</v>
      </c>
      <c r="L100" s="6">
        <f>Model!T100</f>
        <v>6.6408126075078258</v>
      </c>
      <c r="M100" s="6">
        <f>Model!U100</f>
        <v>6.7277873482225328</v>
      </c>
      <c r="N100" s="6">
        <f>Model!V100</f>
        <v>6.8150682728496648</v>
      </c>
      <c r="O100" s="6">
        <f>Model!W100</f>
        <v>6.9026519414481591</v>
      </c>
      <c r="P100" s="7">
        <f>Model!X100</f>
        <v>6.9905348924242023</v>
      </c>
      <c r="Q100" s="18">
        <f t="shared" si="2"/>
        <v>4950</v>
      </c>
      <c r="S100" s="19">
        <f t="shared" si="1"/>
        <v>0.34972228491637658</v>
      </c>
      <c r="XFD100">
        <f>0</f>
        <v>0</v>
      </c>
    </row>
    <row r="101" spans="2:19 16384:16384" x14ac:dyDescent="0.25">
      <c r="B101" s="11">
        <f>Model!J101</f>
        <v>96.15384615384616</v>
      </c>
      <c r="C101" s="15">
        <f>Model!K101</f>
        <v>5000</v>
      </c>
      <c r="D101" s="5">
        <f>Model!L101</f>
        <v>5.9397994590803638</v>
      </c>
      <c r="E101" s="6">
        <f>Model!M101</f>
        <v>6.0234655978339049</v>
      </c>
      <c r="F101" s="6">
        <f>Model!N101</f>
        <v>6.1074600205456857</v>
      </c>
      <c r="G101" s="6">
        <f>Model!O101</f>
        <v>6.1917796248370047</v>
      </c>
      <c r="H101" s="6">
        <f>Model!P101</f>
        <v>6.276421258765124</v>
      </c>
      <c r="I101" s="6">
        <f>Model!Q101</f>
        <v>6.3613817245097444</v>
      </c>
      <c r="J101" s="6">
        <f>Model!R101</f>
        <v>6.4466577820241797</v>
      </c>
      <c r="K101" s="6">
        <f>Model!S101</f>
        <v>6.5322461526442153</v>
      </c>
      <c r="L101" s="6">
        <f>Model!T101</f>
        <v>6.6181435226473395</v>
      </c>
      <c r="M101" s="6">
        <f>Model!U101</f>
        <v>6.7043465467562218</v>
      </c>
      <c r="N101" s="6">
        <f>Model!V101</f>
        <v>6.7908518515800544</v>
      </c>
      <c r="O101" s="6">
        <f>Model!W101</f>
        <v>6.877656038988583</v>
      </c>
      <c r="P101" s="7">
        <f>Model!X101</f>
        <v>6.9647556894134874</v>
      </c>
      <c r="Q101" s="18">
        <f t="shared" si="2"/>
        <v>5000</v>
      </c>
      <c r="S101" s="19">
        <f t="shared" si="1"/>
        <v>0.34661216676614792</v>
      </c>
      <c r="XFD101">
        <f>1</f>
        <v>1</v>
      </c>
    </row>
    <row r="102" spans="2:19 16384:16384" x14ac:dyDescent="0.25">
      <c r="B102" s="11">
        <f>Model!J102</f>
        <v>97.115384615384613</v>
      </c>
      <c r="C102" s="15">
        <f>Model!K102</f>
        <v>5050</v>
      </c>
      <c r="D102" s="5">
        <f>Model!L102</f>
        <v>5.9234884960576144</v>
      </c>
      <c r="E102" s="6">
        <f>Model!M102</f>
        <v>6.0064303529958698</v>
      </c>
      <c r="F102" s="6">
        <f>Model!N102</f>
        <v>6.0896963680498235</v>
      </c>
      <c r="G102" s="6">
        <f>Model!O102</f>
        <v>6.1732834766818367</v>
      </c>
      <c r="H102" s="6">
        <f>Model!P102</f>
        <v>6.2571885652949417</v>
      </c>
      <c r="I102" s="6">
        <f>Model!Q102</f>
        <v>6.3414084748804527</v>
      </c>
      <c r="J102" s="6">
        <f>Model!R102</f>
        <v>6.425940004630645</v>
      </c>
      <c r="K102" s="6">
        <f>Model!S102</f>
        <v>6.5107799155096604</v>
      </c>
      <c r="L102" s="6">
        <f>Model!T102</f>
        <v>6.5959249337753043</v>
      </c>
      <c r="M102" s="6">
        <f>Model!U102</f>
        <v>6.6813717544457294</v>
      </c>
      <c r="N102" s="6">
        <f>Model!V102</f>
        <v>6.7671170447046647</v>
      </c>
      <c r="O102" s="6">
        <f>Model!W102</f>
        <v>6.8531574472400729</v>
      </c>
      <c r="P102" s="7">
        <f>Model!X102</f>
        <v>6.9394895835109178</v>
      </c>
      <c r="Q102" s="18">
        <f t="shared" si="2"/>
        <v>5050</v>
      </c>
      <c r="S102" s="19">
        <f t="shared" si="1"/>
        <v>0.34356464973561351</v>
      </c>
      <c r="XFD102">
        <f>0</f>
        <v>0</v>
      </c>
    </row>
    <row r="103" spans="2:19 16384:16384" x14ac:dyDescent="0.25">
      <c r="B103" s="11">
        <f>Model!J103</f>
        <v>98.07692307692308</v>
      </c>
      <c r="C103" s="15">
        <f>Model!K103</f>
        <v>5100</v>
      </c>
      <c r="D103" s="5">
        <f>Model!L103</f>
        <v>5.907497645433553</v>
      </c>
      <c r="E103" s="6">
        <f>Model!M103</f>
        <v>5.9897295256559051</v>
      </c>
      <c r="F103" s="6">
        <f>Model!N103</f>
        <v>6.0722815344630314</v>
      </c>
      <c r="G103" s="6">
        <f>Model!O103</f>
        <v>6.1551506442732267</v>
      </c>
      <c r="H103" s="6">
        <f>Model!P103</f>
        <v>6.238333778938129</v>
      </c>
      <c r="I103" s="6">
        <f>Model!Q103</f>
        <v>6.3218278173523093</v>
      </c>
      <c r="J103" s="6">
        <f>Model!R103</f>
        <v>6.4056295970283603</v>
      </c>
      <c r="K103" s="6">
        <f>Model!S103</f>
        <v>6.4897359176306866</v>
      </c>
      <c r="L103" s="6">
        <f>Model!T103</f>
        <v>6.574143544460739</v>
      </c>
      <c r="M103" s="6">
        <f>Model!U103</f>
        <v>6.6588492118877252</v>
      </c>
      <c r="N103" s="6">
        <f>Model!V103</f>
        <v>6.7438496267185624</v>
      </c>
      <c r="O103" s="6">
        <f>Model!W103</f>
        <v>6.8291414715019298</v>
      </c>
      <c r="P103" s="7">
        <f>Model!X103</f>
        <v>6.9147214077612293</v>
      </c>
      <c r="Q103" s="18">
        <f t="shared" si="2"/>
        <v>5100</v>
      </c>
      <c r="S103" s="19">
        <f t="shared" si="1"/>
        <v>0.34057786330049034</v>
      </c>
      <c r="XFD103">
        <f>1</f>
        <v>1</v>
      </c>
    </row>
    <row r="104" spans="2:19 16384:16384" x14ac:dyDescent="0.25">
      <c r="B104" s="11">
        <f>Model!J104</f>
        <v>99.038461538461533</v>
      </c>
      <c r="C104" s="15">
        <f>Model!K104</f>
        <v>5150</v>
      </c>
      <c r="D104" s="5">
        <f>Model!L104</f>
        <v>5.8918175751979476</v>
      </c>
      <c r="E104" s="6">
        <f>Model!M104</f>
        <v>5.9733533641692462</v>
      </c>
      <c r="F104" s="6">
        <f>Model!N104</f>
        <v>6.0552053452583205</v>
      </c>
      <c r="G104" s="6">
        <f>Model!O104</f>
        <v>6.1373705269848111</v>
      </c>
      <c r="H104" s="6">
        <f>Model!P104</f>
        <v>6.2198458697827608</v>
      </c>
      <c r="I104" s="6">
        <f>Model!Q104</f>
        <v>6.3026282895730787</v>
      </c>
      <c r="J104" s="6">
        <f>Model!R104</f>
        <v>6.3857146613018756</v>
      </c>
      <c r="K104" s="6">
        <f>Model!S104</f>
        <v>6.4691018224379686</v>
      </c>
      <c r="L104" s="6">
        <f>Model!T104</f>
        <v>6.5527865764223598</v>
      </c>
      <c r="M104" s="6">
        <f>Model!U104</f>
        <v>6.636765696063808</v>
      </c>
      <c r="N104" s="6">
        <f>Model!V104</f>
        <v>6.7210359268742446</v>
      </c>
      <c r="O104" s="6">
        <f>Model!W104</f>
        <v>6.8055939903390437</v>
      </c>
      <c r="P104" s="7">
        <f>Model!X104</f>
        <v>6.8904365871169055</v>
      </c>
      <c r="Q104" s="18">
        <f t="shared" si="2"/>
        <v>5150</v>
      </c>
      <c r="S104" s="19">
        <f t="shared" si="1"/>
        <v>0.3376500106945457</v>
      </c>
      <c r="XFD104">
        <f>0</f>
        <v>0</v>
      </c>
    </row>
    <row r="105" spans="2:19 16384:16384" x14ac:dyDescent="0.25">
      <c r="B105" s="11">
        <f>Model!J105</f>
        <v>100</v>
      </c>
      <c r="C105" s="15">
        <f>Model!K105</f>
        <v>5200</v>
      </c>
      <c r="D105" s="5">
        <f>Model!L105</f>
        <v>5.8764393125818168</v>
      </c>
      <c r="E105" s="6">
        <f>Model!M105</f>
        <v>5.9572924923855242</v>
      </c>
      <c r="F105" s="6">
        <f>Model!N105</f>
        <v>6.038458017797943</v>
      </c>
      <c r="G105" s="6">
        <f>Model!O105</f>
        <v>6.1199329326145691</v>
      </c>
      <c r="H105" s="6">
        <f>Model!P105</f>
        <v>6.2017142330152453</v>
      </c>
      <c r="I105" s="6">
        <f>Model!Q105</f>
        <v>6.2837988711003003</v>
      </c>
      <c r="J105" s="6">
        <f>Model!R105</f>
        <v>6.3661837583929533</v>
      </c>
      <c r="K105" s="6">
        <f>Model!S105</f>
        <v>6.4488657693013351</v>
      </c>
      <c r="L105" s="6">
        <f>Model!T105</f>
        <v>6.5318417445330077</v>
      </c>
      <c r="M105" s="6">
        <f>Model!U105</f>
        <v>6.6151084944561465</v>
      </c>
      <c r="N105" s="6">
        <f>Model!V105</f>
        <v>6.698662802401218</v>
      </c>
      <c r="O105" s="6">
        <f>Model!W105</f>
        <v>6.7825014278981763</v>
      </c>
      <c r="P105" s="7">
        <f>Model!X105</f>
        <v>6.8666211098440115</v>
      </c>
      <c r="Q105" s="18">
        <f t="shared" si="2"/>
        <v>5200</v>
      </c>
      <c r="S105" s="19">
        <f t="shared" si="1"/>
        <v>0.33477936531100383</v>
      </c>
      <c r="XFD105">
        <f>1</f>
        <v>1</v>
      </c>
    </row>
    <row r="106" spans="2:19 16384:16384" x14ac:dyDescent="0.25">
      <c r="B106" s="11">
        <f>Model!J106</f>
        <v>100.96153846153847</v>
      </c>
      <c r="C106" s="15">
        <f>Model!K106</f>
        <v>5250</v>
      </c>
      <c r="D106" s="5">
        <f>Model!L106</f>
        <v>5.8613542269357115</v>
      </c>
      <c r="E106" s="6">
        <f>Model!M106</f>
        <v>5.941537891747779</v>
      </c>
      <c r="F106" s="6">
        <f>Model!N106</f>
        <v>6.022030142645554</v>
      </c>
      <c r="G106" s="6">
        <f>Model!O106</f>
        <v>6.1028280579027214</v>
      </c>
      <c r="H106" s="6">
        <f>Model!P106</f>
        <v>6.1839286686365664</v>
      </c>
      <c r="I106" s="6">
        <f>Model!Q106</f>
        <v>6.2653289623085788</v>
      </c>
      <c r="J106" s="6">
        <f>Model!R106</f>
        <v>6.3470258861916911</v>
      </c>
      <c r="K106" s="6">
        <f>Model!S106</f>
        <v>6.4290163507976104</v>
      </c>
      <c r="L106" s="6">
        <f>Model!T106</f>
        <v>6.5112972332571388</v>
      </c>
      <c r="M106" s="6">
        <f>Model!U106</f>
        <v>6.5938653806477081</v>
      </c>
      <c r="N106" s="6">
        <f>Model!V106</f>
        <v>6.6767176132620563</v>
      </c>
      <c r="O106" s="6">
        <f>Model!W106</f>
        <v>6.7598507278130597</v>
      </c>
      <c r="P106" s="7">
        <f>Model!X106</f>
        <v>6.8432615005696604</v>
      </c>
      <c r="Q106" s="18">
        <f t="shared" si="2"/>
        <v>5250</v>
      </c>
      <c r="S106" s="19">
        <f t="shared" ref="S106:S128" si="3">P106-L106</f>
        <v>0.3319642673125216</v>
      </c>
      <c r="XFD106">
        <f>0</f>
        <v>0</v>
      </c>
    </row>
    <row r="107" spans="2:19 16384:16384" x14ac:dyDescent="0.25">
      <c r="B107" s="11">
        <f>Model!J107</f>
        <v>101.92307692307692</v>
      </c>
      <c r="C107" s="15">
        <f>Model!K107</f>
        <v>5300</v>
      </c>
      <c r="D107" s="5">
        <f>Model!L107</f>
        <v>5.8465540135780216</v>
      </c>
      <c r="E107" s="6">
        <f>Model!M107</f>
        <v>5.9260808844058523</v>
      </c>
      <c r="F107" s="6">
        <f>Model!N107</f>
        <v>6.0059126659376556</v>
      </c>
      <c r="G107" s="6">
        <f>Model!O107</f>
        <v>6.0860464701542405</v>
      </c>
      <c r="H107" s="6">
        <f>Model!P107</f>
        <v>6.1664793623289578</v>
      </c>
      <c r="I107" s="6">
        <f>Model!Q107</f>
        <v>6.2472083644935577</v>
      </c>
      <c r="J107" s="6">
        <f>Model!R107</f>
        <v>6.3282304588710341</v>
      </c>
      <c r="K107" s="6">
        <f>Model!S107</f>
        <v>6.4095425912689752</v>
      </c>
      <c r="L107" s="6">
        <f>Model!T107</f>
        <v>6.4911416744264478</v>
      </c>
      <c r="M107" s="6">
        <f>Model!U107</f>
        <v>6.573024591308597</v>
      </c>
      <c r="N107" s="6">
        <f>Model!V107</f>
        <v>6.655188198343021</v>
      </c>
      <c r="O107" s="6">
        <f>Model!W107</f>
        <v>6.7376293285929529</v>
      </c>
      <c r="P107" s="7">
        <f>Model!X107</f>
        <v>6.8203447948622227</v>
      </c>
      <c r="Q107" s="18">
        <f t="shared" si="2"/>
        <v>5300</v>
      </c>
      <c r="S107" s="19">
        <f t="shared" si="3"/>
        <v>0.32920312043577482</v>
      </c>
      <c r="XFD107">
        <f>1</f>
        <v>1</v>
      </c>
    </row>
    <row r="108" spans="2:19 16384:16384" x14ac:dyDescent="0.25">
      <c r="B108" s="11">
        <f>Model!J108</f>
        <v>102.88461538461539</v>
      </c>
      <c r="C108" s="15">
        <f>Model!K108</f>
        <v>5350</v>
      </c>
      <c r="D108" s="5">
        <f>Model!L108</f>
        <v>5.8320306785497316</v>
      </c>
      <c r="E108" s="6">
        <f>Model!M108</f>
        <v>5.9109131172777705</v>
      </c>
      <c r="F108" s="6">
        <f>Model!N108</f>
        <v>5.9900968727449726</v>
      </c>
      <c r="G108" s="6">
        <f>Model!O108</f>
        <v>6.0695790898936144</v>
      </c>
      <c r="H108" s="6">
        <f>Model!P108</f>
        <v>6.1493568673975698</v>
      </c>
      <c r="I108" s="6">
        <f>Model!Q108</f>
        <v>6.2294272610941173</v>
      </c>
      <c r="J108" s="6">
        <f>Model!R108</f>
        <v>6.3097872873831378</v>
      </c>
      <c r="K108" s="6">
        <f>Model!S108</f>
        <v>6.3904339265872263</v>
      </c>
      <c r="L108" s="6">
        <f>Model!T108</f>
        <v>6.4713641262658133</v>
      </c>
      <c r="M108" s="6">
        <f>Model!U108</f>
        <v>6.5525748044775609</v>
      </c>
      <c r="N108" s="6">
        <f>Model!V108</f>
        <v>6.6340628529850925</v>
      </c>
      <c r="O108" s="6">
        <f>Model!W108</f>
        <v>6.7158251403972038</v>
      </c>
      <c r="P108" s="7">
        <f>Model!X108</f>
        <v>6.7978585152435249</v>
      </c>
      <c r="Q108" s="18">
        <f t="shared" si="2"/>
        <v>5350</v>
      </c>
      <c r="S108" s="19">
        <f t="shared" si="3"/>
        <v>0.32649438897771166</v>
      </c>
      <c r="XFD108">
        <f>0</f>
        <v>0</v>
      </c>
    </row>
    <row r="109" spans="2:19 16384:16384" x14ac:dyDescent="0.25">
      <c r="B109" s="11">
        <f>Model!J109</f>
        <v>103.84615384615384</v>
      </c>
      <c r="C109" s="15">
        <f>Model!K109</f>
        <v>5400</v>
      </c>
      <c r="D109" s="5">
        <f>Model!L109</f>
        <v>5.8177765242168711</v>
      </c>
      <c r="E109" s="6">
        <f>Model!M109</f>
        <v>5.8960265469975477</v>
      </c>
      <c r="F109" s="6">
        <f>Model!N109</f>
        <v>5.9745743713593873</v>
      </c>
      <c r="G109" s="6">
        <f>Model!O109</f>
        <v>6.0534171744848244</v>
      </c>
      <c r="H109" s="6">
        <f>Model!P109</f>
        <v>6.1325520877173734</v>
      </c>
      <c r="I109" s="6">
        <f>Model!Q109</f>
        <v>6.2119761999601399</v>
      </c>
      <c r="J109" s="6">
        <f>Model!R109</f>
        <v>6.2916865610420611</v>
      </c>
      <c r="K109" s="6">
        <f>Model!S109</f>
        <v>6.371680185045494</v>
      </c>
      <c r="L109" s="6">
        <f>Model!T109</f>
        <v>6.4519540535882332</v>
      </c>
      <c r="M109" s="6">
        <f>Model!U109</f>
        <v>6.5325051190543864</v>
      </c>
      <c r="N109" s="6">
        <f>Model!V109</f>
        <v>6.6133303077681358</v>
      </c>
      <c r="O109" s="6">
        <f>Model!W109</f>
        <v>6.6944265231056095</v>
      </c>
      <c r="P109" s="7">
        <f>Model!X109</f>
        <v>6.7757906485398518</v>
      </c>
      <c r="Q109" s="18">
        <f t="shared" si="2"/>
        <v>5400</v>
      </c>
      <c r="S109" s="19">
        <f t="shared" si="3"/>
        <v>0.32383659495161865</v>
      </c>
      <c r="XFD109">
        <f>1</f>
        <v>1</v>
      </c>
    </row>
    <row r="110" spans="2:19 16384:16384" x14ac:dyDescent="0.25">
      <c r="B110" s="11">
        <f>Model!J110</f>
        <v>104.80769230769231</v>
      </c>
      <c r="C110" s="15">
        <f>Model!K110</f>
        <v>5450</v>
      </c>
      <c r="D110" s="5">
        <f>Model!L110</f>
        <v>5.8037841356661763</v>
      </c>
      <c r="E110" s="6">
        <f>Model!M110</f>
        <v>5.881413425692493</v>
      </c>
      <c r="F110" s="6">
        <f>Model!N110</f>
        <v>5.9593370784470849</v>
      </c>
      <c r="G110" s="6">
        <f>Model!O110</f>
        <v>6.0375523026544773</v>
      </c>
      <c r="H110" s="6">
        <f>Model!P110</f>
        <v>6.116056261620578</v>
      </c>
      <c r="I110" s="6">
        <f>Model!Q110</f>
        <v>6.1948460765985711</v>
      </c>
      <c r="J110" s="6">
        <f>Model!R110</f>
        <v>6.2739188301228754</v>
      </c>
      <c r="K110" s="6">
        <f>Model!S110</f>
        <v>6.3532715693048587</v>
      </c>
      <c r="L110" s="6">
        <f>Model!T110</f>
        <v>6.4329013090834621</v>
      </c>
      <c r="M110" s="6">
        <f>Model!U110</f>
        <v>6.5128050354251776</v>
      </c>
      <c r="N110" s="6">
        <f>Model!V110</f>
        <v>6.5929797084674817</v>
      </c>
      <c r="O110" s="6">
        <f>Model!W110</f>
        <v>6.673422265600979</v>
      </c>
      <c r="P110" s="7">
        <f>Model!X110</f>
        <v>6.7541296244853335</v>
      </c>
      <c r="Q110" s="18">
        <f t="shared" si="2"/>
        <v>5450</v>
      </c>
      <c r="S110" s="19">
        <f t="shared" si="3"/>
        <v>0.32122831540187136</v>
      </c>
      <c r="XFD110">
        <f>0</f>
        <v>0</v>
      </c>
    </row>
    <row r="111" spans="2:19 16384:16384" x14ac:dyDescent="0.25">
      <c r="B111" s="11">
        <f>Model!J111</f>
        <v>105.76923076923077</v>
      </c>
      <c r="C111" s="15">
        <f>Model!K111</f>
        <v>5500</v>
      </c>
      <c r="D111" s="5">
        <f>Model!L111</f>
        <v>5.7900463678433667</v>
      </c>
      <c r="E111" s="6">
        <f>Model!M111</f>
        <v>5.8670662875371207</v>
      </c>
      <c r="F111" s="6">
        <f>Model!N111</f>
        <v>5.9443772050125325</v>
      </c>
      <c r="G111" s="6">
        <f>Model!O111</f>
        <v>6.0219763598604699</v>
      </c>
      <c r="H111" s="6">
        <f>Model!P111</f>
        <v>6.0998609466646112</v>
      </c>
      <c r="I111" s="6">
        <f>Model!Q111</f>
        <v>6.1780281183353818</v>
      </c>
      <c r="J111" s="6">
        <f>Model!R111</f>
        <v>6.2564749894123022</v>
      </c>
      <c r="K111" s="6">
        <f>Model!S111</f>
        <v>6.3351986393284969</v>
      </c>
      <c r="L111" s="6">
        <f>Model!T111</f>
        <v>6.4141961156305323</v>
      </c>
      <c r="M111" s="6">
        <f>Model!U111</f>
        <v>6.4934644371481429</v>
      </c>
      <c r="N111" s="6">
        <f>Model!V111</f>
        <v>6.5730005971079484</v>
      </c>
      <c r="O111" s="6">
        <f>Model!W111</f>
        <v>6.6528015661864925</v>
      </c>
      <c r="P111" s="7">
        <f>Model!X111</f>
        <v>6.7328642954976985</v>
      </c>
      <c r="Q111" s="18">
        <f t="shared" si="2"/>
        <v>5500</v>
      </c>
      <c r="S111" s="19">
        <f t="shared" si="3"/>
        <v>0.31866817986716622</v>
      </c>
      <c r="XFD111">
        <f>1</f>
        <v>1</v>
      </c>
    </row>
    <row r="112" spans="2:19 16384:16384" x14ac:dyDescent="0.25">
      <c r="B112" s="11">
        <f>Model!J112</f>
        <v>106.73076923076923</v>
      </c>
      <c r="C112" s="15">
        <f>Model!K112</f>
        <v>5550</v>
      </c>
      <c r="D112" s="5">
        <f>Model!L112</f>
        <v>5.7765563333873065</v>
      </c>
      <c r="E112" s="6">
        <f>Model!M112</f>
        <v>5.8529779360346588</v>
      </c>
      <c r="F112" s="6">
        <f>Model!N112</f>
        <v>5.9296872431222383</v>
      </c>
      <c r="G112" s="6">
        <f>Model!O112</f>
        <v>6.0066815244528655</v>
      </c>
      <c r="H112" s="6">
        <f>Model!P112</f>
        <v>6.0839580052250231</v>
      </c>
      <c r="I112" s="6">
        <f>Model!Q112</f>
        <v>6.1615138693355025</v>
      </c>
      <c r="J112" s="6">
        <f>Model!R112</f>
        <v>6.239346262650785</v>
      </c>
      <c r="K112" s="6">
        <f>Model!S112</f>
        <v>6.3174522962409494</v>
      </c>
      <c r="L112" s="6">
        <f>Model!T112</f>
        <v>6.3958290495693717</v>
      </c>
      <c r="M112" s="6">
        <f>Model!U112</f>
        <v>6.4744735736327943</v>
      </c>
      <c r="N112" s="6">
        <f>Model!V112</f>
        <v>6.5533828940459244</v>
      </c>
      <c r="O112" s="6">
        <f>Model!W112</f>
        <v>6.6325540140659625</v>
      </c>
      <c r="P112" s="7">
        <f>Model!X112</f>
        <v>6.7119839175521303</v>
      </c>
      <c r="Q112" s="18">
        <f t="shared" si="2"/>
        <v>5550</v>
      </c>
      <c r="S112" s="19">
        <f t="shared" si="3"/>
        <v>0.3161548679827586</v>
      </c>
      <c r="XFD112">
        <f>0</f>
        <v>0</v>
      </c>
    </row>
    <row r="113" spans="2:19 16384:16384" x14ac:dyDescent="0.25">
      <c r="B113" s="11">
        <f>Model!J113</f>
        <v>107.69230769230769</v>
      </c>
      <c r="C113" s="15">
        <f>Model!K113</f>
        <v>5600</v>
      </c>
      <c r="D113" s="5">
        <f>Model!L113</f>
        <v>5.7633073911163564</v>
      </c>
      <c r="E113" s="6">
        <f>Model!M113</f>
        <v>5.8391414319806092</v>
      </c>
      <c r="F113" s="6">
        <f>Model!N113</f>
        <v>5.915259953340648</v>
      </c>
      <c r="G113" s="6">
        <f>Model!O113</f>
        <v>5.9916602545773001</v>
      </c>
      <c r="H113" s="6">
        <f>Model!P113</f>
        <v>6.0683395908616617</v>
      </c>
      <c r="I113" s="6">
        <f>Model!Q113</f>
        <v>6.145295176427056</v>
      </c>
      <c r="J113" s="6">
        <f>Model!R113</f>
        <v>6.2225241878100688</v>
      </c>
      <c r="K113" s="6">
        <f>Model!S113</f>
        <v>6.3000237670544754</v>
      </c>
      <c r="L113" s="6">
        <f>Model!T113</f>
        <v>6.3777910248713887</v>
      </c>
      <c r="M113" s="6">
        <f>Model!U113</f>
        <v>6.4558230437502555</v>
      </c>
      <c r="N113" s="6">
        <f>Model!V113</f>
        <v>6.5341168810149473</v>
      </c>
      <c r="O113" s="6">
        <f>Model!W113</f>
        <v>6.6126695718202892</v>
      </c>
      <c r="P113" s="7">
        <f>Model!X113</f>
        <v>6.691478132084276</v>
      </c>
      <c r="Q113" s="18">
        <f t="shared" si="2"/>
        <v>5600</v>
      </c>
      <c r="S113" s="19">
        <f t="shared" si="3"/>
        <v>0.31368710721288728</v>
      </c>
      <c r="XFD113">
        <f>1</f>
        <v>1</v>
      </c>
    </row>
    <row r="114" spans="2:19 16384:16384" x14ac:dyDescent="0.25">
      <c r="B114" s="11">
        <f>Model!J114</f>
        <v>108.65384615384616</v>
      </c>
      <c r="C114" s="15">
        <f>Model!K114</f>
        <v>5650</v>
      </c>
      <c r="D114" s="5">
        <f>Model!L114</f>
        <v>5.7502931351266415</v>
      </c>
      <c r="E114" s="6">
        <f>Model!M114</f>
        <v>5.8255500820661457</v>
      </c>
      <c r="F114" s="6">
        <f>Model!N114</f>
        <v>5.9010883528340496</v>
      </c>
      <c r="G114" s="6">
        <f>Model!O114</f>
        <v>5.9769052757749055</v>
      </c>
      <c r="H114" s="6">
        <f>Model!P114</f>
        <v>6.0529981354101192</v>
      </c>
      <c r="I114" s="6">
        <f>Model!Q114</f>
        <v>6.1293641756798909</v>
      </c>
      <c r="J114" s="6">
        <f>Model!R114</f>
        <v>6.2060006031544752</v>
      </c>
      <c r="K114" s="6">
        <f>Model!S114</f>
        <v>6.2829045902087017</v>
      </c>
      <c r="L114" s="6">
        <f>Model!T114</f>
        <v>6.3600732781531892</v>
      </c>
      <c r="M114" s="6">
        <f>Model!U114</f>
        <v>6.4375037803168311</v>
      </c>
      <c r="N114" s="6">
        <f>Model!V114</f>
        <v>6.5151931850749039</v>
      </c>
      <c r="O114" s="6">
        <f>Model!W114</f>
        <v>6.5931385588181977</v>
      </c>
      <c r="P114" s="7">
        <f>Model!X114</f>
        <v>6.6713369488584071</v>
      </c>
      <c r="Q114" s="18">
        <f t="shared" si="2"/>
        <v>5650</v>
      </c>
      <c r="S114" s="19">
        <f t="shared" si="3"/>
        <v>0.31126367070521788</v>
      </c>
      <c r="XFD114">
        <f>0</f>
        <v>0</v>
      </c>
    </row>
    <row r="115" spans="2:19 16384:16384" x14ac:dyDescent="0.25">
      <c r="B115" s="11">
        <f>Model!J115</f>
        <v>109.61538461538461</v>
      </c>
      <c r="C115" s="15">
        <f>Model!K115</f>
        <v>5700</v>
      </c>
      <c r="D115" s="5">
        <f>Model!L115</f>
        <v>5.7375073844645161</v>
      </c>
      <c r="E115" s="6">
        <f>Model!M115</f>
        <v>5.8121974280818751</v>
      </c>
      <c r="F115" s="6">
        <f>Model!N115</f>
        <v>5.8871657041014114</v>
      </c>
      <c r="G115" s="6">
        <f>Model!O115</f>
        <v>5.9624095692358914</v>
      </c>
      <c r="H115" s="6">
        <f>Model!P115</f>
        <v>6.0379263367538609</v>
      </c>
      <c r="I115" s="6">
        <f>Model!Q115</f>
        <v>6.1137132796920719</v>
      </c>
      <c r="J115" s="6">
        <f>Model!R115</f>
        <v>6.1897676340375689</v>
      </c>
      <c r="K115" s="6">
        <f>Model!S115</f>
        <v>6.2660866018734129</v>
      </c>
      <c r="L115" s="6">
        <f>Model!T115</f>
        <v>6.3426673544814722</v>
      </c>
      <c r="M115" s="6">
        <f>Model!U115</f>
        <v>6.4195070353969683</v>
      </c>
      <c r="N115" s="6">
        <f>Model!V115</f>
        <v>6.4966027634091654</v>
      </c>
      <c r="O115" s="6">
        <f>Model!W115</f>
        <v>6.5739516355035956</v>
      </c>
      <c r="P115" s="7">
        <f>Model!X115</f>
        <v>6.6515507297411798</v>
      </c>
      <c r="Q115" s="18">
        <f t="shared" si="2"/>
        <v>5700</v>
      </c>
      <c r="S115" s="19">
        <f t="shared" si="3"/>
        <v>0.30888337525970755</v>
      </c>
      <c r="XFD115">
        <f>1</f>
        <v>1</v>
      </c>
    </row>
    <row r="116" spans="2:19 16384:16384" x14ac:dyDescent="0.25">
      <c r="B116" s="11">
        <f>Model!J116</f>
        <v>110.57692307692308</v>
      </c>
      <c r="C116" s="15">
        <f>Model!K116</f>
        <v>5750</v>
      </c>
      <c r="D116" s="5">
        <f>Model!L116</f>
        <v>5.7249441733382813</v>
      </c>
      <c r="E116" s="6">
        <f>Model!M116</f>
        <v>5.7990772366855445</v>
      </c>
      <c r="F116" s="6">
        <f>Model!N116</f>
        <v>5.8734855042939049</v>
      </c>
      <c r="G116" s="6">
        <f>Model!O116</f>
        <v>5.9481663606669475</v>
      </c>
      <c r="H116" s="6">
        <f>Model!P116</f>
        <v>6.023117147235479</v>
      </c>
      <c r="I116" s="6">
        <f>Model!Q116</f>
        <v>6.0983351655410427</v>
      </c>
      <c r="J116" s="6">
        <f>Model!R116</f>
        <v>6.1738176803893943</v>
      </c>
      <c r="K116" s="6">
        <f>Model!S116</f>
        <v>6.249561922967966</v>
      </c>
      <c r="L116" s="6">
        <f>Model!T116</f>
        <v>6.3255650939207895</v>
      </c>
      <c r="M116" s="6">
        <f>Model!U116</f>
        <v>6.4018243663756476</v>
      </c>
      <c r="N116" s="6">
        <f>Model!V116</f>
        <v>6.4783368889178341</v>
      </c>
      <c r="O116" s="6">
        <f>Model!W116</f>
        <v>6.5550997885060411</v>
      </c>
      <c r="P116" s="7">
        <f>Model!X116</f>
        <v>6.6321101733256658</v>
      </c>
      <c r="Q116" s="18">
        <f t="shared" si="2"/>
        <v>5750</v>
      </c>
      <c r="S116" s="19">
        <f t="shared" si="3"/>
        <v>0.3065450794048763</v>
      </c>
      <c r="XFD116">
        <f>0</f>
        <v>0</v>
      </c>
    </row>
    <row r="117" spans="2:19 16384:16384" x14ac:dyDescent="0.25">
      <c r="B117" s="11">
        <f>Model!J117</f>
        <v>111.53846153846153</v>
      </c>
      <c r="C117" s="15">
        <f>Model!K117</f>
        <v>5800</v>
      </c>
      <c r="D117" s="5">
        <f>Model!L117</f>
        <v>5.7125977418366114</v>
      </c>
      <c r="E117" s="6">
        <f>Model!M117</f>
        <v>5.7861834896994839</v>
      </c>
      <c r="F117" s="6">
        <f>Model!N117</f>
        <v>5.8600414750876215</v>
      </c>
      <c r="G117" s="6">
        <f>Model!O117</f>
        <v>5.9341691097353584</v>
      </c>
      <c r="H117" s="6">
        <f>Model!P117</f>
        <v>6.0085637626684818</v>
      </c>
      <c r="I117" s="6">
        <f>Model!Q117</f>
        <v>6.0832227633593838</v>
      </c>
      <c r="J117" s="6">
        <f>Model!R117</f>
        <v>6.1581434048524866</v>
      </c>
      <c r="K117" s="6">
        <f>Model!S117</f>
        <v>6.2333229468539422</v>
      </c>
      <c r="L117" s="6">
        <f>Model!T117</f>
        <v>6.3087586187792599</v>
      </c>
      <c r="M117" s="6">
        <f>Model!U117</f>
        <v>6.384447622753548</v>
      </c>
      <c r="N117" s="6">
        <f>Model!V117</f>
        <v>6.4603871365589036</v>
      </c>
      <c r="O117" s="6">
        <f>Model!W117</f>
        <v>6.5365743165243995</v>
      </c>
      <c r="P117" s="7">
        <f>Model!X117</f>
        <v>6.61300630035411</v>
      </c>
      <c r="Q117" s="18">
        <f t="shared" si="2"/>
        <v>5800</v>
      </c>
      <c r="S117" s="19">
        <f t="shared" si="3"/>
        <v>0.30424768157485005</v>
      </c>
      <c r="XFD117">
        <f>1</f>
        <v>1</v>
      </c>
    </row>
    <row r="118" spans="2:19 16384:16384" x14ac:dyDescent="0.25">
      <c r="B118" s="11">
        <f>Model!J118</f>
        <v>112.5</v>
      </c>
      <c r="C118" s="15">
        <f>Model!K118</f>
        <v>5850</v>
      </c>
      <c r="D118" s="5">
        <f>Model!L118</f>
        <v>5.7004625271233387</v>
      </c>
      <c r="E118" s="6">
        <f>Model!M118</f>
        <v>5.7735103749061771</v>
      </c>
      <c r="F118" s="6">
        <f>Model!N118</f>
        <v>5.8468275530762588</v>
      </c>
      <c r="G118" s="6">
        <f>Model!O118</f>
        <v>5.9204115000552697</v>
      </c>
      <c r="H118" s="6">
        <f>Model!P118</f>
        <v>5.9942596119135896</v>
      </c>
      <c r="I118" s="6">
        <f>Model!Q118</f>
        <v>6.0683692454976441</v>
      </c>
      <c r="J118" s="6">
        <f>Model!R118</f>
        <v>6.1427377215277472</v>
      </c>
      <c r="K118" s="6">
        <f>Model!S118</f>
        <v>6.2173623276606369</v>
      </c>
      <c r="L118" s="6">
        <f>Model!T118</f>
        <v>6.2922403215102634</v>
      </c>
      <c r="M118" s="6">
        <f>Model!U118</f>
        <v>6.3673689336216643</v>
      </c>
      <c r="N118" s="6">
        <f>Model!V118</f>
        <v>6.4427453703924229</v>
      </c>
      <c r="O118" s="6">
        <f>Model!W118</f>
        <v>6.5183668169373066</v>
      </c>
      <c r="P118" s="7">
        <f>Model!X118</f>
        <v>6.594230439891426</v>
      </c>
      <c r="Q118" s="18">
        <f t="shared" si="2"/>
        <v>5850</v>
      </c>
      <c r="S118" s="19">
        <f t="shared" si="3"/>
        <v>0.30199011838116263</v>
      </c>
      <c r="XFD118">
        <f>0</f>
        <v>0</v>
      </c>
    </row>
    <row r="119" spans="2:19 16384:16384" x14ac:dyDescent="0.25">
      <c r="B119" s="11">
        <f>Model!J119</f>
        <v>113.46153846153847</v>
      </c>
      <c r="C119" s="15">
        <f>Model!K119</f>
        <v>5900</v>
      </c>
      <c r="D119" s="5">
        <f>Model!L119</f>
        <v>5.6885331550802967</v>
      </c>
      <c r="E119" s="6">
        <f>Model!M119</f>
        <v>5.7610522773122739</v>
      </c>
      <c r="F119" s="6">
        <f>Model!N119</f>
        <v>5.833837880652931</v>
      </c>
      <c r="G119" s="6">
        <f>Model!O119</f>
        <v>5.9068874296839091</v>
      </c>
      <c r="H119" s="6">
        <f>Model!P119</f>
        <v>5.9801983469860254</v>
      </c>
      <c r="I119" s="6">
        <f>Model!Q119</f>
        <v>6.0537680162393288</v>
      </c>
      <c r="J119" s="6">
        <f>Model!R119</f>
        <v>6.1275937852939162</v>
      </c>
      <c r="K119" s="6">
        <f>Model!S119</f>
        <v>6.2016729692057666</v>
      </c>
      <c r="L119" s="6">
        <f>Model!T119</f>
        <v>6.276002853231204</v>
      </c>
      <c r="M119" s="6">
        <f>Model!U119</f>
        <v>6.3505806957748749</v>
      </c>
      <c r="N119" s="6">
        <f>Model!V119</f>
        <v>6.4254037312858028</v>
      </c>
      <c r="O119" s="6">
        <f>Model!W119</f>
        <v>6.5004691730970876</v>
      </c>
      <c r="P119" s="7">
        <f>Model!X119</f>
        <v>6.5757742162047155</v>
      </c>
      <c r="Q119" s="18">
        <f t="shared" si="2"/>
        <v>5900</v>
      </c>
      <c r="S119" s="19">
        <f t="shared" si="3"/>
        <v>0.29977136297351148</v>
      </c>
      <c r="XFD119">
        <f>1</f>
        <v>1</v>
      </c>
    </row>
    <row r="120" spans="2:19 16384:16384" x14ac:dyDescent="0.25">
      <c r="B120" s="11">
        <f>Model!J120</f>
        <v>114.42307692307692</v>
      </c>
      <c r="C120" s="15">
        <f>Model!K120</f>
        <v>5950</v>
      </c>
      <c r="D120" s="5">
        <f>Model!L120</f>
        <v>5.6768044323718456</v>
      </c>
      <c r="E120" s="6">
        <f>Model!M120</f>
        <v>5.7488037708535629</v>
      </c>
      <c r="F120" s="6">
        <f>Model!N120</f>
        <v>5.8210667973523336</v>
      </c>
      <c r="G120" s="6">
        <f>Model!O120</f>
        <v>5.8935910020977236</v>
      </c>
      <c r="H120" s="6">
        <f>Model!P120</f>
        <v>5.9663738336624448</v>
      </c>
      <c r="I120" s="6">
        <f>Model!Q120</f>
        <v>6.0394127020355777</v>
      </c>
      <c r="J120" s="6">
        <f>Model!R120</f>
        <v>6.1127049816668553</v>
      </c>
      <c r="K120" s="6">
        <f>Model!S120</f>
        <v>6.186248014476293</v>
      </c>
      <c r="L120" s="6">
        <f>Model!T120</f>
        <v>6.2600391128228114</v>
      </c>
      <c r="M120" s="6">
        <f>Model!U120</f>
        <v>6.3340755624268086</v>
      </c>
      <c r="N120" s="6">
        <f>Model!V120</f>
        <v>6.408354625241234</v>
      </c>
      <c r="O120" s="6">
        <f>Model!W120</f>
        <v>6.4828735422668462</v>
      </c>
      <c r="P120" s="7">
        <f>Model!X120</f>
        <v>6.5576295363070916</v>
      </c>
      <c r="Q120" s="18">
        <f t="shared" si="2"/>
        <v>5950</v>
      </c>
      <c r="S120" s="19">
        <f t="shared" si="3"/>
        <v>0.29759042348428011</v>
      </c>
      <c r="XFD120">
        <f>0</f>
        <v>0</v>
      </c>
    </row>
    <row r="121" spans="2:19 16384:16384" x14ac:dyDescent="0.25">
      <c r="B121" s="11">
        <f>Model!J121</f>
        <v>115.38461538461539</v>
      </c>
      <c r="C121" s="15">
        <f>Model!K121</f>
        <v>6000</v>
      </c>
      <c r="D121" s="5">
        <f>Model!L121</f>
        <v>5.6652713389065035</v>
      </c>
      <c r="E121" s="6">
        <f>Model!M121</f>
        <v>5.7367596105150902</v>
      </c>
      <c r="F121" s="6">
        <f>Model!N121</f>
        <v>5.8085088316262725</v>
      </c>
      <c r="G121" s="6">
        <f>Model!O121</f>
        <v>5.8805165176203653</v>
      </c>
      <c r="H121" s="6">
        <f>Model!P121</f>
        <v>5.9527801425584119</v>
      </c>
      <c r="I121" s="6">
        <f>Model!Q121</f>
        <v>6.0252971422291033</v>
      </c>
      <c r="J121" s="6">
        <f>Model!R121</f>
        <v>6.0980649171670347</v>
      </c>
      <c r="K121" s="6">
        <f>Model!S121</f>
        <v>6.1710808356365749</v>
      </c>
      <c r="L121" s="6">
        <f>Model!T121</f>
        <v>6.2443422365751378</v>
      </c>
      <c r="M121" s="6">
        <f>Model!U121</f>
        <v>6.3178464324907928</v>
      </c>
      <c r="N121" s="6">
        <f>Model!V121</f>
        <v>6.3915907123088331</v>
      </c>
      <c r="O121" s="6">
        <f>Model!W121</f>
        <v>6.4655723441630126</v>
      </c>
      <c r="P121" s="7">
        <f>Model!X121</f>
        <v>6.5397885781269398</v>
      </c>
      <c r="Q121" s="18">
        <f t="shared" si="2"/>
        <v>6000</v>
      </c>
      <c r="S121" s="19">
        <f t="shared" si="3"/>
        <v>0.29544634155180205</v>
      </c>
      <c r="XFD121">
        <f>1</f>
        <v>1</v>
      </c>
    </row>
    <row r="122" spans="2:19 16384:16384" x14ac:dyDescent="0.25">
      <c r="B122" s="11">
        <f>Model!J122</f>
        <v>116.34615384615384</v>
      </c>
      <c r="C122" s="15">
        <f>Model!K122</f>
        <v>6050</v>
      </c>
      <c r="D122" s="5">
        <f>Model!L122</f>
        <v>5.65392902067265</v>
      </c>
      <c r="E122" s="6">
        <f>Model!M122</f>
        <v>5.7249147248423569</v>
      </c>
      <c r="F122" s="6">
        <f>Model!N122</f>
        <v>5.7961586930275839</v>
      </c>
      <c r="G122" s="6">
        <f>Model!O122</f>
        <v>5.8676584652763886</v>
      </c>
      <c r="H122" s="6">
        <f>Model!P122</f>
        <v>5.9394115406490293</v>
      </c>
      <c r="I122" s="6">
        <f>Model!Q122</f>
        <v>6.0114153802390131</v>
      </c>
      <c r="J122" s="6">
        <f>Model!R122</f>
        <v>6.0836674101657762</v>
      </c>
      <c r="K122" s="6">
        <f>Model!S122</f>
        <v>6.1561650245332888</v>
      </c>
      <c r="L122" s="6">
        <f>Model!T122</f>
        <v>6.2289055883484217</v>
      </c>
      <c r="M122" s="6">
        <f>Model!U122</f>
        <v>6.3018864403940285</v>
      </c>
      <c r="N122" s="6">
        <f>Model!V122</f>
        <v>6.3751048960514547</v>
      </c>
      <c r="O122" s="6">
        <f>Model!W122</f>
        <v>6.4485582500681966</v>
      </c>
      <c r="P122" s="7">
        <f>Model!X122</f>
        <v>6.5222437792662138</v>
      </c>
      <c r="Q122" s="18">
        <f t="shared" si="2"/>
        <v>6050</v>
      </c>
      <c r="S122" s="19">
        <f t="shared" si="3"/>
        <v>0.29333819091779212</v>
      </c>
      <c r="XFD122">
        <f>0</f>
        <v>0</v>
      </c>
    </row>
    <row r="123" spans="2:19 16384:16384" x14ac:dyDescent="0.25">
      <c r="B123" s="11">
        <f>Model!J123</f>
        <v>117.30769230769231</v>
      </c>
      <c r="C123" s="15">
        <f>Model!K123</f>
        <v>6100</v>
      </c>
      <c r="D123" s="5">
        <f>Model!L123</f>
        <v>5.642772782926837</v>
      </c>
      <c r="E123" s="6">
        <f>Model!M123</f>
        <v>5.7132642088212755</v>
      </c>
      <c r="F123" s="6">
        <f>Model!N123</f>
        <v>5.7840112647788686</v>
      </c>
      <c r="G123" s="6">
        <f>Model!O123</f>
        <v>5.8550115150461544</v>
      </c>
      <c r="H123" s="6">
        <f>Model!P123</f>
        <v>5.9262624832073598</v>
      </c>
      <c r="I123" s="6">
        <f>Model!Q123</f>
        <v>5.9977616551800512</v>
      </c>
      <c r="J123" s="6">
        <f>Model!R123</f>
        <v>6.0695064821827138</v>
      </c>
      <c r="K123" s="6">
        <f>Model!S123</f>
        <v>6.1414943836685385</v>
      </c>
      <c r="L123" s="6">
        <f>Model!T123</f>
        <v>6.2137227502192793</v>
      </c>
      <c r="M123" s="6">
        <f>Model!U123</f>
        <v>6.286188946394307</v>
      </c>
      <c r="N123" s="6">
        <f>Model!V123</f>
        <v>6.358890313529459</v>
      </c>
      <c r="O123" s="6">
        <f>Model!W123</f>
        <v>6.4318241724815275</v>
      </c>
      <c r="P123" s="7">
        <f>Model!X123</f>
        <v>6.5049878263139025</v>
      </c>
      <c r="Q123" s="18">
        <f t="shared" si="2"/>
        <v>6100</v>
      </c>
      <c r="S123" s="19">
        <f t="shared" si="3"/>
        <v>0.29126507609462315</v>
      </c>
      <c r="XFD123">
        <f>1</f>
        <v>1</v>
      </c>
    </row>
    <row r="124" spans="2:19 16384:16384" x14ac:dyDescent="0.25">
      <c r="B124" s="11">
        <f>Model!J124</f>
        <v>118.26923076923077</v>
      </c>
      <c r="C124" s="15">
        <f>Model!K124</f>
        <v>6150</v>
      </c>
      <c r="D124" s="5">
        <f>Model!L124</f>
        <v>5.6317980837146164</v>
      </c>
      <c r="E124" s="6">
        <f>Model!M124</f>
        <v>5.7018033171056786</v>
      </c>
      <c r="F124" s="6">
        <f>Model!N124</f>
        <v>5.7720615967041962</v>
      </c>
      <c r="G124" s="6">
        <f>Model!O124</f>
        <v>5.8425705104991223</v>
      </c>
      <c r="H124" s="6">
        <f>Model!P124</f>
        <v>5.9133276061367441</v>
      </c>
      <c r="I124" s="6">
        <f>Model!Q124</f>
        <v>5.9843303938914909</v>
      </c>
      <c r="J124" s="6">
        <f>Model!R124</f>
        <v>6.055576349608776</v>
      </c>
      <c r="K124" s="6">
        <f>Model!S124</f>
        <v>6.1270629176144169</v>
      </c>
      <c r="L124" s="6">
        <f>Model!T124</f>
        <v>6.1987875135844686</v>
      </c>
      <c r="M124" s="6">
        <f>Model!U124</f>
        <v>6.2707475273705962</v>
      </c>
      <c r="N124" s="6">
        <f>Model!V124</f>
        <v>6.3429403257757251</v>
      </c>
      <c r="O124" s="6">
        <f>Model!W124</f>
        <v>6.4153632552757429</v>
      </c>
      <c r="P124" s="7">
        <f>Model!X124</f>
        <v>6.4880136446829084</v>
      </c>
      <c r="Q124" s="18">
        <f t="shared" si="2"/>
        <v>6150</v>
      </c>
      <c r="S124" s="19">
        <f t="shared" si="3"/>
        <v>0.28922613109843986</v>
      </c>
      <c r="XFD124">
        <f>0</f>
        <v>0</v>
      </c>
    </row>
    <row r="125" spans="2:19 16384:16384" x14ac:dyDescent="0.25">
      <c r="B125" s="11">
        <f>Model!J125</f>
        <v>119.23076923076923</v>
      </c>
      <c r="C125" s="15">
        <f>Model!K125</f>
        <v>6200</v>
      </c>
      <c r="D125" s="5">
        <f>Model!L125</f>
        <v>5.6210005277051502</v>
      </c>
      <c r="E125" s="6">
        <f>Model!M125</f>
        <v>5.6905274575729035</v>
      </c>
      <c r="F125" s="6">
        <f>Model!N125</f>
        <v>5.760304898503243</v>
      </c>
      <c r="G125" s="6">
        <f>Model!O125</f>
        <v>5.830330461784083</v>
      </c>
      <c r="H125" s="6">
        <f>Model!P125</f>
        <v>5.9006017186747997</v>
      </c>
      <c r="I125" s="6">
        <f>Model!Q125</f>
        <v>5.9711162033524756</v>
      </c>
      <c r="J125" s="6">
        <f>Model!R125</f>
        <v>6.04187141583051</v>
      </c>
      <c r="K125" s="6">
        <f>Model!S125</f>
        <v>6.112864824844082</v>
      </c>
      <c r="L125" s="6">
        <f>Model!T125</f>
        <v>6.1840938706963557</v>
      </c>
      <c r="M125" s="6">
        <f>Model!U125</f>
        <v>6.255555968060623</v>
      </c>
      <c r="N125" s="6">
        <f>Model!V125</f>
        <v>6.3272485087331134</v>
      </c>
      <c r="O125" s="6">
        <f>Model!W125</f>
        <v>6.3991688643323545</v>
      </c>
      <c r="P125" s="7">
        <f>Model!X125</f>
        <v>6.4713143889406677</v>
      </c>
      <c r="Q125" s="18">
        <f t="shared" si="2"/>
        <v>6200</v>
      </c>
      <c r="S125" s="19">
        <f t="shared" si="3"/>
        <v>0.28722051824431194</v>
      </c>
      <c r="XFD125">
        <f>1</f>
        <v>1</v>
      </c>
    </row>
    <row r="126" spans="2:19 16384:16384" x14ac:dyDescent="0.25">
      <c r="B126" s="11">
        <f>Model!J126</f>
        <v>120.19230769230769</v>
      </c>
      <c r="C126" s="15">
        <f>Model!K126</f>
        <v>6250</v>
      </c>
      <c r="D126" s="5">
        <f>Model!L126</f>
        <v>5.6103758603218941</v>
      </c>
      <c r="E126" s="6">
        <f>Model!M126</f>
        <v>5.6794321851890182</v>
      </c>
      <c r="F126" s="6">
        <f>Model!N126</f>
        <v>5.7487365333485929</v>
      </c>
      <c r="G126" s="6">
        <f>Model!O126</f>
        <v>5.8182865389563725</v>
      </c>
      <c r="H126" s="6">
        <f>Model!P126</f>
        <v>5.8880797964481921</v>
      </c>
      <c r="I126" s="6">
        <f>Model!Q126</f>
        <v>5.9581138634621453</v>
      </c>
      <c r="J126" s="6">
        <f>Model!R126</f>
        <v>6.0283862637333581</v>
      </c>
      <c r="K126" s="6">
        <f>Model!S126</f>
        <v>6.098894489955911</v>
      </c>
      <c r="L126" s="6">
        <f>Model!T126</f>
        <v>6.1696360066058276</v>
      </c>
      <c r="M126" s="6">
        <f>Model!U126</f>
        <v>6.2406082527203779</v>
      </c>
      <c r="N126" s="6">
        <f>Model!V126</f>
        <v>6.31180864462846</v>
      </c>
      <c r="O126" s="6">
        <f>Model!W126</f>
        <v>6.3832345786279623</v>
      </c>
      <c r="P126" s="7">
        <f>Model!X126</f>
        <v>6.454883433605783</v>
      </c>
      <c r="Q126" s="18">
        <f t="shared" si="2"/>
        <v>6250</v>
      </c>
      <c r="S126" s="19">
        <f t="shared" si="3"/>
        <v>0.28524742699995542</v>
      </c>
      <c r="XFD126">
        <f>0</f>
        <v>0</v>
      </c>
    </row>
    <row r="127" spans="2:19 16384:16384" x14ac:dyDescent="0.25">
      <c r="B127" s="11">
        <f>Model!J127</f>
        <v>121.15384615384616</v>
      </c>
      <c r="C127" s="15">
        <f>Model!K127</f>
        <v>6300</v>
      </c>
      <c r="D127" s="5">
        <f>Model!L127</f>
        <v>5.5999199621530886</v>
      </c>
      <c r="E127" s="6">
        <f>Model!M127</f>
        <v>5.6685131961663862</v>
      </c>
      <c r="F127" s="6">
        <f>Model!N127</f>
        <v>5.7373520117883734</v>
      </c>
      <c r="G127" s="6">
        <f>Model!O127</f>
        <v>5.8064340656232787</v>
      </c>
      <c r="H127" s="6">
        <f>Model!P127</f>
        <v>5.8757569748587199</v>
      </c>
      <c r="I127" s="6">
        <f>Model!Q127</f>
        <v>5.9453183201642403</v>
      </c>
      <c r="J127" s="6">
        <f>Model!R127</f>
        <v>6.0151156485626718</v>
      </c>
      <c r="K127" s="6">
        <f>Model!S127</f>
        <v>6.0851464762688732</v>
      </c>
      <c r="L127" s="6">
        <f>Model!T127</f>
        <v>6.155408291489934</v>
      </c>
      <c r="M127" s="6">
        <f>Model!U127</f>
        <v>6.2258985571820098</v>
      </c>
      <c r="N127" s="6">
        <f>Model!V127</f>
        <v>6.296614713758669</v>
      </c>
      <c r="O127" s="6">
        <f>Model!W127</f>
        <v>6.3675541817466286</v>
      </c>
      <c r="P127" s="7">
        <f>Model!X127</f>
        <v>6.4387143643846532</v>
      </c>
      <c r="Q127" s="18">
        <f t="shared" si="2"/>
        <v>6300</v>
      </c>
      <c r="S127" s="19">
        <f t="shared" si="3"/>
        <v>0.28330607289471921</v>
      </c>
      <c r="XFD127">
        <f>1</f>
        <v>1</v>
      </c>
    </row>
    <row r="128" spans="2:19 16384:16384" x14ac:dyDescent="0.25">
      <c r="B128" s="11">
        <f>Model!J128</f>
        <v>122.11538461538461</v>
      </c>
      <c r="C128" s="15">
        <f>Model!K128</f>
        <v>6350</v>
      </c>
      <c r="D128" s="5">
        <f>Model!L128</f>
        <v>5.589628843626409</v>
      </c>
      <c r="E128" s="6">
        <f>Model!M128</f>
        <v>5.657766322397574</v>
      </c>
      <c r="F128" s="6">
        <f>Model!N128</f>
        <v>5.7261469859372385</v>
      </c>
      <c r="G128" s="6">
        <f>Model!O128</f>
        <v>5.7947685128900801</v>
      </c>
      <c r="H128" s="6">
        <f>Model!P128</f>
        <v>5.8636285427823616</v>
      </c>
      <c r="I128" s="6">
        <f>Model!Q128</f>
        <v>5.932724678897177</v>
      </c>
      <c r="J128" s="6">
        <f>Model!R128</f>
        <v>6.0020544911227809</v>
      </c>
      <c r="K128" s="6">
        <f>Model!S128</f>
        <v>6.0716155187686134</v>
      </c>
      <c r="L128" s="6">
        <f>Model!T128</f>
        <v>6.141405273343036</v>
      </c>
      <c r="M128" s="6">
        <f>Model!U128</f>
        <v>6.2114212412881002</v>
      </c>
      <c r="N128" s="6">
        <f>Model!V128</f>
        <v>6.2816608866662271</v>
      </c>
      <c r="O128" s="6">
        <f>Model!W128</f>
        <v>6.3521216537946934</v>
      </c>
      <c r="P128" s="7">
        <f>Model!X128</f>
        <v>6.4228009698237365</v>
      </c>
      <c r="Q128" s="18">
        <f t="shared" si="2"/>
        <v>6350</v>
      </c>
      <c r="S128" s="19">
        <f t="shared" si="3"/>
        <v>0.28139569648070051</v>
      </c>
      <c r="XFD128">
        <f>0</f>
        <v>0</v>
      </c>
    </row>
    <row r="129" spans="2:17 16384:16384" x14ac:dyDescent="0.25">
      <c r="B129" s="11">
        <f>Model!J129</f>
        <v>123.07692307692308</v>
      </c>
      <c r="C129" s="15">
        <f>Model!K129</f>
        <v>6400</v>
      </c>
      <c r="D129" s="5">
        <f>Model!L129</f>
        <v>5.5794986399334885</v>
      </c>
      <c r="E129" s="6">
        <f>Model!M129</f>
        <v>5.6471875261504074</v>
      </c>
      <c r="F129" s="6">
        <f>Model!N129</f>
        <v>5.7151172439399751</v>
      </c>
      <c r="G129" s="6">
        <f>Model!O129</f>
        <v>5.7832854935903013</v>
      </c>
      <c r="H129" s="6">
        <f>Model!P129</f>
        <v>5.8516899365642105</v>
      </c>
      <c r="I129" s="6">
        <f>Model!Q129</f>
        <v>5.9203281983516884</v>
      </c>
      <c r="J129" s="6">
        <f>Model!R129</f>
        <v>5.9891978712955254</v>
      </c>
      <c r="K129" s="6">
        <f>Model!S129</f>
        <v>6.0582965173849868</v>
      </c>
      <c r="L129" s="6">
        <f>Model!T129</f>
        <v>6.1276216710114859</v>
      </c>
      <c r="M129" s="6">
        <f>Model!U129</f>
        <v>6.1971708416816504</v>
      </c>
      <c r="N129" s="6">
        <f>Model!V129</f>
        <v>6.2669415166826798</v>
      </c>
      <c r="O129" s="6">
        <f>Model!W129</f>
        <v>6.336931163695958</v>
      </c>
      <c r="P129" s="7">
        <f>Model!X129</f>
        <v>6.4071372333546961</v>
      </c>
      <c r="Q129" s="18">
        <f t="shared" si="2"/>
        <v>6400</v>
      </c>
      <c r="XFD129">
        <f>1</f>
        <v>1</v>
      </c>
    </row>
    <row r="130" spans="2:17 16384:16384" x14ac:dyDescent="0.25">
      <c r="B130" s="11">
        <f>Model!J130</f>
        <v>124.03846153846153</v>
      </c>
      <c r="C130" s="15">
        <f>Model!K130</f>
        <v>6450</v>
      </c>
      <c r="D130" s="5">
        <f>Model!L130</f>
        <v>5.5695256061906271</v>
      </c>
      <c r="E130" s="6">
        <f>Model!M130</f>
        <v>5.6367728950099476</v>
      </c>
      <c r="F130" s="6">
        <f>Model!N130</f>
        <v>5.7042587046929407</v>
      </c>
      <c r="G130" s="6">
        <f>Model!O130</f>
        <v>5.7719807567846431</v>
      </c>
      <c r="H130" s="6">
        <f>Model!P130</f>
        <v>5.8399367342931345</v>
      </c>
      <c r="I130" s="6">
        <f>Model!Q130</f>
        <v>5.9081242845194364</v>
      </c>
      <c r="J130" s="6">
        <f>Model!R130</f>
        <v>5.9765410218609425</v>
      </c>
      <c r="K130" s="6">
        <f>Model!S130</f>
        <v>6.0451845305830529</v>
      </c>
      <c r="L130" s="6">
        <f>Model!T130</f>
        <v>6.1140523675531782</v>
      </c>
      <c r="M130" s="6">
        <f>Model!U130</f>
        <v>6.1831420649324453</v>
      </c>
      <c r="N130" s="6">
        <f>Model!V130</f>
        <v>6.2524511328200925</v>
      </c>
      <c r="O130" s="6">
        <f>Model!W130</f>
        <v>6.3219770618465416</v>
      </c>
      <c r="P130" s="7">
        <f>Model!X130</f>
        <v>6.3917173257109443</v>
      </c>
      <c r="Q130" s="18">
        <f t="shared" si="2"/>
        <v>6450</v>
      </c>
      <c r="XFD130">
        <f>0</f>
        <v>0</v>
      </c>
    </row>
    <row r="131" spans="2:17 16384:16384" x14ac:dyDescent="0.25">
      <c r="B131" s="11">
        <f>Model!J131</f>
        <v>125</v>
      </c>
      <c r="C131" s="15">
        <f>Model!K131</f>
        <v>6500</v>
      </c>
      <c r="D131" s="5">
        <f>Model!L131</f>
        <v>5.5597061128230711</v>
      </c>
      <c r="E131" s="6">
        <f>Model!M131</f>
        <v>5.6265186370541933</v>
      </c>
      <c r="F131" s="6">
        <f>Model!N131</f>
        <v>5.6935674128093439</v>
      </c>
      <c r="G131" s="6">
        <f>Model!O131</f>
        <v>5.7608501825142264</v>
      </c>
      <c r="H131" s="6">
        <f>Model!P131</f>
        <v>5.8283646503411299</v>
      </c>
      <c r="I131" s="6">
        <f>Model!Q131</f>
        <v>5.8961084850167644</v>
      </c>
      <c r="J131" s="6">
        <f>Model!R131</f>
        <v>5.9640793226037392</v>
      </c>
      <c r="K131" s="6">
        <f>Model!S131</f>
        <v>6.032274769250586</v>
      </c>
      <c r="L131" s="6">
        <f>Model!T131</f>
        <v>6.1006924039044099</v>
      </c>
      <c r="M131" s="6">
        <f>Model!U131</f>
        <v>6.1693297809816148</v>
      </c>
      <c r="N131" s="6">
        <f>Model!V131</f>
        <v>6.2381844329916598</v>
      </c>
      <c r="O131" s="6">
        <f>Model!W131</f>
        <v>6.307253873109941</v>
      </c>
      <c r="P131" s="7">
        <f>Model!X131</f>
        <v>6.3765355976955487</v>
      </c>
      <c r="Q131" s="18">
        <f t="shared" si="2"/>
        <v>6500</v>
      </c>
      <c r="XFD131">
        <f>1</f>
        <v>1</v>
      </c>
    </row>
    <row r="132" spans="2:17 16384:16384" x14ac:dyDescent="0.25">
      <c r="B132" s="11">
        <f>Model!J132</f>
        <v>125.96153846153847</v>
      </c>
      <c r="C132" s="15">
        <f>Model!K132</f>
        <v>6550</v>
      </c>
      <c r="D132" s="5">
        <f>Model!L132</f>
        <v>5.505540159356193</v>
      </c>
      <c r="E132" s="6">
        <f>Model!M132</f>
        <v>5.5665788823760671</v>
      </c>
      <c r="F132" s="6">
        <f>Model!N132</f>
        <v>5.6278284967834704</v>
      </c>
      <c r="G132" s="6">
        <f>Model!O132</f>
        <v>5.6892869522675298</v>
      </c>
      <c r="H132" s="6">
        <f>Model!P132</f>
        <v>5.7509521607422922</v>
      </c>
      <c r="I132" s="6">
        <f>Model!Q132</f>
        <v>5.8128219990732699</v>
      </c>
      <c r="J132" s="6">
        <f>Model!R132</f>
        <v>5.8748943117796415</v>
      </c>
      <c r="K132" s="6">
        <f>Model!S132</f>
        <v>5.9371669137066387</v>
      </c>
      <c r="L132" s="6">
        <f>Model!T132</f>
        <v>5.9996375926625731</v>
      </c>
      <c r="M132" s="6">
        <f>Model!U132</f>
        <v>6.0623041120157044</v>
      </c>
      <c r="N132" s="6">
        <f>Model!V132</f>
        <v>6.125164213246137</v>
      </c>
      <c r="O132" s="6">
        <f>Model!W132</f>
        <v>6.1882156184486758</v>
      </c>
      <c r="P132" s="7">
        <f>Model!X132</f>
        <v>6.2514560327825475</v>
      </c>
      <c r="Q132" s="18">
        <f t="shared" ref="Q132:Q148" si="4">C132</f>
        <v>6550</v>
      </c>
      <c r="XFD132">
        <f>0</f>
        <v>0</v>
      </c>
    </row>
    <row r="133" spans="2:17 16384:16384" x14ac:dyDescent="0.25">
      <c r="B133" s="11">
        <f>Model!J133</f>
        <v>126.92307692307692</v>
      </c>
      <c r="C133" s="15">
        <f>Model!K133</f>
        <v>6600</v>
      </c>
      <c r="D133" s="5">
        <f>Model!L133</f>
        <v>5.4986853943201233</v>
      </c>
      <c r="E133" s="6">
        <f>Model!M133</f>
        <v>5.5593430488978708</v>
      </c>
      <c r="F133" s="6">
        <f>Model!N133</f>
        <v>5.6202095802965033</v>
      </c>
      <c r="G133" s="6">
        <f>Model!O133</f>
        <v>5.6812829569476992</v>
      </c>
      <c r="H133" s="6">
        <f>Model!P133</f>
        <v>5.7425611097809917</v>
      </c>
      <c r="I133" s="6">
        <f>Model!Q133</f>
        <v>5.8040419349294208</v>
      </c>
      <c r="J133" s="6">
        <f>Model!R133</f>
        <v>5.8657232964109181</v>
      </c>
      <c r="K133" s="6">
        <f>Model!S133</f>
        <v>5.9276030287802133</v>
      </c>
      <c r="L133" s="6">
        <f>Model!T133</f>
        <v>5.989678939745593</v>
      </c>
      <c r="M133" s="6">
        <f>Model!U133</f>
        <v>6.0519488127458727</v>
      </c>
      <c r="N133" s="6">
        <f>Model!V133</f>
        <v>6.1144104094827076</v>
      </c>
      <c r="O133" s="6">
        <f>Model!W133</f>
        <v>6.1770614724042794</v>
      </c>
      <c r="P133" s="7">
        <f>Model!X133</f>
        <v>6.2398997271362404</v>
      </c>
      <c r="Q133" s="18">
        <f t="shared" si="4"/>
        <v>6600</v>
      </c>
      <c r="XFD133">
        <f>1</f>
        <v>1</v>
      </c>
    </row>
    <row r="134" spans="2:17 16384:16384" x14ac:dyDescent="0.25">
      <c r="B134" s="11">
        <f>Model!J134</f>
        <v>127.88461538461539</v>
      </c>
      <c r="C134" s="15">
        <f>Model!K134</f>
        <v>6650</v>
      </c>
      <c r="D134" s="5">
        <f>Model!L134</f>
        <v>5.4919338079800015</v>
      </c>
      <c r="E134" s="6">
        <f>Model!M134</f>
        <v>5.5522161600528701</v>
      </c>
      <c r="F134" s="6">
        <f>Model!N134</f>
        <v>5.6127054099848213</v>
      </c>
      <c r="G134" s="6">
        <f>Model!O134</f>
        <v>5.6733995446236012</v>
      </c>
      <c r="H134" s="6">
        <f>Model!P134</f>
        <v>5.7342965135834394</v>
      </c>
      <c r="I134" s="6">
        <f>Model!Q134</f>
        <v>5.7953942319300742</v>
      </c>
      <c r="J134" s="6">
        <f>Model!R134</f>
        <v>5.8566905828416909</v>
      </c>
      <c r="K134" s="6">
        <f>Model!S134</f>
        <v>5.9181834202406716</v>
      </c>
      <c r="L134" s="6">
        <f>Model!T134</f>
        <v>5.9798705713904123</v>
      </c>
      <c r="M134" s="6">
        <f>Model!U134</f>
        <v>6.0417498394527058</v>
      </c>
      <c r="N134" s="6">
        <f>Model!V134</f>
        <v>6.1038190060007853</v>
      </c>
      <c r="O134" s="6">
        <f>Model!W134</f>
        <v>6.1660758334841379</v>
      </c>
      <c r="P134" s="7">
        <f>Model!X134</f>
        <v>6.2285180676409819</v>
      </c>
      <c r="Q134" s="18">
        <f t="shared" si="4"/>
        <v>6650</v>
      </c>
      <c r="XFD134">
        <f>0</f>
        <v>0</v>
      </c>
    </row>
    <row r="135" spans="2:17 16384:16384" x14ac:dyDescent="0.25">
      <c r="B135" s="11">
        <f>Model!J135</f>
        <v>128.84615384615384</v>
      </c>
      <c r="C135" s="15">
        <f>Model!K135</f>
        <v>6700</v>
      </c>
      <c r="D135" s="5">
        <f>Model!L135</f>
        <v>5.4852830881542758</v>
      </c>
      <c r="E135" s="6">
        <f>Model!M135</f>
        <v>5.5451957737812618</v>
      </c>
      <c r="F135" s="6">
        <f>Model!N135</f>
        <v>5.6053134129955566</v>
      </c>
      <c r="G135" s="6">
        <f>Model!O135</f>
        <v>5.6656340107429068</v>
      </c>
      <c r="H135" s="6">
        <f>Model!P135</f>
        <v>5.7261555349999327</v>
      </c>
      <c r="I135" s="6">
        <f>Model!Q135</f>
        <v>5.786875919438847</v>
      </c>
      <c r="J135" s="6">
        <f>Model!R135</f>
        <v>5.8477930660683253</v>
      </c>
      <c r="K135" s="6">
        <f>Model!S135</f>
        <v>5.9089048478453403</v>
      </c>
      <c r="L135" s="6">
        <f>Model!T135</f>
        <v>5.9702091112524016</v>
      </c>
      <c r="M135" s="6">
        <f>Model!U135</f>
        <v>6.0317036788356502</v>
      </c>
      <c r="N135" s="6">
        <f>Model!V135</f>
        <v>6.0933863516989373</v>
      </c>
      <c r="O135" s="6">
        <f>Model!W135</f>
        <v>6.1552549119500615</v>
      </c>
      <c r="P135" s="7">
        <f>Model!X135</f>
        <v>6.2173071250950667</v>
      </c>
      <c r="Q135" s="18">
        <f t="shared" si="4"/>
        <v>6700</v>
      </c>
      <c r="XFD135">
        <f>1</f>
        <v>1</v>
      </c>
    </row>
    <row r="136" spans="2:17 16384:16384" x14ac:dyDescent="0.25">
      <c r="B136" s="11">
        <f>Model!J136</f>
        <v>129.80769230769232</v>
      </c>
      <c r="C136" s="15">
        <f>Model!K136</f>
        <v>6750</v>
      </c>
      <c r="D136" s="5">
        <f>Model!L136</f>
        <v>5.4787309912354756</v>
      </c>
      <c r="E136" s="6">
        <f>Model!M136</f>
        <v>5.5382795204687856</v>
      </c>
      <c r="F136" s="6">
        <f>Model!N136</f>
        <v>5.5980310928234029</v>
      </c>
      <c r="G136" s="6">
        <f>Model!O136</f>
        <v>5.6579837310331236</v>
      </c>
      <c r="H136" s="6">
        <f>Model!P136</f>
        <v>5.7181354211228612</v>
      </c>
      <c r="I136" s="6">
        <f>Model!Q136</f>
        <v>5.7784841150534323</v>
      </c>
      <c r="J136" s="6">
        <f>Model!R136</f>
        <v>5.8390277333426042</v>
      </c>
      <c r="K136" s="6">
        <f>Model!S136</f>
        <v>5.899764167657402</v>
      </c>
      <c r="L136" s="6">
        <f>Model!T136</f>
        <v>5.9606912833720269</v>
      </c>
      <c r="M136" s="6">
        <f>Model!U136</f>
        <v>6.0218069220869817</v>
      </c>
      <c r="N136" s="6">
        <f>Model!V136</f>
        <v>6.0831089041044732</v>
      </c>
      <c r="O136" s="6">
        <f>Model!W136</f>
        <v>6.144595030856383</v>
      </c>
      <c r="P136" s="7">
        <f>Model!X136</f>
        <v>6.2062630872806448</v>
      </c>
      <c r="Q136" s="18">
        <f t="shared" si="4"/>
        <v>6750</v>
      </c>
      <c r="XFD136">
        <f>0</f>
        <v>0</v>
      </c>
    </row>
    <row r="137" spans="2:17 16384:16384" x14ac:dyDescent="0.25">
      <c r="B137" s="11">
        <f>Model!J137</f>
        <v>130.76923076923077</v>
      </c>
      <c r="C137" s="15">
        <f>Model!K137</f>
        <v>6800</v>
      </c>
      <c r="D137" s="5">
        <f>Model!L137</f>
        <v>5.4722753396667212</v>
      </c>
      <c r="E137" s="6">
        <f>Model!M137</f>
        <v>5.5314651002800428</v>
      </c>
      <c r="F137" s="6">
        <f>Model!N137</f>
        <v>5.5908560264995115</v>
      </c>
      <c r="G137" s="6">
        <f>Model!O137</f>
        <v>5.6504461585448276</v>
      </c>
      <c r="H137" s="6">
        <f>Model!P137</f>
        <v>5.710233500183076</v>
      </c>
      <c r="I137" s="6">
        <f>Model!Q137</f>
        <v>5.7702160213538125</v>
      </c>
      <c r="J137" s="6">
        <f>Model!R137</f>
        <v>5.8303916607706689</v>
      </c>
      <c r="K137" s="6">
        <f>Model!S137</f>
        <v>5.8907583284943588</v>
      </c>
      <c r="L137" s="6">
        <f>Model!T137</f>
        <v>5.951313908471656</v>
      </c>
      <c r="M137" s="6">
        <f>Model!U137</f>
        <v>6.0120562610357737</v>
      </c>
      <c r="N137" s="6">
        <f>Model!V137</f>
        <v>6.072983225363445</v>
      </c>
      <c r="O137" s="6">
        <f>Model!W137</f>
        <v>6.1340926218848484</v>
      </c>
      <c r="P137" s="7">
        <f>Model!X137</f>
        <v>6.195382254642392</v>
      </c>
      <c r="Q137" s="18">
        <f t="shared" si="4"/>
        <v>6800</v>
      </c>
      <c r="XFD137">
        <f>1</f>
        <v>1</v>
      </c>
    </row>
    <row r="138" spans="2:17 16384:16384" x14ac:dyDescent="0.25">
      <c r="B138" s="11">
        <f>Model!J138</f>
        <v>131.73076923076923</v>
      </c>
      <c r="C138" s="15">
        <f>Model!K138</f>
        <v>6850</v>
      </c>
      <c r="D138" s="5">
        <f>Model!L138</f>
        <v>5.4659140195288805</v>
      </c>
      <c r="E138" s="6">
        <f>Model!M138</f>
        <v>5.5247502806087976</v>
      </c>
      <c r="F138" s="6">
        <f>Model!N138</f>
        <v>5.5837858619037046</v>
      </c>
      <c r="G138" s="6">
        <f>Model!O138</f>
        <v>5.6430188208246648</v>
      </c>
      <c r="H138" s="6">
        <f>Model!P138</f>
        <v>5.702447178582462</v>
      </c>
      <c r="I138" s="6">
        <f>Model!Q138</f>
        <v>5.7620689227933219</v>
      </c>
      <c r="J138" s="6">
        <f>Model!R138</f>
        <v>5.8218820100613335</v>
      </c>
      <c r="K138" s="6">
        <f>Model!S138</f>
        <v>5.8818843685325168</v>
      </c>
      <c r="L138" s="6">
        <f>Model!T138</f>
        <v>5.9420739004150773</v>
      </c>
      <c r="M138" s="6">
        <f>Model!U138</f>
        <v>6.0024484844613806</v>
      </c>
      <c r="N138" s="6">
        <f>Model!V138</f>
        <v>6.0630059784069621</v>
      </c>
      <c r="O138" s="6">
        <f>Model!W138</f>
        <v>6.123744221362708</v>
      </c>
      <c r="P138" s="7">
        <f>Model!X138</f>
        <v>6.1846610361563004</v>
      </c>
      <c r="Q138" s="18">
        <f t="shared" si="4"/>
        <v>6850</v>
      </c>
      <c r="XFD138">
        <f>0</f>
        <v>0</v>
      </c>
    </row>
    <row r="139" spans="2:17 16384:16384" x14ac:dyDescent="0.25">
      <c r="B139" s="11">
        <f>Model!J139</f>
        <v>132.69230769230768</v>
      </c>
      <c r="C139" s="15">
        <f>Model!K139</f>
        <v>6900</v>
      </c>
      <c r="D139" s="5">
        <f>Model!L139</f>
        <v>5.4596449782327081</v>
      </c>
      <c r="E139" s="6">
        <f>Model!M139</f>
        <v>5.5181328936392191</v>
      </c>
      <c r="F139" s="6">
        <f>Model!N139</f>
        <v>5.576818315193723</v>
      </c>
      <c r="G139" s="6">
        <f>Model!O139</f>
        <v>5.6356993172114329</v>
      </c>
      <c r="H139" s="6">
        <f>Model!P139</f>
        <v>5.6947739380557829</v>
      </c>
      <c r="I139" s="6">
        <f>Model!Q139</f>
        <v>5.7540401827251113</v>
      </c>
      <c r="J139" s="6">
        <f>Model!R139</f>
        <v>5.8134960254161694</v>
      </c>
      <c r="K139" s="6">
        <f>Model!S139</f>
        <v>5.8731394120595519</v>
      </c>
      <c r="L139" s="6">
        <f>Model!T139</f>
        <v>5.9329682628215021</v>
      </c>
      <c r="M139" s="6">
        <f>Model!U139</f>
        <v>5.9929804745677906</v>
      </c>
      <c r="N139" s="6">
        <f>Model!V139</f>
        <v>6.0531739232848896</v>
      </c>
      <c r="O139" s="6">
        <f>Model!W139</f>
        <v>6.1135464664547072</v>
      </c>
      <c r="P139" s="7">
        <f>Model!X139</f>
        <v>6.1740959453789444</v>
      </c>
      <c r="Q139" s="18">
        <f t="shared" si="4"/>
        <v>6900</v>
      </c>
      <c r="XFD139">
        <f>1</f>
        <v>1</v>
      </c>
    </row>
    <row r="140" spans="2:17 16384:16384" x14ac:dyDescent="0.25">
      <c r="B140" s="11">
        <f>Model!J140</f>
        <v>133.65384615384616</v>
      </c>
      <c r="C140" s="15">
        <f>Model!K140</f>
        <v>6950</v>
      </c>
      <c r="D140" s="5">
        <f>Model!L140</f>
        <v>5.4534662223106984</v>
      </c>
      <c r="E140" s="6">
        <f>Model!M140</f>
        <v>5.5116108340125418</v>
      </c>
      <c r="F140" s="6">
        <f>Model!N140</f>
        <v>5.5699511683456056</v>
      </c>
      <c r="G140" s="6">
        <f>Model!O140</f>
        <v>5.6284853162491206</v>
      </c>
      <c r="H140" s="6">
        <f>Model!P140</f>
        <v>5.6872113329553127</v>
      </c>
      <c r="I140" s="6">
        <f>Model!Q140</f>
        <v>5.7461272405573318</v>
      </c>
      <c r="J140" s="6">
        <f>Model!R140</f>
        <v>5.805231030554161</v>
      </c>
      <c r="K140" s="6">
        <f>Model!S140</f>
        <v>5.8645206663676444</v>
      </c>
      <c r="L140" s="6">
        <f>Model!T140</f>
        <v>5.9239940858261733</v>
      </c>
      <c r="M140" s="6">
        <f>Model!U140</f>
        <v>5.9836492036107032</v>
      </c>
      <c r="N140" s="6">
        <f>Model!V140</f>
        <v>6.0434839136583864</v>
      </c>
      <c r="O140" s="6">
        <f>Model!W140</f>
        <v>6.1034960915201175</v>
      </c>
      <c r="P140" s="7">
        <f>Model!X140</f>
        <v>6.1636835966680472</v>
      </c>
      <c r="Q140" s="18">
        <f t="shared" si="4"/>
        <v>6950</v>
      </c>
      <c r="XFD140">
        <f>0</f>
        <v>0</v>
      </c>
    </row>
    <row r="141" spans="2:17 16384:16384" x14ac:dyDescent="0.25">
      <c r="B141" s="11">
        <f>Model!J141</f>
        <v>134.61538461538461</v>
      </c>
      <c r="C141" s="15">
        <f>Model!K141</f>
        <v>7000</v>
      </c>
      <c r="D141" s="5">
        <f>Model!L141</f>
        <v>5.4473758153036957</v>
      </c>
      <c r="E141" s="6">
        <f>Model!M141</f>
        <v>5.505182056593843</v>
      </c>
      <c r="F141" s="6">
        <f>Model!N141</f>
        <v>5.5631822667996165</v>
      </c>
      <c r="G141" s="6">
        <f>Model!O141</f>
        <v>5.6213745532109769</v>
      </c>
      <c r="H141" s="6">
        <f>Model!P141</f>
        <v>5.6797569876520395</v>
      </c>
      <c r="I141" s="6">
        <f>Model!Q141</f>
        <v>5.7383276090305007</v>
      </c>
      <c r="J141" s="6">
        <f>Model!R141</f>
        <v>5.7970844258642291</v>
      </c>
      <c r="K141" s="6">
        <f>Model!S141</f>
        <v>5.856025418780197</v>
      </c>
      <c r="L141" s="6">
        <f>Model!T141</f>
        <v>5.9151485429802797</v>
      </c>
      <c r="M141" s="6">
        <f>Model!U141</f>
        <v>5.974451730669708</v>
      </c>
      <c r="N141" s="6">
        <f>Model!V141</f>
        <v>6.0339328934434029</v>
      </c>
      <c r="O141" s="6">
        <f>Model!W141</f>
        <v>6.093589924626599</v>
      </c>
      <c r="P141" s="7">
        <f>Model!X141</f>
        <v>6.1534207015657767</v>
      </c>
      <c r="Q141" s="18">
        <f t="shared" si="4"/>
        <v>7000</v>
      </c>
      <c r="XFD141">
        <f>1</f>
        <v>1</v>
      </c>
    </row>
    <row r="142" spans="2:17 16384:16384" x14ac:dyDescent="0.25">
      <c r="B142" s="11">
        <f>Model!J142</f>
        <v>135.57692307692307</v>
      </c>
      <c r="C142" s="15">
        <f>Model!K142</f>
        <v>7050</v>
      </c>
      <c r="D142" s="5">
        <f>Model!L142</f>
        <v>5.441371875737441</v>
      </c>
      <c r="E142" s="6">
        <f>Model!M142</f>
        <v>5.4988445743339458</v>
      </c>
      <c r="F142" s="6">
        <f>Model!N142</f>
        <v>5.5565095172065053</v>
      </c>
      <c r="G142" s="6">
        <f>Model!O142</f>
        <v>5.6143648277291547</v>
      </c>
      <c r="H142" s="6">
        <f>Model!P142</f>
        <v>5.6724085940477202</v>
      </c>
      <c r="I142" s="6">
        <f>Model!Q142</f>
        <v>5.7306388716109815</v>
      </c>
      <c r="J142" s="6">
        <f>Model!R142</f>
        <v>5.7890536856792476</v>
      </c>
      <c r="K142" s="6">
        <f>Model!S142</f>
        <v>5.8476510338054153</v>
      </c>
      <c r="L142" s="6">
        <f>Model!T142</f>
        <v>5.9064288882832123</v>
      </c>
      <c r="M142" s="6">
        <f>Model!U142</f>
        <v>5.9653851985582786</v>
      </c>
      <c r="N142" s="6">
        <f>Model!V142</f>
        <v>6.0245178935975208</v>
      </c>
      <c r="O142" s="6">
        <f>Model!W142</f>
        <v>6.0838248842130156</v>
      </c>
      <c r="P142" s="7">
        <f>Model!X142</f>
        <v>6.1433040653366415</v>
      </c>
      <c r="Q142" s="18">
        <f t="shared" si="4"/>
        <v>7050</v>
      </c>
      <c r="XFD142">
        <f>0</f>
        <v>0</v>
      </c>
    </row>
    <row r="143" spans="2:17 16384:16384" x14ac:dyDescent="0.25">
      <c r="B143" s="11">
        <f>Model!J143</f>
        <v>136.53846153846155</v>
      </c>
      <c r="C143" s="15">
        <f>Model!K143</f>
        <v>7100</v>
      </c>
      <c r="D143" s="5">
        <f>Model!L143</f>
        <v>5.4354525751847858</v>
      </c>
      <c r="E143" s="6">
        <f>Model!M143</f>
        <v>5.4925964562217917</v>
      </c>
      <c r="F143" s="6">
        <f>Model!N143</f>
        <v>5.5499308852691076</v>
      </c>
      <c r="G143" s="6">
        <f>Model!O143</f>
        <v>5.6074540015246495</v>
      </c>
      <c r="H143" s="6">
        <f>Model!P143</f>
        <v>5.665163909192243</v>
      </c>
      <c r="I143" s="6">
        <f>Model!Q143</f>
        <v>5.7230586799948941</v>
      </c>
      <c r="J143" s="6">
        <f>Model!R143</f>
        <v>5.781136355665538</v>
      </c>
      <c r="K143" s="6">
        <f>Model!S143</f>
        <v>5.8393949504105489</v>
      </c>
      <c r="L143" s="6">
        <f>Model!T143</f>
        <v>5.8978324533406301</v>
      </c>
      <c r="M143" s="6">
        <f>Model!U143</f>
        <v>5.9564468308648255</v>
      </c>
      <c r="N143" s="6">
        <f>Model!V143</f>
        <v>6.0152360290431126</v>
      </c>
      <c r="O143" s="6">
        <f>Model!W143</f>
        <v>6.0741979758938545</v>
      </c>
      <c r="P143" s="7">
        <f>Model!X143</f>
        <v>6.1333305836523415</v>
      </c>
      <c r="Q143" s="18">
        <f t="shared" si="4"/>
        <v>7100</v>
      </c>
      <c r="XFD143">
        <f>1</f>
        <v>1</v>
      </c>
    </row>
    <row r="144" spans="2:17 16384:16384" x14ac:dyDescent="0.25">
      <c r="B144" s="11">
        <f>Model!J144</f>
        <v>137.5</v>
      </c>
      <c r="C144" s="15">
        <f>Model!K144</f>
        <v>7150</v>
      </c>
      <c r="D144" s="5">
        <f>Model!L144</f>
        <v>5.429616136409205</v>
      </c>
      <c r="E144" s="6">
        <f>Model!M144</f>
        <v>5.4864358253228094</v>
      </c>
      <c r="F144" s="6">
        <f>Model!N144</f>
        <v>5.5434443936747027</v>
      </c>
      <c r="G144" s="6">
        <f>Model!O144</f>
        <v>5.6006399962326601</v>
      </c>
      <c r="H144" s="6">
        <f>Model!P144</f>
        <v>5.6580207530011677</v>
      </c>
      <c r="I144" s="6">
        <f>Model!Q144</f>
        <v>5.7155847517169303</v>
      </c>
      <c r="J144" s="6">
        <f>Model!R144</f>
        <v>5.7733300503221674</v>
      </c>
      <c r="K144" s="6">
        <f>Model!S144</f>
        <v>5.8312546794107849</v>
      </c>
      <c r="L144" s="6">
        <f>Model!T144</f>
        <v>5.8893566446421488</v>
      </c>
      <c r="M144" s="6">
        <f>Model!U144</f>
        <v>5.9476339291183287</v>
      </c>
      <c r="N144" s="6">
        <f>Model!V144</f>
        <v>6.0060844957201098</v>
      </c>
      <c r="O144" s="6">
        <f>Model!W144</f>
        <v>6.0647062893982859</v>
      </c>
      <c r="P144" s="7">
        <f>Model!X144</f>
        <v>6.123497239416329</v>
      </c>
      <c r="Q144" s="18">
        <f t="shared" si="4"/>
        <v>7150</v>
      </c>
      <c r="XFD144">
        <f>0</f>
        <v>0</v>
      </c>
    </row>
    <row r="145" spans="2:17 16384:16384" x14ac:dyDescent="0.25">
      <c r="B145" s="11">
        <f>Model!J145</f>
        <v>138.46153846153845</v>
      </c>
      <c r="C145" s="15">
        <f>Model!K145</f>
        <v>7200</v>
      </c>
      <c r="D145" s="5">
        <f>Model!L145</f>
        <v>5.4238608315857864</v>
      </c>
      <c r="E145" s="6">
        <f>Model!M145</f>
        <v>5.4803608568991162</v>
      </c>
      <c r="F145" s="6">
        <f>Model!N145</f>
        <v>5.5370481201135382</v>
      </c>
      <c r="G145" s="6">
        <f>Model!O145</f>
        <v>5.5939207913187436</v>
      </c>
      <c r="H145" s="6">
        <f>Model!P145</f>
        <v>5.6509770060685565</v>
      </c>
      <c r="I145" s="6">
        <f>Model!Q145</f>
        <v>5.7082148678590983</v>
      </c>
      <c r="J145" s="6">
        <f>Model!R145</f>
        <v>5.7656324505847545</v>
      </c>
      <c r="K145" s="6">
        <f>Model!S145</f>
        <v>5.8232278009673015</v>
      </c>
      <c r="L145" s="6">
        <f>Model!T145</f>
        <v>5.8809989409528427</v>
      </c>
      <c r="M145" s="6">
        <f>Model!U145</f>
        <v>5.9389438700724728</v>
      </c>
      <c r="N145" s="6">
        <f>Model!V145</f>
        <v>5.9970605677620048</v>
      </c>
      <c r="O145" s="6">
        <f>Model!W145</f>
        <v>6.0553469956372927</v>
      </c>
      <c r="P145" s="7">
        <f>Model!X145</f>
        <v>6.1138010997212842</v>
      </c>
      <c r="Q145" s="18">
        <f t="shared" si="4"/>
        <v>7200</v>
      </c>
      <c r="XFD145">
        <f>1</f>
        <v>1</v>
      </c>
    </row>
    <row r="146" spans="2:17 16384:16384" x14ac:dyDescent="0.25">
      <c r="B146" s="11">
        <f>Model!J146</f>
        <v>139.42307692307693</v>
      </c>
      <c r="C146" s="15">
        <f>Model!K146</f>
        <v>7250</v>
      </c>
      <c r="D146" s="5">
        <f>Model!L146</f>
        <v>5.4181849805958535</v>
      </c>
      <c r="E146" s="6">
        <f>Model!M146</f>
        <v>5.4743697766075741</v>
      </c>
      <c r="F146" s="6">
        <f>Model!N146</f>
        <v>5.5307401953795647</v>
      </c>
      <c r="G146" s="6">
        <f>Model!O146</f>
        <v>5.5872944220812562</v>
      </c>
      <c r="H146" s="6">
        <f>Model!P146</f>
        <v>5.6440306075704871</v>
      </c>
      <c r="I146" s="6">
        <f>Model!Q146</f>
        <v>5.7009468708544446</v>
      </c>
      <c r="J146" s="6">
        <f>Model!R146</f>
        <v>5.7580413015286149</v>
      </c>
      <c r="K146" s="6">
        <f>Model!S146</f>
        <v>5.815311962189103</v>
      </c>
      <c r="L146" s="6">
        <f>Model!T146</f>
        <v>5.8727568908129779</v>
      </c>
      <c r="M146" s="6">
        <f>Model!U146</f>
        <v>5.9303741031025723</v>
      </c>
      <c r="N146" s="6">
        <f>Model!V146</f>
        <v>5.988161594789192</v>
      </c>
      <c r="O146" s="6">
        <f>Model!W146</f>
        <v>6.0461173438926679</v>
      </c>
      <c r="P146" s="7">
        <f>Model!X146</f>
        <v>6.104239312933025</v>
      </c>
      <c r="Q146" s="18">
        <f t="shared" si="4"/>
        <v>7250</v>
      </c>
      <c r="XFD146">
        <f>0</f>
        <v>0</v>
      </c>
    </row>
    <row r="147" spans="2:17 16384:16384" x14ac:dyDescent="0.25">
      <c r="B147" s="11">
        <f>Model!J147</f>
        <v>140.38461538461539</v>
      </c>
      <c r="C147" s="15">
        <f>Model!K147</f>
        <v>7300</v>
      </c>
      <c r="D147" s="5">
        <f>Model!L147</f>
        <v>5.4125869493918</v>
      </c>
      <c r="E147" s="6">
        <f>Model!M147</f>
        <v>5.4684608587720422</v>
      </c>
      <c r="F147" s="6">
        <f>Model!N147</f>
        <v>5.524518801549247</v>
      </c>
      <c r="G147" s="6">
        <f>Model!O147</f>
        <v>5.5807589777361324</v>
      </c>
      <c r="H147" s="6">
        <f>Model!P147</f>
        <v>5.6371795532549065</v>
      </c>
      <c r="I147" s="6">
        <f>Model!Q147</f>
        <v>5.6937786623812627</v>
      </c>
      <c r="J147" s="6">
        <f>Model!R147</f>
        <v>5.7505544101666066</v>
      </c>
      <c r="K147" s="6">
        <f>Model!S147</f>
        <v>5.8075048748337377</v>
      </c>
      <c r="L147" s="6">
        <f>Model!T147</f>
        <v>5.8646281101408784</v>
      </c>
      <c r="M147" s="6">
        <f>Model!U147</f>
        <v>5.9219221477098438</v>
      </c>
      <c r="N147" s="6">
        <f>Model!V147</f>
        <v>5.9793849993139299</v>
      </c>
      <c r="O147" s="6">
        <f>Model!W147</f>
        <v>6.0370146591219775</v>
      </c>
      <c r="P147" s="7">
        <f>Model!X147</f>
        <v>6.0948091058948251</v>
      </c>
      <c r="Q147" s="18">
        <f t="shared" si="4"/>
        <v>7300</v>
      </c>
      <c r="XFD147">
        <f>1</f>
        <v>1</v>
      </c>
    </row>
    <row r="148" spans="2:17 16384:16384" ht="15.75" thickBot="1" x14ac:dyDescent="0.3">
      <c r="B148" s="12">
        <f>Model!J148</f>
        <v>141.34615384615384</v>
      </c>
      <c r="C148" s="16">
        <f>Model!K148</f>
        <v>7350</v>
      </c>
      <c r="D148" s="8">
        <f>Model!L148</f>
        <v>5.4070651484286358</v>
      </c>
      <c r="E148" s="9">
        <f>Model!M148</f>
        <v>5.4626324247261344</v>
      </c>
      <c r="F148" s="9">
        <f>Model!N148</f>
        <v>5.5183821702348848</v>
      </c>
      <c r="G148" s="9">
        <f>Model!O148</f>
        <v>5.5743125995798888</v>
      </c>
      <c r="H148" s="9">
        <f>Model!P148</f>
        <v>5.6304218935136383</v>
      </c>
      <c r="I148" s="9">
        <f>Model!Q148</f>
        <v>5.6867082013434267</v>
      </c>
      <c r="J148" s="9">
        <f>Model!R148</f>
        <v>5.7431696433370316</v>
      </c>
      <c r="K148" s="9">
        <f>Model!S148</f>
        <v>5.7998043131020784</v>
      </c>
      <c r="L148" s="9">
        <f>Model!T148</f>
        <v>5.8566102799339008</v>
      </c>
      <c r="M148" s="9">
        <f>Model!U148</f>
        <v>5.9135855911278687</v>
      </c>
      <c r="N148" s="9">
        <f>Model!V148</f>
        <v>5.970728274251659</v>
      </c>
      <c r="O148" s="9">
        <f>Model!W148</f>
        <v>6.0280363393740224</v>
      </c>
      <c r="P148" s="10">
        <f>Model!X148</f>
        <v>6.0855077812462781</v>
      </c>
      <c r="Q148" s="18">
        <f t="shared" si="4"/>
        <v>7350</v>
      </c>
      <c r="XFD148">
        <f>0</f>
        <v>0</v>
      </c>
    </row>
  </sheetData>
  <sheetProtection sheet="1" objects="1" scenarios="1"/>
  <mergeCells count="3">
    <mergeCell ref="D1:P1"/>
    <mergeCell ref="C1:C2"/>
    <mergeCell ref="B1:B2"/>
  </mergeCells>
  <conditionalFormatting sqref="B3:P148">
    <cfRule type="expression" dxfId="0" priority="1">
      <formula>ISODD(ROW(A3))</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AEFA28-B156-4467-8B19-93C5D4CF0F4F}">
  <dimension ref="A1:Z149"/>
  <sheetViews>
    <sheetView zoomScale="70" zoomScaleNormal="70" workbookViewId="0">
      <selection activeCell="L3" sqref="L3"/>
    </sheetView>
  </sheetViews>
  <sheetFormatPr defaultColWidth="0" defaultRowHeight="15" zeroHeight="1" x14ac:dyDescent="0.25"/>
  <cols>
    <col min="1" max="1" width="53.7109375" style="34" bestFit="1" customWidth="1"/>
    <col min="2" max="2" width="27.7109375" style="34" bestFit="1" customWidth="1"/>
    <col min="3" max="3" width="39.28515625" style="1" customWidth="1"/>
    <col min="4" max="4" width="15.7109375" style="1" bestFit="1" customWidth="1"/>
    <col min="5" max="5" width="18" style="1" customWidth="1"/>
    <col min="6" max="6" width="19.140625" style="1" customWidth="1"/>
    <col min="7" max="7" width="22.140625" style="1" customWidth="1"/>
    <col min="8" max="8" width="15.28515625" style="1" bestFit="1" customWidth="1"/>
    <col min="9" max="9" width="17.140625" style="1" customWidth="1"/>
    <col min="10" max="10" width="25.5703125" style="34" customWidth="1"/>
    <col min="11" max="11" width="25.5703125" style="114" bestFit="1" customWidth="1"/>
    <col min="12" max="12" width="9.28515625" style="34" customWidth="1"/>
    <col min="13" max="24" width="9.140625" style="34" customWidth="1"/>
    <col min="25" max="25" width="0" style="34" hidden="1" customWidth="1"/>
    <col min="26" max="26" width="0" style="102" hidden="1" customWidth="1"/>
    <col min="27" max="16384" width="9.140625" style="34" hidden="1"/>
  </cols>
  <sheetData>
    <row r="1" spans="1:26" x14ac:dyDescent="0.25">
      <c r="A1" s="70" t="s">
        <v>25</v>
      </c>
      <c r="B1" s="83"/>
      <c r="C1" s="34"/>
      <c r="D1" s="34"/>
      <c r="E1" s="34"/>
      <c r="F1" s="34"/>
      <c r="G1" s="34"/>
      <c r="H1" s="34"/>
      <c r="I1" s="34"/>
      <c r="J1" s="145" t="s">
        <v>55</v>
      </c>
      <c r="K1" s="99" t="s">
        <v>54</v>
      </c>
      <c r="L1" s="100"/>
      <c r="M1" s="100"/>
      <c r="N1" s="100"/>
      <c r="O1" s="100"/>
      <c r="P1" s="100"/>
      <c r="Q1" s="100"/>
      <c r="R1" s="100"/>
      <c r="S1" s="100"/>
      <c r="T1" s="100"/>
      <c r="U1" s="100"/>
      <c r="V1" s="100"/>
      <c r="W1" s="100"/>
      <c r="X1" s="101"/>
    </row>
    <row r="2" spans="1:26" x14ac:dyDescent="0.25">
      <c r="A2" s="37" t="s">
        <v>26</v>
      </c>
      <c r="B2" s="84"/>
      <c r="C2" s="34"/>
      <c r="D2" s="34"/>
      <c r="E2" s="34"/>
      <c r="F2" s="34"/>
      <c r="G2" s="34"/>
      <c r="H2" s="34"/>
      <c r="I2" s="34"/>
      <c r="J2" s="146"/>
      <c r="K2" s="103">
        <f>B26</f>
        <v>7.390837881065103</v>
      </c>
      <c r="L2" s="104">
        <v>0.03</v>
      </c>
      <c r="M2" s="104">
        <v>3.5000000000000003E-2</v>
      </c>
      <c r="N2" s="104">
        <v>0.04</v>
      </c>
      <c r="O2" s="104">
        <v>4.4999999999999998E-2</v>
      </c>
      <c r="P2" s="104">
        <v>0.05</v>
      </c>
      <c r="Q2" s="104">
        <v>5.5E-2</v>
      </c>
      <c r="R2" s="104">
        <v>0.06</v>
      </c>
      <c r="S2" s="104">
        <v>6.5000000000000002E-2</v>
      </c>
      <c r="T2" s="104">
        <v>7.0000000000000007E-2</v>
      </c>
      <c r="U2" s="104">
        <v>7.4999999999999997E-2</v>
      </c>
      <c r="V2" s="104">
        <v>0.08</v>
      </c>
      <c r="W2" s="104">
        <v>8.5000000000000006E-2</v>
      </c>
      <c r="X2" s="105">
        <v>9.0000000000000094E-2</v>
      </c>
      <c r="Y2" s="34" t="s">
        <v>71</v>
      </c>
      <c r="Z2" s="102" t="s">
        <v>72</v>
      </c>
    </row>
    <row r="3" spans="1:26" ht="15.75" thickBot="1" x14ac:dyDescent="0.3">
      <c r="A3" s="37"/>
      <c r="B3" s="84"/>
      <c r="C3" s="34"/>
      <c r="D3" s="34"/>
      <c r="E3" s="34"/>
      <c r="F3" s="34"/>
      <c r="G3" s="34"/>
      <c r="H3" s="34"/>
      <c r="I3" s="34"/>
      <c r="J3" s="115">
        <f>K3/$B$7</f>
        <v>1.9230769230769231</v>
      </c>
      <c r="K3" s="106">
        <v>100</v>
      </c>
      <c r="L3" s="107">
        <f t="dataTable" ref="L3:X148" dt2D="1" dtr="1" r1="B5" r2="B4"/>
        <v>89.386309830363942</v>
      </c>
      <c r="M3" s="107">
        <v>93.7608029090038</v>
      </c>
      <c r="N3" s="107">
        <v>98.166296125539617</v>
      </c>
      <c r="O3" s="107">
        <v>102.59454727557215</v>
      </c>
      <c r="P3" s="107">
        <v>107.04078217204427</v>
      </c>
      <c r="Q3" s="107">
        <v>111.5022962891189</v>
      </c>
      <c r="R3" s="107">
        <v>115.9775642012726</v>
      </c>
      <c r="S3" s="107">
        <v>120.46571030928411</v>
      </c>
      <c r="T3" s="107">
        <v>124.96620850464869</v>
      </c>
      <c r="U3" s="107">
        <v>129.47871714280953</v>
      </c>
      <c r="V3" s="107">
        <v>134.00299043862961</v>
      </c>
      <c r="W3" s="107">
        <v>138.5388317067121</v>
      </c>
      <c r="X3" s="108">
        <v>143.08606901744849</v>
      </c>
      <c r="Y3" s="109">
        <f>'Inputs and summary'!$B$2</f>
        <v>7.5</v>
      </c>
      <c r="Z3" s="110" cm="1">
        <f t="array" ref="Z3">INDEX($L$3:$X$148, ROW()-ROW(L$3)+1, _xlfn.XMATCH('Inputs and summary'!$B$3, Model!L$2:X$2, 0))</f>
        <v>134.00299043862961</v>
      </c>
    </row>
    <row r="4" spans="1:26" x14ac:dyDescent="0.25">
      <c r="A4" s="78" t="s">
        <v>39</v>
      </c>
      <c r="B4" s="85">
        <f>'Inputs and summary'!B7</f>
        <v>4000</v>
      </c>
      <c r="C4" s="34"/>
      <c r="D4" s="34"/>
      <c r="E4" s="34"/>
      <c r="F4" s="34"/>
      <c r="G4" s="34"/>
      <c r="H4" s="34"/>
      <c r="I4" s="34"/>
      <c r="J4" s="115">
        <f t="shared" ref="J4:J67" si="0">K4/$B$7</f>
        <v>2.8846153846153846</v>
      </c>
      <c r="K4" s="106">
        <v>150</v>
      </c>
      <c r="L4" s="107">
        <v>60.571382903050235</v>
      </c>
      <c r="M4" s="107">
        <v>63.425500600432144</v>
      </c>
      <c r="N4" s="107">
        <v>66.315433325103371</v>
      </c>
      <c r="O4" s="107">
        <v>69.233548277268923</v>
      </c>
      <c r="P4" s="107">
        <v>72.173986589563796</v>
      </c>
      <c r="Q4" s="107">
        <v>75.132395543209896</v>
      </c>
      <c r="R4" s="107">
        <v>78.105620370459519</v>
      </c>
      <c r="S4" s="107">
        <v>81.091414865757358</v>
      </c>
      <c r="T4" s="107">
        <v>84.088197711282504</v>
      </c>
      <c r="U4" s="107">
        <v>87.09486100489255</v>
      </c>
      <c r="V4" s="107">
        <v>90.110626821155719</v>
      </c>
      <c r="W4" s="107">
        <v>93.134943409819641</v>
      </c>
      <c r="X4" s="108">
        <v>96.167411996850674</v>
      </c>
      <c r="Y4" s="109">
        <f>'Inputs and summary'!$B$2</f>
        <v>7.5</v>
      </c>
      <c r="Z4" s="110" cm="1">
        <f t="array" ref="Z4">INDEX($L$3:$X$148, ROW()-ROW(L$3)+1, _xlfn.XMATCH('Inputs and summary'!$B$3, Model!L$2:X$2, 0))</f>
        <v>90.110626821155719</v>
      </c>
    </row>
    <row r="5" spans="1:26" ht="15.75" thickBot="1" x14ac:dyDescent="0.3">
      <c r="A5" s="77" t="s">
        <v>0</v>
      </c>
      <c r="B5" s="86">
        <f>'Inputs and summary'!B3</f>
        <v>0.08</v>
      </c>
      <c r="C5" s="34"/>
      <c r="D5" s="34"/>
      <c r="E5" s="34"/>
      <c r="F5" s="34"/>
      <c r="G5" s="34"/>
      <c r="H5" s="34"/>
      <c r="I5" s="34"/>
      <c r="J5" s="115">
        <f t="shared" si="0"/>
        <v>3.8461538461538463</v>
      </c>
      <c r="K5" s="106">
        <v>200</v>
      </c>
      <c r="L5" s="107">
        <v>46.276789067433029</v>
      </c>
      <c r="M5" s="107">
        <v>48.370060585118118</v>
      </c>
      <c r="N5" s="107">
        <v>50.494824824358453</v>
      </c>
      <c r="O5" s="107">
        <v>52.646411460253063</v>
      </c>
      <c r="P5" s="107">
        <v>54.82071129142939</v>
      </c>
      <c r="Q5" s="107">
        <v>57.01421574694475</v>
      </c>
      <c r="R5" s="107">
        <v>59.224002028378301</v>
      </c>
      <c r="S5" s="107">
        <v>61.447683755829473</v>
      </c>
      <c r="T5" s="107">
        <v>63.683343690739605</v>
      </c>
      <c r="U5" s="107">
        <v>65.929460733973031</v>
      </c>
      <c r="V5" s="107">
        <v>68.184839184015203</v>
      </c>
      <c r="W5" s="107">
        <v>70.448544799124988</v>
      </c>
      <c r="X5" s="108">
        <v>72.719849707319696</v>
      </c>
      <c r="Y5" s="109">
        <f>'Inputs and summary'!$B$2</f>
        <v>7.5</v>
      </c>
      <c r="Z5" s="110" cm="1">
        <f t="array" ref="Z5">INDEX($L$3:$X$148, ROW()-ROW(L$3)+1, _xlfn.XMATCH('Inputs and summary'!$B$3, Model!L$2:X$2, 0))</f>
        <v>68.184839184015203</v>
      </c>
    </row>
    <row r="6" spans="1:26" x14ac:dyDescent="0.25">
      <c r="A6" s="37" t="s">
        <v>28</v>
      </c>
      <c r="B6" s="87">
        <f>Time_recharging_battery__hours+Pumping_in_and_mixing__hours</f>
        <v>0.25</v>
      </c>
      <c r="C6" s="34"/>
      <c r="D6" s="34"/>
      <c r="E6" s="34"/>
      <c r="F6" s="34"/>
      <c r="G6" s="34"/>
      <c r="H6" s="34"/>
      <c r="I6" s="34"/>
      <c r="J6" s="115">
        <f t="shared" si="0"/>
        <v>4.8076923076923075</v>
      </c>
      <c r="K6" s="106">
        <v>250</v>
      </c>
      <c r="L6" s="107">
        <v>37.75710565699282</v>
      </c>
      <c r="M6" s="107">
        <v>39.401038087274117</v>
      </c>
      <c r="N6" s="107">
        <v>41.070576924096926</v>
      </c>
      <c r="O6" s="107">
        <v>42.763016733046243</v>
      </c>
      <c r="P6" s="107">
        <v>44.475795665574203</v>
      </c>
      <c r="Q6" s="107">
        <v>46.206550401746426</v>
      </c>
      <c r="R6" s="107">
        <v>47.953148407024663</v>
      </c>
      <c r="S6" s="107">
        <v>49.713701112024403</v>
      </c>
      <c r="T6" s="107">
        <v>51.486562309571049</v>
      </c>
      <c r="U6" s="107">
        <v>53.270316042434374</v>
      </c>
      <c r="V6" s="107">
        <v>55.063757783540439</v>
      </c>
      <c r="W6" s="107">
        <v>56.865872014668277</v>
      </c>
      <c r="X6" s="108">
        <v>58.675808558767301</v>
      </c>
      <c r="Y6" s="109">
        <f>'Inputs and summary'!$B$2</f>
        <v>7.5</v>
      </c>
      <c r="Z6" s="110" cm="1">
        <f t="array" ref="Z6">INDEX($L$3:$X$148, ROW()-ROW(L$3)+1, _xlfn.XMATCH('Inputs and summary'!$B$3, Model!L$2:X$2, 0))</f>
        <v>55.063757783540439</v>
      </c>
    </row>
    <row r="7" spans="1:26" x14ac:dyDescent="0.25">
      <c r="A7" s="37" t="s">
        <v>18</v>
      </c>
      <c r="B7" s="87">
        <f>Acres_applied_per_flight/Recharge_of_a_battery___pumping__hours*'Inputs and summary'!B4</f>
        <v>52</v>
      </c>
      <c r="C7" s="34"/>
      <c r="D7" s="34"/>
      <c r="E7" s="34"/>
      <c r="F7" s="34"/>
      <c r="G7" s="34"/>
      <c r="H7" s="34"/>
      <c r="I7" s="34"/>
      <c r="J7" s="115">
        <f t="shared" si="0"/>
        <v>5.7692307692307692</v>
      </c>
      <c r="K7" s="106">
        <v>300</v>
      </c>
      <c r="L7" s="107">
        <v>32.106664616223178</v>
      </c>
      <c r="M7" s="107">
        <v>33.456924570796374</v>
      </c>
      <c r="N7" s="107">
        <v>34.827767787439718</v>
      </c>
      <c r="O7" s="107">
        <v>36.21758049106689</v>
      </c>
      <c r="P7" s="107">
        <v>37.624768196171573</v>
      </c>
      <c r="Q7" s="107">
        <v>39.047790805725143</v>
      </c>
      <c r="R7" s="107">
        <v>40.485189382090255</v>
      </c>
      <c r="S7" s="107">
        <v>41.935604857491647</v>
      </c>
      <c r="T7" s="107">
        <v>43.397789454925899</v>
      </c>
      <c r="U7" s="107">
        <v>44.870611894200174</v>
      </c>
      <c r="V7" s="107">
        <v>46.353057588198723</v>
      </c>
      <c r="W7" s="107">
        <v>47.844225030722768</v>
      </c>
      <c r="X7" s="108">
        <v>49.343319481493786</v>
      </c>
      <c r="Y7" s="109">
        <f>'Inputs and summary'!$B$2</f>
        <v>7.5</v>
      </c>
      <c r="Z7" s="110" cm="1">
        <f t="array" ref="Z7">INDEX($L$3:$X$148, ROW()-ROW(L$3)+1, _xlfn.XMATCH('Inputs and summary'!$B$3, Model!L$2:X$2, 0))</f>
        <v>46.353057588198723</v>
      </c>
    </row>
    <row r="8" spans="1:26" x14ac:dyDescent="0.25">
      <c r="A8" s="37" t="s">
        <v>43</v>
      </c>
      <c r="B8" s="87">
        <f>Applied_acres_per_year/Acres_applied_per_charge_cycle</f>
        <v>615.38461538461536</v>
      </c>
      <c r="C8" s="34"/>
      <c r="D8" s="34"/>
      <c r="E8" s="34"/>
      <c r="F8" s="34"/>
      <c r="G8" s="34"/>
      <c r="H8" s="34"/>
      <c r="I8" s="34"/>
      <c r="J8" s="115">
        <f t="shared" si="0"/>
        <v>6.7307692307692308</v>
      </c>
      <c r="K8" s="106">
        <v>350</v>
      </c>
      <c r="L8" s="107">
        <v>28.086731504420243</v>
      </c>
      <c r="M8" s="107">
        <v>29.231175009593883</v>
      </c>
      <c r="N8" s="107">
        <v>30.392318383350542</v>
      </c>
      <c r="O8" s="107">
        <v>31.569151566591586</v>
      </c>
      <c r="P8" s="107">
        <v>32.760650531777074</v>
      </c>
      <c r="Q8" s="107">
        <v>33.965797486835328</v>
      </c>
      <c r="R8" s="107">
        <v>35.183597996929265</v>
      </c>
      <c r="S8" s="107">
        <v>36.413094820544288</v>
      </c>
      <c r="T8" s="107">
        <v>37.653378476545754</v>
      </c>
      <c r="U8" s="107">
        <v>38.903594730196275</v>
      </c>
      <c r="V8" s="107">
        <v>40.162949306039955</v>
      </c>
      <c r="W8" s="107">
        <v>41.430710207289053</v>
      </c>
      <c r="X8" s="108">
        <v>42.706208051826351</v>
      </c>
      <c r="Y8" s="109">
        <f>'Inputs and summary'!$B$2</f>
        <v>7.5</v>
      </c>
      <c r="Z8" s="110" cm="1">
        <f t="array" ref="Z8">INDEX($L$3:$X$148, ROW()-ROW(L$3)+1, _xlfn.XMATCH('Inputs and summary'!$B$3, Model!L$2:X$2, 0))</f>
        <v>40.162949306039955</v>
      </c>
    </row>
    <row r="9" spans="1:26" x14ac:dyDescent="0.25">
      <c r="A9" s="37" t="s">
        <v>17</v>
      </c>
      <c r="B9" s="87">
        <f>Charges_of_lifespan__batteries/Charge_cycles_per_year</f>
        <v>1.625</v>
      </c>
      <c r="C9" s="34"/>
      <c r="D9" s="34"/>
      <c r="E9" s="34"/>
      <c r="F9" s="34"/>
      <c r="G9" s="34"/>
      <c r="H9" s="34"/>
      <c r="I9" s="34"/>
      <c r="J9" s="115">
        <f t="shared" si="0"/>
        <v>7.6923076923076925</v>
      </c>
      <c r="K9" s="106">
        <v>400</v>
      </c>
      <c r="L9" s="107">
        <v>25.081200689472048</v>
      </c>
      <c r="M9" s="107">
        <v>26.073860526973</v>
      </c>
      <c r="N9" s="107">
        <v>27.080275058387496</v>
      </c>
      <c r="O9" s="107">
        <v>28.099780320120573</v>
      </c>
      <c r="P9" s="107">
        <v>29.131692327392216</v>
      </c>
      <c r="Q9" s="107">
        <v>30.175318695053008</v>
      </c>
      <c r="R9" s="107">
        <v>31.22996907127288</v>
      </c>
      <c r="S9" s="107">
        <v>32.294964201161918</v>
      </c>
      <c r="T9" s="107">
        <v>33.369643527379345</v>
      </c>
      <c r="U9" s="107">
        <v>34.453371313529452</v>
      </c>
      <c r="V9" s="107">
        <v>35.545541340562998</v>
      </c>
      <c r="W9" s="107">
        <v>36.645580275316803</v>
      </c>
      <c r="X9" s="108">
        <v>37.752949844021877</v>
      </c>
      <c r="Y9" s="109">
        <f>'Inputs and summary'!$B$2</f>
        <v>7.5</v>
      </c>
      <c r="Z9" s="110" cm="1">
        <f t="array" ref="Z9">INDEX($L$3:$X$148, ROW()-ROW(L$3)+1, _xlfn.XMATCH('Inputs and summary'!$B$3, Model!L$2:X$2, 0))</f>
        <v>35.545541340562998</v>
      </c>
    </row>
    <row r="10" spans="1:26" x14ac:dyDescent="0.25">
      <c r="A10" s="37" t="s">
        <v>19</v>
      </c>
      <c r="B10" s="87">
        <f>Applied_acres_per_year/Acres_applied_per_hour</f>
        <v>76.92307692307692</v>
      </c>
      <c r="C10" s="34"/>
      <c r="D10" s="34"/>
      <c r="E10" s="34"/>
      <c r="F10" s="34"/>
      <c r="G10" s="34"/>
      <c r="H10" s="34"/>
      <c r="I10" s="34"/>
      <c r="J10" s="115">
        <f t="shared" si="0"/>
        <v>8.6538461538461533</v>
      </c>
      <c r="K10" s="106">
        <v>450</v>
      </c>
      <c r="L10" s="107">
        <v>22.749396466998014</v>
      </c>
      <c r="M10" s="107">
        <v>23.625709396393166</v>
      </c>
      <c r="N10" s="107">
        <v>24.513531322516961</v>
      </c>
      <c r="O10" s="107">
        <v>25.412405714981308</v>
      </c>
      <c r="P10" s="107">
        <v>26.321857597843621</v>
      </c>
      <c r="Q10" s="107">
        <v>27.241400420913315</v>
      </c>
      <c r="R10" s="107">
        <v>28.170542453454651</v>
      </c>
      <c r="S10" s="107">
        <v>29.108792583811308</v>
      </c>
      <c r="T10" s="107">
        <v>30.055665445999942</v>
      </c>
      <c r="U10" s="107">
        <v>31.010685829556575</v>
      </c>
      <c r="V10" s="107">
        <v>31.973392360286166</v>
      </c>
      <c r="W10" s="107">
        <v>32.943340466075192</v>
      </c>
      <c r="X10" s="108">
        <v>33.920104663087479</v>
      </c>
      <c r="Y10" s="109">
        <f>'Inputs and summary'!$B$2</f>
        <v>7.5</v>
      </c>
      <c r="Z10" s="110" cm="1">
        <f t="array" ref="Z10">INDEX($L$3:$X$148, ROW()-ROW(L$3)+1, _xlfn.XMATCH('Inputs and summary'!$B$3, Model!L$2:X$2, 0))</f>
        <v>31.973392360286166</v>
      </c>
    </row>
    <row r="11" spans="1:26" x14ac:dyDescent="0.25">
      <c r="A11" s="37" t="s">
        <v>20</v>
      </c>
      <c r="B11" s="87">
        <f>Acres_applied_per_hour/Acres_applied_per_flight</f>
        <v>8</v>
      </c>
      <c r="C11" s="34"/>
      <c r="D11" s="34"/>
      <c r="E11" s="34"/>
      <c r="F11" s="34"/>
      <c r="G11" s="34"/>
      <c r="H11" s="34"/>
      <c r="I11" s="34"/>
      <c r="J11" s="115">
        <f t="shared" si="0"/>
        <v>9.615384615384615</v>
      </c>
      <c r="K11" s="106">
        <v>500</v>
      </c>
      <c r="L11" s="107">
        <v>20.887737739040475</v>
      </c>
      <c r="M11" s="107">
        <v>21.672131373050664</v>
      </c>
      <c r="N11" s="107">
        <v>22.466298446482366</v>
      </c>
      <c r="O11" s="107">
        <v>23.269912294137498</v>
      </c>
      <c r="P11" s="107">
        <v>24.082631021985744</v>
      </c>
      <c r="Q11" s="107">
        <v>24.904101716576047</v>
      </c>
      <c r="R11" s="107">
        <v>25.733964454868037</v>
      </c>
      <c r="S11" s="107">
        <v>26.571856045427023</v>
      </c>
      <c r="T11" s="107">
        <v>27.417413448308167</v>
      </c>
      <c r="U11" s="107">
        <v>28.27027683708976</v>
      </c>
      <c r="V11" s="107">
        <v>29.130092281673573</v>
      </c>
      <c r="W11" s="107">
        <v>29.99651404412619</v>
      </c>
      <c r="X11" s="108">
        <v>30.869206491620794</v>
      </c>
      <c r="Y11" s="109">
        <f>'Inputs and summary'!$B$2</f>
        <v>7.5</v>
      </c>
      <c r="Z11" s="110" cm="1">
        <f t="array" ref="Z11">INDEX($L$3:$X$148, ROW()-ROW(L$3)+1, _xlfn.XMATCH('Inputs and summary'!$B$3, Model!L$2:X$2, 0))</f>
        <v>29.130092281673573</v>
      </c>
    </row>
    <row r="12" spans="1:26" x14ac:dyDescent="0.25">
      <c r="A12" s="37" t="s">
        <v>21</v>
      </c>
      <c r="B12" s="87">
        <f>1/Flights_per_hour*'Inputs and summary'!B4</f>
        <v>0.25</v>
      </c>
      <c r="C12" s="34"/>
      <c r="D12" s="34"/>
      <c r="E12" s="34"/>
      <c r="F12" s="34"/>
      <c r="G12" s="34"/>
      <c r="H12" s="34"/>
      <c r="I12" s="34"/>
      <c r="J12" s="115">
        <f t="shared" si="0"/>
        <v>10.576923076923077</v>
      </c>
      <c r="K12" s="106">
        <v>550</v>
      </c>
      <c r="L12" s="107">
        <v>19.36711845515773</v>
      </c>
      <c r="M12" s="107">
        <v>20.077112210810107</v>
      </c>
      <c r="N12" s="107">
        <v>20.795516940737503</v>
      </c>
      <c r="O12" s="107">
        <v>21.522090598002215</v>
      </c>
      <c r="P12" s="107">
        <v>22.256579011416257</v>
      </c>
      <c r="Q12" s="107">
        <v>22.998718559241397</v>
      </c>
      <c r="R12" s="107">
        <v>23.748238757054033</v>
      </c>
      <c r="S12" s="107">
        <v>24.50486471913905</v>
      </c>
      <c r="T12" s="107">
        <v>25.26831946032403</v>
      </c>
      <c r="U12" s="107">
        <v>26.038326012854768</v>
      </c>
      <c r="V12" s="107">
        <v>26.814609340408303</v>
      </c>
      <c r="W12" s="107">
        <v>27.596898038388598</v>
      </c>
      <c r="X12" s="108">
        <v>28.384925816041218</v>
      </c>
      <c r="Y12" s="109">
        <f>'Inputs and summary'!$B$2</f>
        <v>7.5</v>
      </c>
      <c r="Z12" s="110" cm="1">
        <f t="array" ref="Z12">INDEX($L$3:$X$148, ROW()-ROW(L$3)+1, _xlfn.XMATCH('Inputs and summary'!$B$3, Model!L$2:X$2, 0))</f>
        <v>26.814609340408303</v>
      </c>
    </row>
    <row r="13" spans="1:26" ht="15.75" thickBot="1" x14ac:dyDescent="0.3">
      <c r="A13" s="77" t="str">
        <f xml:space="preserve"> "Battery: Years of use to achieve " &amp; Charges_of_lifespan__batteries &amp;" charge cycles"</f>
        <v>Battery: Years of use to achieve 1000 charge cycles</v>
      </c>
      <c r="B13" s="88">
        <f>Charges_of_lifespan__batteries/(Charge_cycles_per_year/(N_of_batteries_included_with_drone))</f>
        <v>8.125</v>
      </c>
      <c r="C13" s="35" t="str">
        <f>IF(B13&gt;5, "Your batteries will be replaced in five years, before reaching " &amp; Charges_of_lifespan__batteries &amp; " charge cycles, due to degradation",)</f>
        <v>Your batteries will be replaced in five years, before reaching 1000 charge cycles, due to degradation</v>
      </c>
      <c r="D13" s="34"/>
      <c r="E13" s="34"/>
      <c r="F13" s="34"/>
      <c r="G13" s="34"/>
      <c r="H13" s="34"/>
      <c r="I13" s="34"/>
      <c r="J13" s="115">
        <f t="shared" si="0"/>
        <v>11.538461538461538</v>
      </c>
      <c r="K13" s="106">
        <v>600</v>
      </c>
      <c r="L13" s="107">
        <v>18.101720804172572</v>
      </c>
      <c r="M13" s="107">
        <v>18.750290947876579</v>
      </c>
      <c r="N13" s="107">
        <v>19.406185680044878</v>
      </c>
      <c r="O13" s="107">
        <v>20.069220099303767</v>
      </c>
      <c r="P13" s="107">
        <v>20.739199750437052</v>
      </c>
      <c r="Q13" s="107">
        <v>21.415922382112942</v>
      </c>
      <c r="R13" s="107">
        <v>22.099179667032324</v>
      </c>
      <c r="S13" s="107">
        <v>22.788758860248109</v>
      </c>
      <c r="T13" s="107">
        <v>23.484444375077551</v>
      </c>
      <c r="U13" s="107">
        <v>24.186019259864352</v>
      </c>
      <c r="V13" s="107">
        <v>24.893266562683856</v>
      </c>
      <c r="W13" s="107">
        <v>25.605970574804736</v>
      </c>
      <c r="X13" s="108">
        <v>26.323917947209043</v>
      </c>
      <c r="Y13" s="109">
        <f>'Inputs and summary'!$B$2</f>
        <v>7.5</v>
      </c>
      <c r="Z13" s="110" cm="1">
        <f t="array" ref="Z13">INDEX($L$3:$X$148, ROW()-ROW(L$3)+1, _xlfn.XMATCH('Inputs and summary'!$B$3, Model!L$2:X$2, 0))</f>
        <v>24.893266562683856</v>
      </c>
    </row>
    <row r="14" spans="1:26" ht="15.75" thickBot="1" x14ac:dyDescent="0.3">
      <c r="A14" s="35"/>
      <c r="C14" s="34"/>
      <c r="D14" s="34"/>
      <c r="E14" s="34"/>
      <c r="F14" s="36"/>
      <c r="G14" s="34"/>
      <c r="H14" s="34"/>
      <c r="I14" s="34"/>
      <c r="J14" s="115">
        <f t="shared" si="0"/>
        <v>12.5</v>
      </c>
      <c r="K14" s="106">
        <v>650</v>
      </c>
      <c r="L14" s="107">
        <v>17.032282431720041</v>
      </c>
      <c r="M14" s="107">
        <v>17.629299910514632</v>
      </c>
      <c r="N14" s="107">
        <v>18.232762917417006</v>
      </c>
      <c r="O14" s="107">
        <v>18.842526391392525</v>
      </c>
      <c r="P14" s="107">
        <v>19.458437736888623</v>
      </c>
      <c r="Q14" s="107">
        <v>20.080338016783102</v>
      </c>
      <c r="R14" s="107">
        <v>20.708063128796297</v>
      </c>
      <c r="S14" s="107">
        <v>21.341444950574402</v>
      </c>
      <c r="T14" s="107">
        <v>21.980312440534117</v>
      </c>
      <c r="U14" s="107">
        <v>22.624492683562018</v>
      </c>
      <c r="V14" s="107">
        <v>23.273811872702389</v>
      </c>
      <c r="W14" s="107">
        <v>23.928096219991225</v>
      </c>
      <c r="X14" s="108">
        <v>24.587172791537387</v>
      </c>
      <c r="Y14" s="109">
        <f>'Inputs and summary'!$B$2</f>
        <v>7.5</v>
      </c>
      <c r="Z14" s="110" cm="1">
        <f t="array" ref="Z14">INDEX($L$3:$X$148, ROW()-ROW(L$3)+1, _xlfn.XMATCH('Inputs and summary'!$B$3, Model!L$2:X$2, 0))</f>
        <v>23.273811872702389</v>
      </c>
    </row>
    <row r="15" spans="1:26" x14ac:dyDescent="0.25">
      <c r="A15" s="70" t="s">
        <v>32</v>
      </c>
      <c r="B15" s="71" t="s">
        <v>45</v>
      </c>
      <c r="C15" s="72" t="s">
        <v>46</v>
      </c>
      <c r="D15" s="34"/>
      <c r="E15" s="34"/>
      <c r="F15" s="36"/>
      <c r="G15" s="34"/>
      <c r="H15" s="34"/>
      <c r="I15" s="34"/>
      <c r="J15" s="115">
        <f t="shared" si="0"/>
        <v>13.461538461538462</v>
      </c>
      <c r="K15" s="106">
        <v>700</v>
      </c>
      <c r="L15" s="107">
        <v>16.116565539976612</v>
      </c>
      <c r="M15" s="107">
        <v>16.669709220250244</v>
      </c>
      <c r="N15" s="107">
        <v>17.228577465936361</v>
      </c>
      <c r="O15" s="107">
        <v>17.79305378798071</v>
      </c>
      <c r="P15" s="107">
        <v>18.363015720079567</v>
      </c>
      <c r="Q15" s="107">
        <v>18.938335652261053</v>
      </c>
      <c r="R15" s="107">
        <v>19.518881657262284</v>
      </c>
      <c r="S15" s="107">
        <v>20.104518300455357</v>
      </c>
      <c r="T15" s="107">
        <v>20.695107425089823</v>
      </c>
      <c r="U15" s="107">
        <v>21.290508905713658</v>
      </c>
      <c r="V15" s="107">
        <v>21.890581363762877</v>
      </c>
      <c r="W15" s="107">
        <v>22.495182840448429</v>
      </c>
      <c r="X15" s="108">
        <v>23.1041714231805</v>
      </c>
      <c r="Y15" s="109">
        <f>'Inputs and summary'!$B$2</f>
        <v>7.5</v>
      </c>
      <c r="Z15" s="110" cm="1">
        <f t="array" ref="Z15">INDEX($L$3:$X$148, ROW()-ROW(L$3)+1, _xlfn.XMATCH('Inputs and summary'!$B$3, Model!L$2:X$2, 0))</f>
        <v>21.890581363762877</v>
      </c>
    </row>
    <row r="16" spans="1:26" x14ac:dyDescent="0.25">
      <c r="A16" s="73" t="s">
        <v>12</v>
      </c>
      <c r="B16" s="48">
        <f>(Diesel_use__gallon_hour*Recharge_of_a_battery___pumping__hours+'Inputs and summary'!B20/'Inputs and summary'!B19/(Hours_per_day_applying*Acres_applied_per_hour))*Diesel_price____gallon/Acres_applied_per_charge_cycle</f>
        <v>0.14727014110150205</v>
      </c>
      <c r="C16" s="89">
        <f t="shared" ref="C16:C26" si="1">B16*Applied_acres_per_year</f>
        <v>589.08056440600819</v>
      </c>
      <c r="D16" s="34"/>
      <c r="E16" s="34"/>
      <c r="F16" s="36"/>
      <c r="G16" s="34"/>
      <c r="H16" s="34"/>
      <c r="I16" s="34"/>
      <c r="J16" s="115">
        <f t="shared" si="0"/>
        <v>14.423076923076923</v>
      </c>
      <c r="K16" s="106">
        <v>750</v>
      </c>
      <c r="L16" s="107">
        <v>15.32365471099062</v>
      </c>
      <c r="M16" s="107">
        <v>15.839013199995424</v>
      </c>
      <c r="N16" s="107">
        <v>16.359497656693371</v>
      </c>
      <c r="O16" s="107">
        <v>16.885012604768406</v>
      </c>
      <c r="P16" s="107">
        <v>17.41545778664268</v>
      </c>
      <c r="Q16" s="107">
        <v>17.950728761629914</v>
      </c>
      <c r="R16" s="107">
        <v>18.490717501038585</v>
      </c>
      <c r="S16" s="107">
        <v>19.035312974300531</v>
      </c>
      <c r="T16" s="107">
        <v>19.584401720772881</v>
      </c>
      <c r="U16" s="107">
        <v>20.137868402485459</v>
      </c>
      <c r="V16" s="107">
        <v>20.695596333753326</v>
      </c>
      <c r="W16" s="107">
        <v>21.257467984236801</v>
      </c>
      <c r="X16" s="108">
        <v>21.823365452685437</v>
      </c>
      <c r="Y16" s="109">
        <f>'Inputs and summary'!$B$2</f>
        <v>7.5</v>
      </c>
      <c r="Z16" s="110" cm="1">
        <f t="array" ref="Z16">INDEX($L$3:$X$148, ROW()-ROW(L$3)+1, _xlfn.XMATCH('Inputs and summary'!$B$3, Model!L$2:X$2, 0))</f>
        <v>20.695596333753326</v>
      </c>
    </row>
    <row r="17" spans="1:26" x14ac:dyDescent="0.25">
      <c r="A17" s="73" t="s">
        <v>13</v>
      </c>
      <c r="B17" s="48">
        <f>Labor_cost____hour*('Inputs and summary'!B24+Hours_per_day_applying+'Inputs and summary'!B25*'Inputs and summary'!B22)/(Acres_applied_per_hour*Hours_per_day_applying)</f>
        <v>1.0601577909270217</v>
      </c>
      <c r="C17" s="89">
        <f t="shared" si="1"/>
        <v>4240.6311637080871</v>
      </c>
      <c r="D17" s="34"/>
      <c r="E17" s="34"/>
      <c r="F17" s="36"/>
      <c r="G17" s="34"/>
      <c r="H17" s="34"/>
      <c r="I17" s="34"/>
      <c r="J17" s="115">
        <f t="shared" si="0"/>
        <v>15.384615384615385</v>
      </c>
      <c r="K17" s="106">
        <v>800</v>
      </c>
      <c r="L17" s="107">
        <v>14.630402132069968</v>
      </c>
      <c r="M17" s="107">
        <v>15.112883042577861</v>
      </c>
      <c r="N17" s="107">
        <v>15.599987366960205</v>
      </c>
      <c r="O17" s="107">
        <v>16.091635433262216</v>
      </c>
      <c r="P17" s="107">
        <v>16.587743709231312</v>
      </c>
      <c r="Q17" s="107">
        <v>17.088225242057497</v>
      </c>
      <c r="R17" s="107">
        <v>17.592990096885952</v>
      </c>
      <c r="S17" s="107">
        <v>18.101945790214721</v>
      </c>
      <c r="T17" s="107">
        <v>18.614997714626973</v>
      </c>
      <c r="U17" s="107">
        <v>19.132049551678286</v>
      </c>
      <c r="V17" s="107">
        <v>19.653003670144471</v>
      </c>
      <c r="W17" s="107">
        <v>20.177761507234397</v>
      </c>
      <c r="X17" s="108">
        <v>20.706223930768381</v>
      </c>
      <c r="Y17" s="109">
        <f>'Inputs and summary'!$B$2</f>
        <v>7.5</v>
      </c>
      <c r="Z17" s="110" cm="1">
        <f t="array" ref="Z17">INDEX($L$3:$X$148, ROW()-ROW(L$3)+1, _xlfn.XMATCH('Inputs and summary'!$B$3, Model!L$2:X$2, 0))</f>
        <v>19.653003670144471</v>
      </c>
    </row>
    <row r="18" spans="1:26" x14ac:dyDescent="0.25">
      <c r="A18" s="73" t="s">
        <v>31</v>
      </c>
      <c r="B18" s="48">
        <f>Dish_soap_price____2.64L*Dish_soap_qtt._L_day/(Hours_per_day_applying*Acres_applied_per_hour)</f>
        <v>7.485207100591717E-3</v>
      </c>
      <c r="C18" s="89">
        <f t="shared" si="1"/>
        <v>29.940828402366868</v>
      </c>
      <c r="D18" s="34"/>
      <c r="E18" s="34"/>
      <c r="F18" s="36"/>
      <c r="G18" s="34"/>
      <c r="H18" s="34"/>
      <c r="I18" s="34"/>
      <c r="J18" s="115">
        <f t="shared" si="0"/>
        <v>16.346153846153847</v>
      </c>
      <c r="K18" s="106">
        <v>850</v>
      </c>
      <c r="L18" s="107">
        <v>14.019132681864122</v>
      </c>
      <c r="M18" s="107">
        <v>14.472748598882291</v>
      </c>
      <c r="N18" s="107">
        <v>14.930561746239029</v>
      </c>
      <c r="O18" s="107">
        <v>15.392504580463179</v>
      </c>
      <c r="P18" s="107">
        <v>15.858506411226713</v>
      </c>
      <c r="Q18" s="107">
        <v>16.32849373185725</v>
      </c>
      <c r="R18" s="107">
        <v>16.802390549387461</v>
      </c>
      <c r="S18" s="107">
        <v>17.280118711532417</v>
      </c>
      <c r="T18" s="107">
        <v>17.761598228192106</v>
      </c>
      <c r="U18" s="107">
        <v>18.246747585304917</v>
      </c>
      <c r="V18" s="107">
        <v>18.735484049115037</v>
      </c>
      <c r="W18" s="107">
        <v>19.227723959164585</v>
      </c>
      <c r="X18" s="108">
        <v>19.723383008568156</v>
      </c>
      <c r="Y18" s="109">
        <f>'Inputs and summary'!$B$2</f>
        <v>7.5</v>
      </c>
      <c r="Z18" s="110" cm="1">
        <f t="array" ref="Z18">INDEX($L$3:$X$148, ROW()-ROW(L$3)+1, _xlfn.XMATCH('Inputs and summary'!$B$3, Model!L$2:X$2, 0))</f>
        <v>18.735484049115037</v>
      </c>
    </row>
    <row r="19" spans="1:26" x14ac:dyDescent="0.25">
      <c r="A19" s="73" t="s">
        <v>36</v>
      </c>
      <c r="B19" s="48">
        <f>SUM(H33:H37)/Applied_acres_per_year</f>
        <v>1.32375</v>
      </c>
      <c r="C19" s="89">
        <f t="shared" si="1"/>
        <v>5295</v>
      </c>
      <c r="D19" s="34"/>
      <c r="E19" s="34"/>
      <c r="F19" s="34"/>
      <c r="G19" s="34"/>
      <c r="H19" s="34"/>
      <c r="I19" s="34"/>
      <c r="J19" s="115">
        <f t="shared" si="0"/>
        <v>17.307692307692307</v>
      </c>
      <c r="K19" s="106">
        <v>900</v>
      </c>
      <c r="L19" s="107">
        <v>13.476117105181508</v>
      </c>
      <c r="M19" s="107">
        <v>13.90419017387914</v>
      </c>
      <c r="N19" s="107">
        <v>14.33609574720345</v>
      </c>
      <c r="O19" s="107">
        <v>14.771775759057071</v>
      </c>
      <c r="P19" s="107">
        <v>15.21116955337931</v>
      </c>
      <c r="Q19" s="107">
        <v>15.654214137646205</v>
      </c>
      <c r="R19" s="107">
        <v>16.100844436195562</v>
      </c>
      <c r="S19" s="107">
        <v>16.550993541588248</v>
      </c>
      <c r="T19" s="107">
        <v>17.004592962347541</v>
      </c>
      <c r="U19" s="107">
        <v>17.461572865564694</v>
      </c>
      <c r="V19" s="107">
        <v>17.921862313009296</v>
      </c>
      <c r="W19" s="107">
        <v>18.385389489541947</v>
      </c>
      <c r="X19" s="108">
        <v>18.852081922784837</v>
      </c>
      <c r="Y19" s="109">
        <f>'Inputs and summary'!$B$2</f>
        <v>7.5</v>
      </c>
      <c r="Z19" s="110" cm="1">
        <f t="array" ref="Z19">INDEX($L$3:$X$148, ROW()-ROW(L$3)+1, _xlfn.XMATCH('Inputs and summary'!$B$3, Model!L$2:X$2, 0))</f>
        <v>17.921862313009296</v>
      </c>
    </row>
    <row r="20" spans="1:26" x14ac:dyDescent="0.25">
      <c r="A20" s="73" t="s">
        <v>33</v>
      </c>
      <c r="B20" s="48">
        <f>Interest_rate*SUM(B16:B18)</f>
        <v>9.7193051130329236E-2</v>
      </c>
      <c r="C20" s="89">
        <f t="shared" si="1"/>
        <v>388.77220452131695</v>
      </c>
      <c r="D20" s="34"/>
      <c r="E20" s="34"/>
      <c r="F20" s="36"/>
      <c r="G20" s="34"/>
      <c r="H20" s="34"/>
      <c r="I20" s="34"/>
      <c r="J20" s="115">
        <f t="shared" si="0"/>
        <v>18.26923076923077</v>
      </c>
      <c r="K20" s="106">
        <v>950</v>
      </c>
      <c r="L20" s="107">
        <v>12.990529256102963</v>
      </c>
      <c r="M20" s="107">
        <v>13.39584061577769</v>
      </c>
      <c r="N20" s="107">
        <v>13.804669758415137</v>
      </c>
      <c r="O20" s="107">
        <v>14.216966145423864</v>
      </c>
      <c r="P20" s="107">
        <v>14.632677086567709</v>
      </c>
      <c r="Q20" s="107">
        <v>15.051747938049807</v>
      </c>
      <c r="R20" s="107">
        <v>15.474122300501133</v>
      </c>
      <c r="S20" s="107">
        <v>15.899742215622407</v>
      </c>
      <c r="T20" s="107">
        <v>16.328548360313437</v>
      </c>
      <c r="U20" s="107">
        <v>16.760480237220847</v>
      </c>
      <c r="V20" s="107">
        <v>17.195476360733295</v>
      </c>
      <c r="W20" s="107">
        <v>17.633474437558526</v>
      </c>
      <c r="X20" s="108">
        <v>18.074411541120089</v>
      </c>
      <c r="Y20" s="109">
        <f>'Inputs and summary'!$B$2</f>
        <v>7.5</v>
      </c>
      <c r="Z20" s="110" cm="1">
        <f t="array" ref="Z20">INDEX($L$3:$X$148, ROW()-ROW(L$3)+1, _xlfn.XMATCH('Inputs and summary'!$B$3, Model!L$2:X$2, 0))</f>
        <v>17.195476360733295</v>
      </c>
    </row>
    <row r="21" spans="1:26" x14ac:dyDescent="0.25">
      <c r="A21" s="39" t="s">
        <v>14</v>
      </c>
      <c r="B21" s="48">
        <f>SUM(B16:B20)</f>
        <v>2.6358561902594446</v>
      </c>
      <c r="C21" s="89">
        <f t="shared" si="1"/>
        <v>10543.424761037779</v>
      </c>
      <c r="D21" s="34"/>
      <c r="E21" s="34"/>
      <c r="F21" s="36"/>
      <c r="G21" s="34"/>
      <c r="H21" s="34"/>
      <c r="I21" s="34"/>
      <c r="J21" s="115">
        <f t="shared" si="0"/>
        <v>19.23076923076923</v>
      </c>
      <c r="K21" s="106">
        <v>1000</v>
      </c>
      <c r="L21" s="107">
        <v>12.553717374046425</v>
      </c>
      <c r="M21" s="107">
        <v>12.938618327997538</v>
      </c>
      <c r="N21" s="107">
        <v>13.326763440872075</v>
      </c>
      <c r="O21" s="107">
        <v>13.718108241734599</v>
      </c>
      <c r="P21" s="107">
        <v>14.112606455942094</v>
      </c>
      <c r="Q21" s="107">
        <v>14.510210162601586</v>
      </c>
      <c r="R21" s="107">
        <v>14.910869951927143</v>
      </c>
      <c r="S21" s="107">
        <v>15.314535081604323</v>
      </c>
      <c r="T21" s="107">
        <v>15.721153631327391</v>
      </c>
      <c r="U21" s="107">
        <v>16.13067265474087</v>
      </c>
      <c r="V21" s="107">
        <v>16.543038328082783</v>
      </c>
      <c r="W21" s="107">
        <v>16.95819609489854</v>
      </c>
      <c r="X21" s="108">
        <v>17.376090806264013</v>
      </c>
      <c r="Y21" s="109">
        <f>'Inputs and summary'!$B$2</f>
        <v>7.5</v>
      </c>
      <c r="Z21" s="110" cm="1">
        <f t="array" ref="Z21">INDEX($L$3:$X$148, ROW()-ROW(L$3)+1, _xlfn.XMATCH('Inputs and summary'!$B$3, Model!L$2:X$2, 0))</f>
        <v>16.543038328082783</v>
      </c>
    </row>
    <row r="22" spans="1:26" x14ac:dyDescent="0.25">
      <c r="A22" s="73" t="s">
        <v>44</v>
      </c>
      <c r="B22" s="48">
        <f>SUM(G33:G37)/Applied_acres_per_year</f>
        <v>3.8423651452548944</v>
      </c>
      <c r="C22" s="89">
        <f t="shared" si="1"/>
        <v>15369.460581019577</v>
      </c>
      <c r="D22" s="34"/>
      <c r="E22" s="34"/>
      <c r="F22" s="36"/>
      <c r="G22" s="34"/>
      <c r="H22" s="34"/>
      <c r="I22" s="34"/>
      <c r="J22" s="115">
        <f t="shared" si="0"/>
        <v>20.192307692307693</v>
      </c>
      <c r="K22" s="106">
        <v>1050</v>
      </c>
      <c r="L22" s="107">
        <v>12.158684345505939</v>
      </c>
      <c r="M22" s="107">
        <v>12.525180427767372</v>
      </c>
      <c r="N22" s="107">
        <v>12.894681137087412</v>
      </c>
      <c r="O22" s="107">
        <v>13.267146959356811</v>
      </c>
      <c r="P22" s="107">
        <v>13.64253685529069</v>
      </c>
      <c r="Q22" s="107">
        <v>14.020808387588549</v>
      </c>
      <c r="R22" s="107">
        <v>14.401917847959972</v>
      </c>
      <c r="S22" s="107">
        <v>14.785820383368483</v>
      </c>
      <c r="T22" s="107">
        <v>15.17247012088569</v>
      </c>
      <c r="U22" s="107">
        <v>15.561820290594463</v>
      </c>
      <c r="V22" s="107">
        <v>15.953823346025059</v>
      </c>
      <c r="W22" s="107">
        <v>16.348431081658177</v>
      </c>
      <c r="X22" s="108">
        <v>16.745594747076826</v>
      </c>
      <c r="Y22" s="109">
        <f>'Inputs and summary'!$B$2</f>
        <v>7.5</v>
      </c>
      <c r="Z22" s="110" cm="1">
        <f t="array" ref="Z22">INDEX($L$3:$X$148, ROW()-ROW(L$3)+1, _xlfn.XMATCH('Inputs and summary'!$B$3, Model!L$2:X$2, 0))</f>
        <v>15.953823346025059</v>
      </c>
    </row>
    <row r="23" spans="1:26" x14ac:dyDescent="0.25">
      <c r="A23" s="73" t="s">
        <v>34</v>
      </c>
      <c r="B23" s="48">
        <f>SUM(F41/(Applied_acres_per_year/(N_of_batteries_included_with_drone)),G41/Acres_applied_per_charge_cycle)</f>
        <v>0.71705404555076435</v>
      </c>
      <c r="C23" s="89">
        <f t="shared" si="1"/>
        <v>2868.2161822030575</v>
      </c>
      <c r="D23" s="34"/>
      <c r="E23" s="34"/>
      <c r="F23" s="36"/>
      <c r="G23" s="34"/>
      <c r="H23" s="34"/>
      <c r="I23" s="34"/>
      <c r="J23" s="115">
        <f t="shared" si="0"/>
        <v>21.153846153846153</v>
      </c>
      <c r="K23" s="106">
        <v>1100</v>
      </c>
      <c r="L23" s="107">
        <v>11.799710226786047</v>
      </c>
      <c r="M23" s="107">
        <v>12.149525711780727</v>
      </c>
      <c r="N23" s="107">
        <v>12.502134815020137</v>
      </c>
      <c r="O23" s="107">
        <v>12.857502121362121</v>
      </c>
      <c r="P23" s="107">
        <v>13.215590915299968</v>
      </c>
      <c r="Q23" s="107">
        <v>13.576363285169535</v>
      </c>
      <c r="R23" s="107">
        <v>13.939780227184018</v>
      </c>
      <c r="S23" s="107">
        <v>14.305801748818311</v>
      </c>
      <c r="T23" s="107">
        <v>14.674386971092741</v>
      </c>
      <c r="U23" s="107">
        <v>15.045494229339763</v>
      </c>
      <c r="V23" s="107">
        <v>15.419081172069022</v>
      </c>
      <c r="W23" s="107">
        <v>15.795104857582016</v>
      </c>
      <c r="X23" s="108">
        <v>16.173521848021338</v>
      </c>
      <c r="Y23" s="109">
        <f>'Inputs and summary'!$B$2</f>
        <v>7.5</v>
      </c>
      <c r="Z23" s="110" cm="1">
        <f t="array" ref="Z23">INDEX($L$3:$X$148, ROW()-ROW(L$3)+1, _xlfn.XMATCH('Inputs and summary'!$B$3, Model!L$2:X$2, 0))</f>
        <v>15.419081172069022</v>
      </c>
    </row>
    <row r="24" spans="1:26" x14ac:dyDescent="0.25">
      <c r="A24" s="73" t="s">
        <v>35</v>
      </c>
      <c r="B24" s="48">
        <f>0.01*(AVERAGE(B33,D33)+AVERAGE(B34,D34)+AVERAGE(B35,D35)+AVERAGE(B36,D36)+AVERAGE(B37,D37))/Applied_acres_per_year</f>
        <v>0.1955625</v>
      </c>
      <c r="C24" s="89">
        <f t="shared" si="1"/>
        <v>782.25</v>
      </c>
      <c r="D24" s="34"/>
      <c r="E24" s="34"/>
      <c r="F24" s="34"/>
      <c r="G24" s="34"/>
      <c r="H24" s="34"/>
      <c r="I24" s="34"/>
      <c r="J24" s="115">
        <f t="shared" si="0"/>
        <v>22.115384615384617</v>
      </c>
      <c r="K24" s="106">
        <v>1150</v>
      </c>
      <c r="L24" s="107">
        <v>11.472073585389596</v>
      </c>
      <c r="M24" s="107">
        <v>11.806701648289154</v>
      </c>
      <c r="N24" s="107">
        <v>12.143936372516464</v>
      </c>
      <c r="O24" s="107">
        <v>12.483745770349586</v>
      </c>
      <c r="P24" s="107">
        <v>12.826096736596238</v>
      </c>
      <c r="Q24" s="107">
        <v>13.170955135158094</v>
      </c>
      <c r="R24" s="107">
        <v>13.518285885390268</v>
      </c>
      <c r="S24" s="107">
        <v>13.868053047896947</v>
      </c>
      <c r="T24" s="107">
        <v>14.220219909424404</v>
      </c>
      <c r="U24" s="107">
        <v>14.574749066537702</v>
      </c>
      <c r="V24" s="107">
        <v>14.931602507790174</v>
      </c>
      <c r="W24" s="107">
        <v>15.290741694121246</v>
      </c>
      <c r="X24" s="108">
        <v>15.652127637242335</v>
      </c>
      <c r="Y24" s="109">
        <f>'Inputs and summary'!$B$2</f>
        <v>7.5</v>
      </c>
      <c r="Z24" s="110" cm="1">
        <f t="array" ref="Z24">INDEX($L$3:$X$148, ROW()-ROW(L$3)+1, _xlfn.XMATCH('Inputs and summary'!$B$3, Model!L$2:X$2, 0))</f>
        <v>14.931602507790174</v>
      </c>
    </row>
    <row r="25" spans="1:26" x14ac:dyDescent="0.25">
      <c r="A25" s="39" t="s">
        <v>15</v>
      </c>
      <c r="B25" s="48">
        <f>SUM(B22:B24)</f>
        <v>4.7549816908056588</v>
      </c>
      <c r="C25" s="89">
        <f t="shared" si="1"/>
        <v>19019.926763222637</v>
      </c>
      <c r="D25" s="34"/>
      <c r="E25" s="34"/>
      <c r="F25" s="36"/>
      <c r="G25" s="34"/>
      <c r="H25" s="34"/>
      <c r="I25" s="34"/>
      <c r="J25" s="115">
        <f t="shared" si="0"/>
        <v>23.076923076923077</v>
      </c>
      <c r="K25" s="106">
        <v>1200</v>
      </c>
      <c r="L25" s="107">
        <v>11.171842743597873</v>
      </c>
      <c r="M25" s="107">
        <v>11.492584932553841</v>
      </c>
      <c r="N25" s="107">
        <v>11.815767255184117</v>
      </c>
      <c r="O25" s="107">
        <v>12.141360618893131</v>
      </c>
      <c r="P25" s="107">
        <v>12.469334963540827</v>
      </c>
      <c r="Q25" s="107">
        <v>12.799659334262731</v>
      </c>
      <c r="R25" s="107">
        <v>13.132301954060946</v>
      </c>
      <c r="S25" s="107">
        <v>13.467230295892175</v>
      </c>
      <c r="T25" s="107">
        <v>13.804411153993728</v>
      </c>
      <c r="U25" s="107">
        <v>14.143810714207671</v>
      </c>
      <c r="V25" s="107">
        <v>14.485394623079838</v>
      </c>
      <c r="W25" s="107">
        <v>14.829128055530539</v>
      </c>
      <c r="X25" s="108">
        <v>15.174975780911337</v>
      </c>
      <c r="Y25" s="109">
        <f>'Inputs and summary'!$B$2</f>
        <v>7.5</v>
      </c>
      <c r="Z25" s="110" cm="1">
        <f t="array" ref="Z25">INDEX($L$3:$X$148, ROW()-ROW(L$3)+1, _xlfn.XMATCH('Inputs and summary'!$B$3, Model!L$2:X$2, 0))</f>
        <v>14.485394623079838</v>
      </c>
    </row>
    <row r="26" spans="1:26" ht="15.75" thickBot="1" x14ac:dyDescent="0.3">
      <c r="A26" s="41" t="s">
        <v>16</v>
      </c>
      <c r="B26" s="75">
        <f>SUM(B21,B25)</f>
        <v>7.390837881065103</v>
      </c>
      <c r="C26" s="90">
        <f t="shared" si="1"/>
        <v>29563.351524260412</v>
      </c>
      <c r="D26" s="34"/>
      <c r="E26" s="34"/>
      <c r="F26" s="36"/>
      <c r="G26" s="34"/>
      <c r="H26" s="34"/>
      <c r="I26" s="34"/>
      <c r="J26" s="115">
        <f t="shared" si="0"/>
        <v>24.03846153846154</v>
      </c>
      <c r="K26" s="106">
        <v>1250</v>
      </c>
      <c r="L26" s="107">
        <v>10.895717289250488</v>
      </c>
      <c r="M26" s="107">
        <v>11.203714926855298</v>
      </c>
      <c r="N26" s="107">
        <v>11.514003639571063</v>
      </c>
      <c r="O26" s="107">
        <v>11.826556803137148</v>
      </c>
      <c r="P26" s="107">
        <v>12.141346949541784</v>
      </c>
      <c r="Q26" s="107">
        <v>12.458345829001054</v>
      </c>
      <c r="R26" s="107">
        <v>12.777524471692715</v>
      </c>
      <c r="S26" s="107">
        <v>13.098853249032773</v>
      </c>
      <c r="T26" s="107">
        <v>13.422301934293523</v>
      </c>
      <c r="U26" s="107">
        <v>13.74783976237703</v>
      </c>
      <c r="V26" s="107">
        <v>14.075435488570104</v>
      </c>
      <c r="W26" s="107">
        <v>14.405057446122644</v>
      </c>
      <c r="X26" s="108">
        <v>14.736673602503984</v>
      </c>
      <c r="Y26" s="109">
        <f>'Inputs and summary'!$B$2</f>
        <v>7.5</v>
      </c>
      <c r="Z26" s="110" cm="1">
        <f t="array" ref="Z26">INDEX($L$3:$X$148, ROW()-ROW(L$3)+1, _xlfn.XMATCH('Inputs and summary'!$B$3, Model!L$2:X$2, 0))</f>
        <v>14.075435488570104</v>
      </c>
    </row>
    <row r="27" spans="1:26" x14ac:dyDescent="0.25">
      <c r="C27" s="34"/>
      <c r="D27" s="34"/>
      <c r="E27" s="34"/>
      <c r="F27" s="34"/>
      <c r="G27" s="34"/>
      <c r="H27" s="34"/>
      <c r="I27" s="34"/>
      <c r="J27" s="115">
        <f t="shared" si="0"/>
        <v>25</v>
      </c>
      <c r="K27" s="106">
        <v>1300</v>
      </c>
      <c r="L27" s="107">
        <v>10.640906278268249</v>
      </c>
      <c r="M27" s="107">
        <v>10.937165692137274</v>
      </c>
      <c r="N27" s="107">
        <v>11.235582153615102</v>
      </c>
      <c r="O27" s="107">
        <v>11.53613116092599</v>
      </c>
      <c r="P27" s="107">
        <v>11.838787471466244</v>
      </c>
      <c r="Q27" s="107">
        <v>12.143525155132556</v>
      </c>
      <c r="R27" s="107">
        <v>12.450317647396293</v>
      </c>
      <c r="S27" s="107">
        <v>12.75913780195685</v>
      </c>
      <c r="T27" s="107">
        <v>13.069957942815359</v>
      </c>
      <c r="U27" s="107">
        <v>13.382749915622275</v>
      </c>
      <c r="V27" s="107">
        <v>13.697485138161458</v>
      </c>
      <c r="W27" s="107">
        <v>14.01413464984585</v>
      </c>
      <c r="X27" s="108">
        <v>14.332669160109592</v>
      </c>
      <c r="Y27" s="109">
        <f>'Inputs and summary'!$B$2</f>
        <v>7.5</v>
      </c>
      <c r="Z27" s="110" cm="1">
        <f t="array" ref="Z27">INDEX($L$3:$X$148, ROW()-ROW(L$3)+1, _xlfn.XMATCH('Inputs and summary'!$B$3, Model!L$2:X$2, 0))</f>
        <v>13.697485138161458</v>
      </c>
    </row>
    <row r="28" spans="1:26" x14ac:dyDescent="0.25">
      <c r="A28" s="37" t="s">
        <v>27</v>
      </c>
      <c r="C28" s="34"/>
      <c r="D28" s="34"/>
      <c r="E28" s="34"/>
      <c r="F28" s="34"/>
      <c r="G28" s="34"/>
      <c r="H28" s="34"/>
      <c r="I28" s="34"/>
      <c r="J28" s="115">
        <f t="shared" si="0"/>
        <v>25.96153846153846</v>
      </c>
      <c r="K28" s="106">
        <v>1350</v>
      </c>
      <c r="L28" s="107">
        <v>10.405033587526344</v>
      </c>
      <c r="M28" s="107">
        <v>10.69044656844407</v>
      </c>
      <c r="N28" s="107">
        <v>10.977895577727672</v>
      </c>
      <c r="O28" s="107">
        <v>11.267357953061007</v>
      </c>
      <c r="P28" s="107">
        <v>11.558810377434988</v>
      </c>
      <c r="Q28" s="107">
        <v>11.852228925498366</v>
      </c>
      <c r="R28" s="107">
        <v>12.14758910965126</v>
      </c>
      <c r="S28" s="107">
        <v>12.444865925748108</v>
      </c>
      <c r="T28" s="107">
        <v>12.744033898282982</v>
      </c>
      <c r="U28" s="107">
        <v>13.045067124940285</v>
      </c>
      <c r="V28" s="107">
        <v>13.347939320400693</v>
      </c>
      <c r="W28" s="107">
        <v>13.652623859302402</v>
      </c>
      <c r="X28" s="108">
        <v>13.959093818265202</v>
      </c>
      <c r="Y28" s="109">
        <f>'Inputs and summary'!$B$2</f>
        <v>7.5</v>
      </c>
      <c r="Z28" s="110" cm="1">
        <f t="array" ref="Z28">INDEX($L$3:$X$148, ROW()-ROW(L$3)+1, _xlfn.XMATCH('Inputs and summary'!$B$3, Model!L$2:X$2, 0))</f>
        <v>13.347939320400693</v>
      </c>
    </row>
    <row r="29" spans="1:26" x14ac:dyDescent="0.25">
      <c r="C29" s="34"/>
      <c r="D29" s="34"/>
      <c r="E29" s="34"/>
      <c r="F29" s="34"/>
      <c r="G29" s="34"/>
      <c r="H29" s="34"/>
      <c r="I29" s="34"/>
      <c r="J29" s="115">
        <f t="shared" si="0"/>
        <v>26.923076923076923</v>
      </c>
      <c r="K29" s="106">
        <v>1400</v>
      </c>
      <c r="L29" s="107">
        <v>10.186063610544785</v>
      </c>
      <c r="M29" s="107">
        <v>10.461424140757797</v>
      </c>
      <c r="N29" s="107">
        <v>10.738710998512222</v>
      </c>
      <c r="O29" s="107">
        <v>11.017903127219233</v>
      </c>
      <c r="P29" s="107">
        <v>11.298978888133908</v>
      </c>
      <c r="Q29" s="107">
        <v>11.58191610102107</v>
      </c>
      <c r="R29" s="107">
        <v>11.866692084564939</v>
      </c>
      <c r="S29" s="107">
        <v>12.153283696414478</v>
      </c>
      <c r="T29" s="107">
        <v>12.441667372761321</v>
      </c>
      <c r="U29" s="107">
        <v>12.731819167355289</v>
      </c>
      <c r="V29" s="107">
        <v>13.023714789868141</v>
      </c>
      <c r="W29" s="107">
        <v>13.317329643524396</v>
      </c>
      <c r="X29" s="108">
        <v>13.61263886192388</v>
      </c>
      <c r="Y29" s="109">
        <f>'Inputs and summary'!$B$2</f>
        <v>7.5</v>
      </c>
      <c r="Z29" s="110" cm="1">
        <f t="array" ref="Z29">INDEX($L$3:$X$148, ROW()-ROW(L$3)+1, _xlfn.XMATCH('Inputs and summary'!$B$3, Model!L$2:X$2, 0))</f>
        <v>13.023714789868141</v>
      </c>
    </row>
    <row r="30" spans="1:26" ht="15.75" thickBot="1" x14ac:dyDescent="0.3">
      <c r="A30" s="37"/>
      <c r="C30" s="34"/>
      <c r="D30" s="34"/>
      <c r="E30" s="34"/>
      <c r="F30" s="34"/>
      <c r="G30" s="34"/>
      <c r="H30" s="34"/>
      <c r="I30" s="34"/>
      <c r="J30" s="115">
        <f t="shared" si="0"/>
        <v>27.884615384615383</v>
      </c>
      <c r="K30" s="106">
        <v>1450</v>
      </c>
      <c r="L30" s="107">
        <v>9.9822423716134647</v>
      </c>
      <c r="M30" s="107">
        <v>10.248260409743795</v>
      </c>
      <c r="N30" s="107">
        <v>10.516104972251123</v>
      </c>
      <c r="O30" s="107">
        <v>10.785756413608633</v>
      </c>
      <c r="P30" s="107">
        <v>11.057194567583183</v>
      </c>
      <c r="Q30" s="107">
        <v>11.330398783225483</v>
      </c>
      <c r="R30" s="107">
        <v>11.605347960608231</v>
      </c>
      <c r="S30" s="107">
        <v>11.882020586223394</v>
      </c>
      <c r="T30" s="107">
        <v>12.160394767953509</v>
      </c>
      <c r="U30" s="107">
        <v>12.440448269538972</v>
      </c>
      <c r="V30" s="107">
        <v>12.722158544467625</v>
      </c>
      <c r="W30" s="107">
        <v>13.005502769219873</v>
      </c>
      <c r="X30" s="108">
        <v>13.290457875807219</v>
      </c>
      <c r="Y30" s="109">
        <f>'Inputs and summary'!$B$2</f>
        <v>7.5</v>
      </c>
      <c r="Z30" s="110" cm="1">
        <f t="array" ref="Z30">INDEX($L$3:$X$148, ROW()-ROW(L$3)+1, _xlfn.XMATCH('Inputs and summary'!$B$3, Model!L$2:X$2, 0))</f>
        <v>12.722158544467625</v>
      </c>
    </row>
    <row r="31" spans="1:26" ht="15.75" thickBot="1" x14ac:dyDescent="0.3">
      <c r="A31" s="78"/>
      <c r="B31" s="91"/>
      <c r="C31" s="91"/>
      <c r="D31" s="91"/>
      <c r="E31" s="91"/>
      <c r="F31" s="91"/>
      <c r="G31" s="91"/>
      <c r="H31" s="83"/>
      <c r="I31" s="34"/>
      <c r="J31" s="115">
        <f t="shared" si="0"/>
        <v>28.846153846153847</v>
      </c>
      <c r="K31" s="106">
        <v>1500</v>
      </c>
      <c r="L31" s="107">
        <v>9.7920504506943882</v>
      </c>
      <c r="M31" s="107">
        <v>10.049363373029266</v>
      </c>
      <c r="N31" s="107">
        <v>10.308411712530862</v>
      </c>
      <c r="O31" s="107">
        <v>10.569177071323578</v>
      </c>
      <c r="P31" s="107">
        <v>10.831640583178539</v>
      </c>
      <c r="Q31" s="107">
        <v>11.095782945624023</v>
      </c>
      <c r="R31" s="107">
        <v>11.36158445181024</v>
      </c>
      <c r="S31" s="107">
        <v>11.629025022054371</v>
      </c>
      <c r="T31" s="107">
        <v>11.898084234994624</v>
      </c>
      <c r="U31" s="107">
        <v>12.168741358288353</v>
      </c>
      <c r="V31" s="107">
        <v>12.440975378792487</v>
      </c>
      <c r="W31" s="107">
        <v>12.714765032170721</v>
      </c>
      <c r="X31" s="108">
        <v>12.990088831875481</v>
      </c>
      <c r="Y31" s="109">
        <f>'Inputs and summary'!$B$2</f>
        <v>7.5</v>
      </c>
      <c r="Z31" s="110" cm="1">
        <f t="array" ref="Z31">INDEX($L$3:$X$148, ROW()-ROW(L$3)+1, _xlfn.XMATCH('Inputs and summary'!$B$3, Model!L$2:X$2, 0))</f>
        <v>12.440975378792487</v>
      </c>
    </row>
    <row r="32" spans="1:26" ht="22.5" x14ac:dyDescent="0.25">
      <c r="A32" s="78"/>
      <c r="B32" s="71" t="s">
        <v>61</v>
      </c>
      <c r="C32" s="79" t="s">
        <v>2</v>
      </c>
      <c r="D32" s="71" t="s">
        <v>3</v>
      </c>
      <c r="E32" s="79" t="s">
        <v>4</v>
      </c>
      <c r="F32" s="79" t="s">
        <v>5</v>
      </c>
      <c r="G32" s="79" t="s">
        <v>6</v>
      </c>
      <c r="H32" s="80" t="s">
        <v>7</v>
      </c>
      <c r="I32" s="34"/>
      <c r="J32" s="115">
        <f t="shared" si="0"/>
        <v>29.807692307692307</v>
      </c>
      <c r="K32" s="106">
        <v>1550</v>
      </c>
      <c r="L32" s="107">
        <v>9.6141650449136744</v>
      </c>
      <c r="M32" s="107">
        <v>9.8633472050629116</v>
      </c>
      <c r="N32" s="107">
        <v>10.114181348967973</v>
      </c>
      <c r="O32" s="107">
        <v>10.366650188218475</v>
      </c>
      <c r="P32" s="107">
        <v>10.620736010895266</v>
      </c>
      <c r="Q32" s="107">
        <v>10.876420710434694</v>
      </c>
      <c r="R32" s="107">
        <v>11.133685814255026</v>
      </c>
      <c r="S32" s="107">
        <v>11.392512512082416</v>
      </c>
      <c r="T32" s="107">
        <v>11.652881683915929</v>
      </c>
      <c r="U32" s="107">
        <v>11.914773927576741</v>
      </c>
      <c r="V32" s="107">
        <v>12.178169585789211</v>
      </c>
      <c r="W32" s="107">
        <v>12.44304877274684</v>
      </c>
      <c r="X32" s="108">
        <v>12.709391400119053</v>
      </c>
      <c r="Y32" s="109">
        <f>'Inputs and summary'!$B$2</f>
        <v>7.5</v>
      </c>
      <c r="Z32" s="110" cm="1">
        <f t="array" ref="Z32">INDEX($L$3:$X$148, ROW()-ROW(L$3)+1, _xlfn.XMATCH('Inputs and summary'!$B$3, Model!L$2:X$2, 0))</f>
        <v>12.178169585789211</v>
      </c>
    </row>
    <row r="33" spans="1:26" x14ac:dyDescent="0.25">
      <c r="A33" s="39" t="s">
        <v>53</v>
      </c>
      <c r="B33" s="92">
        <f>'Inputs and summary'!E2*'Inputs and summary'!B4</f>
        <v>46000</v>
      </c>
      <c r="C33" s="49">
        <f>Acres_of_lifespan_drone/Applied_acres_per_year*'Inputs and summary'!B4</f>
        <v>4</v>
      </c>
      <c r="D33" s="92">
        <f>0.3*B33</f>
        <v>13800</v>
      </c>
      <c r="E33" s="93">
        <f>drone_use_perc</f>
        <v>1</v>
      </c>
      <c r="F33" s="92">
        <f>(B33-D33)*Interest_rate/(1-(1+Interest_rate)^-C33)+D33*Interest_rate</f>
        <v>10825.849903420061</v>
      </c>
      <c r="G33" s="92">
        <f>E33*F33</f>
        <v>10825.849903420061</v>
      </c>
      <c r="H33" s="94">
        <f>Applied_acres_per_year*Drone_maintanance_cost____year_acre</f>
        <v>4000</v>
      </c>
      <c r="I33" s="34"/>
      <c r="J33" s="115">
        <f t="shared" si="0"/>
        <v>30.76923076923077</v>
      </c>
      <c r="K33" s="106">
        <v>1600</v>
      </c>
      <c r="L33" s="107">
        <v>9.4474291627285254</v>
      </c>
      <c r="M33" s="107">
        <v>9.6889999288610973</v>
      </c>
      <c r="N33" s="107">
        <v>9.9321460451075829</v>
      </c>
      <c r="O33" s="107">
        <v>10.176851214863149</v>
      </c>
      <c r="P33" s="107">
        <v>10.423098756625595</v>
      </c>
      <c r="Q33" s="107">
        <v>10.670871630122214</v>
      </c>
      <c r="R33" s="107">
        <v>10.920152462207495</v>
      </c>
      <c r="S33" s="107">
        <v>11.170923572478051</v>
      </c>
      <c r="T33" s="107">
        <v>11.423166998552757</v>
      </c>
      <c r="U33" s="107">
        <v>11.676864520971085</v>
      </c>
      <c r="V33" s="107">
        <v>11.931997687664694</v>
      </c>
      <c r="W33" s="107">
        <v>12.188547837962041</v>
      </c>
      <c r="X33" s="108">
        <v>12.446496126088251</v>
      </c>
      <c r="Y33" s="109">
        <f>'Inputs and summary'!$B$2</f>
        <v>7.5</v>
      </c>
      <c r="Z33" s="110" cm="1">
        <f t="array" ref="Z33">INDEX($L$3:$X$148, ROW()-ROW(L$3)+1, _xlfn.XMATCH('Inputs and summary'!$B$3, Model!L$2:X$2, 0))</f>
        <v>11.931997687664694</v>
      </c>
    </row>
    <row r="34" spans="1:26" x14ac:dyDescent="0.25">
      <c r="A34" s="39" t="s">
        <v>8</v>
      </c>
      <c r="B34" s="92">
        <f>Generator_price</f>
        <v>7500</v>
      </c>
      <c r="C34" s="49">
        <f>Generator_lifespan</f>
        <v>10</v>
      </c>
      <c r="D34" s="92">
        <f>0.35*B34</f>
        <v>2625</v>
      </c>
      <c r="E34" s="93">
        <f>generator_use_perc</f>
        <v>1</v>
      </c>
      <c r="F34" s="92">
        <f>(B34-D34)*Interest_rate/(1-(1+Interest_rate)^-C34)+D34*Interest_rate</f>
        <v>936.51875739824231</v>
      </c>
      <c r="G34" s="92">
        <f>E34*F34</f>
        <v>936.51875739824231</v>
      </c>
      <c r="H34" s="94">
        <f>0.05*(B34+D34)/2</f>
        <v>253.125</v>
      </c>
      <c r="I34" s="34"/>
      <c r="J34" s="115">
        <f t="shared" si="0"/>
        <v>31.73076923076923</v>
      </c>
      <c r="K34" s="106">
        <v>1650</v>
      </c>
      <c r="L34" s="107">
        <v>9.2908264338765836</v>
      </c>
      <c r="M34" s="107">
        <v>9.525256985274261</v>
      </c>
      <c r="N34" s="107">
        <v>9.7611923018239324</v>
      </c>
      <c r="O34" s="107">
        <v>9.9986169778989886</v>
      </c>
      <c r="P34" s="107">
        <v>10.237515256384301</v>
      </c>
      <c r="Q34" s="107">
        <v>10.477871052477504</v>
      </c>
      <c r="R34" s="107">
        <v>10.719667977270397</v>
      </c>
      <c r="S34" s="107">
        <v>10.962889361063819</v>
      </c>
      <c r="T34" s="107">
        <v>11.207518276370696</v>
      </c>
      <c r="U34" s="107">
        <v>11.453537560566502</v>
      </c>
      <c r="V34" s="107">
        <v>11.700929838147992</v>
      </c>
      <c r="W34" s="107">
        <v>11.949677542565356</v>
      </c>
      <c r="X34" s="108">
        <v>12.199762937594922</v>
      </c>
      <c r="Y34" s="109">
        <f>'Inputs and summary'!$B$2</f>
        <v>7.5</v>
      </c>
      <c r="Z34" s="110" cm="1">
        <f t="array" ref="Z34">INDEX($L$3:$X$148, ROW()-ROW(L$3)+1, _xlfn.XMATCH('Inputs and summary'!$B$3, Model!L$2:X$2, 0))</f>
        <v>11.700929838147992</v>
      </c>
    </row>
    <row r="35" spans="1:26" x14ac:dyDescent="0.25">
      <c r="A35" s="39" t="s">
        <v>9</v>
      </c>
      <c r="B35" s="92">
        <f>Trailer_price</f>
        <v>14500</v>
      </c>
      <c r="C35" s="49">
        <f>Trailer_lifespan</f>
        <v>10</v>
      </c>
      <c r="D35" s="92">
        <f>0.35*B35</f>
        <v>5075</v>
      </c>
      <c r="E35" s="93">
        <f>trailer_use_perc</f>
        <v>1</v>
      </c>
      <c r="F35" s="92">
        <f>(B35-D35)*Interest_rate/(1-(1+Interest_rate)^-C35)+D35*Interest_rate</f>
        <v>1810.6029309699352</v>
      </c>
      <c r="G35" s="92">
        <f>E35*F35</f>
        <v>1810.6029309699352</v>
      </c>
      <c r="H35" s="94">
        <f>0.05*(B35+D35)/2</f>
        <v>489.375</v>
      </c>
      <c r="I35" s="34"/>
      <c r="J35" s="115">
        <f t="shared" si="0"/>
        <v>32.692307692307693</v>
      </c>
      <c r="K35" s="106">
        <v>1700</v>
      </c>
      <c r="L35" s="107">
        <v>9.1434603760098287</v>
      </c>
      <c r="M35" s="107">
        <v>9.3711794817129714</v>
      </c>
      <c r="N35" s="107">
        <v>9.6003381678220272</v>
      </c>
      <c r="O35" s="107">
        <v>9.8309218327647656</v>
      </c>
      <c r="P35" s="107">
        <v>10.06291555252419</v>
      </c>
      <c r="Q35" s="107">
        <v>10.296304102450403</v>
      </c>
      <c r="R35" s="107">
        <v>10.53107197886192</v>
      </c>
      <c r="S35" s="107">
        <v>10.767203420395479</v>
      </c>
      <c r="T35" s="107">
        <v>11.004682429064411</v>
      </c>
      <c r="U35" s="107">
        <v>11.243492790989738</v>
      </c>
      <c r="V35" s="107">
        <v>11.483618096769515</v>
      </c>
      <c r="W35" s="107">
        <v>11.725041761455886</v>
      </c>
      <c r="X35" s="108">
        <v>11.967747044110835</v>
      </c>
      <c r="Y35" s="109">
        <f>'Inputs and summary'!$B$2</f>
        <v>7.5</v>
      </c>
      <c r="Z35" s="110" cm="1">
        <f t="array" ref="Z35">INDEX($L$3:$X$148, ROW()-ROW(L$3)+1, _xlfn.XMATCH('Inputs and summary'!$B$3, Model!L$2:X$2, 0))</f>
        <v>11.483618096769515</v>
      </c>
    </row>
    <row r="36" spans="1:26" x14ac:dyDescent="0.25">
      <c r="A36" s="39" t="s">
        <v>10</v>
      </c>
      <c r="B36" s="92">
        <f>Truck_price</f>
        <v>50000</v>
      </c>
      <c r="C36" s="49">
        <f>pump_and_transfer_lifespan</f>
        <v>10</v>
      </c>
      <c r="D36" s="92">
        <f>0.3*B36</f>
        <v>15000</v>
      </c>
      <c r="E36" s="93">
        <f>truck_use_perc</f>
        <v>0.25</v>
      </c>
      <c r="F36" s="92">
        <f>(B36-D36)*Interest_rate/(1-(1+Interest_rate)^-C36)+D36*Interest_rate</f>
        <v>6416.0321043976373</v>
      </c>
      <c r="G36" s="92">
        <f>E36*F36</f>
        <v>1604.0080260994093</v>
      </c>
      <c r="H36" s="94">
        <f>E36*0.05*(B36+D36)/2</f>
        <v>406.25</v>
      </c>
      <c r="I36" s="38">
        <f>H36*2</f>
        <v>812.5</v>
      </c>
      <c r="J36" s="115">
        <f t="shared" si="0"/>
        <v>33.653846153846153</v>
      </c>
      <c r="K36" s="106">
        <v>1750</v>
      </c>
      <c r="L36" s="107">
        <v>9.0045372244891677</v>
      </c>
      <c r="M36" s="107">
        <v>9.2259361815303986</v>
      </c>
      <c r="N36" s="107">
        <v>9.4487143721121996</v>
      </c>
      <c r="O36" s="107">
        <v>9.6728579233555685</v>
      </c>
      <c r="P36" s="107">
        <v>9.8983526652999583</v>
      </c>
      <c r="Q36" s="107">
        <v>10.125184151001935</v>
      </c>
      <c r="R36" s="107">
        <v>10.353337676432599</v>
      </c>
      <c r="S36" s="107">
        <v>10.582798300137391</v>
      </c>
      <c r="T36" s="107">
        <v>10.813550862622641</v>
      </c>
      <c r="U36" s="107">
        <v>11.045580005436992</v>
      </c>
      <c r="V36" s="107">
        <v>11.278870189917033</v>
      </c>
      <c r="W36" s="107">
        <v>11.513405715569947</v>
      </c>
      <c r="X36" s="108">
        <v>11.74917073806745</v>
      </c>
      <c r="Y36" s="109">
        <f>'Inputs and summary'!$B$2</f>
        <v>7.5</v>
      </c>
      <c r="Z36" s="110" cm="1">
        <f t="array" ref="Z36">INDEX($L$3:$X$148, ROW()-ROW(L$3)+1, _xlfn.XMATCH('Inputs and summary'!$B$3, Model!L$2:X$2, 0))</f>
        <v>11.278870189917033</v>
      </c>
    </row>
    <row r="37" spans="1:26" ht="15.75" thickBot="1" x14ac:dyDescent="0.3">
      <c r="A37" s="41" t="s">
        <v>29</v>
      </c>
      <c r="B37" s="95">
        <f>Pump_and_transfer_system_price</f>
        <v>1500</v>
      </c>
      <c r="C37" s="96">
        <f>Batteries_lifespan</f>
        <v>10</v>
      </c>
      <c r="D37" s="95">
        <f>0.3*B37</f>
        <v>450</v>
      </c>
      <c r="E37" s="97">
        <f>pump_use_perc</f>
        <v>1</v>
      </c>
      <c r="F37" s="95">
        <f>(B37-D37)*Interest_rate/(1-(1+Interest_rate)^-C37)+D37*Interest_rate</f>
        <v>192.48096313192912</v>
      </c>
      <c r="G37" s="95">
        <f>E37*F37</f>
        <v>192.48096313192912</v>
      </c>
      <c r="H37" s="98">
        <f>Pump_maintenance</f>
        <v>146.25</v>
      </c>
      <c r="I37" s="34"/>
      <c r="J37" s="115">
        <f t="shared" si="0"/>
        <v>34.615384615384613</v>
      </c>
      <c r="K37" s="106">
        <v>1800</v>
      </c>
      <c r="L37" s="107">
        <v>8.8733516308435441</v>
      </c>
      <c r="M37" s="107">
        <v>9.0887885044996111</v>
      </c>
      <c r="N37" s="107">
        <v>9.3055486130307319</v>
      </c>
      <c r="O37" s="107">
        <v>9.5236187465679958</v>
      </c>
      <c r="P37" s="107">
        <v>9.742985420406054</v>
      </c>
      <c r="Q37" s="107">
        <v>9.9636348936171721</v>
      </c>
      <c r="R37" s="107">
        <v>10.185553187473207</v>
      </c>
      <c r="S37" s="107">
        <v>10.408726103642801</v>
      </c>
      <c r="T37" s="107">
        <v>10.633139242131593</v>
      </c>
      <c r="U37" s="107">
        <v>10.858778018936933</v>
      </c>
      <c r="V37" s="107">
        <v>11.085627683389363</v>
      </c>
      <c r="W37" s="107">
        <v>11.313673335156537</v>
      </c>
      <c r="X37" s="108">
        <v>11.542899940886368</v>
      </c>
      <c r="Y37" s="109">
        <f>'Inputs and summary'!$B$2</f>
        <v>7.5</v>
      </c>
      <c r="Z37" s="110" cm="1">
        <f t="array" ref="Z37">INDEX($L$3:$X$148, ROW()-ROW(L$3)+1, _xlfn.XMATCH('Inputs and summary'!$B$3, Model!L$2:X$2, 0))</f>
        <v>11.085627683389363</v>
      </c>
    </row>
    <row r="38" spans="1:26" x14ac:dyDescent="0.25">
      <c r="C38" s="34"/>
      <c r="D38" s="34"/>
      <c r="E38" s="34"/>
      <c r="F38" s="34"/>
      <c r="G38" s="34"/>
      <c r="H38" s="34"/>
      <c r="I38" s="34"/>
      <c r="J38" s="115">
        <f t="shared" si="0"/>
        <v>35.57692307692308</v>
      </c>
      <c r="K38" s="106">
        <v>1850</v>
      </c>
      <c r="L38" s="107">
        <v>8.7492746859040462</v>
      </c>
      <c r="M38" s="107">
        <v>8.959077967025344</v>
      </c>
      <c r="N38" s="107">
        <v>9.170152404459067</v>
      </c>
      <c r="O38" s="107">
        <v>9.3824853938129351</v>
      </c>
      <c r="P38" s="107">
        <v>9.5960640754497017</v>
      </c>
      <c r="Q38" s="107">
        <v>9.8108753518070841</v>
      </c>
      <c r="R38" s="107">
        <v>10.026905904534459</v>
      </c>
      <c r="S38" s="107">
        <v>10.244142211416619</v>
      </c>
      <c r="T38" s="107">
        <v>10.462570563055294</v>
      </c>
      <c r="U38" s="107">
        <v>10.68217707928255</v>
      </c>
      <c r="V38" s="107">
        <v>10.902947725280812</v>
      </c>
      <c r="W38" s="107">
        <v>11.1248683273875</v>
      </c>
      <c r="X38" s="108">
        <v>11.34792458856313</v>
      </c>
      <c r="Y38" s="109">
        <f>'Inputs and summary'!$B$2</f>
        <v>7.5</v>
      </c>
      <c r="Z38" s="110" cm="1">
        <f t="array" ref="Z38">INDEX($L$3:$X$148, ROW()-ROW(L$3)+1, _xlfn.XMATCH('Inputs and summary'!$B$3, Model!L$2:X$2, 0))</f>
        <v>10.902947725280812</v>
      </c>
    </row>
    <row r="39" spans="1:26" ht="15.75" thickBot="1" x14ac:dyDescent="0.3">
      <c r="B39" s="36"/>
      <c r="C39" s="34"/>
      <c r="D39" s="34"/>
      <c r="E39" s="34"/>
      <c r="F39" s="36"/>
      <c r="G39" s="34"/>
      <c r="H39" s="34"/>
      <c r="I39" s="34"/>
      <c r="J39" s="115">
        <f t="shared" si="0"/>
        <v>36.53846153846154</v>
      </c>
      <c r="K39" s="106">
        <v>1900</v>
      </c>
      <c r="L39" s="107">
        <v>8.6317438384047946</v>
      </c>
      <c r="M39" s="107">
        <v>8.8362156113585044</v>
      </c>
      <c r="N39" s="107">
        <v>9.0419100065075533</v>
      </c>
      <c r="O39" s="107">
        <v>9.2488149743048993</v>
      </c>
      <c r="P39" s="107">
        <v>9.4569182272818733</v>
      </c>
      <c r="Q39" s="107">
        <v>9.6662072562336405</v>
      </c>
      <c r="R39" s="107">
        <v>9.8766693462299227</v>
      </c>
      <c r="S39" s="107">
        <v>10.088291592423733</v>
      </c>
      <c r="T39" s="107">
        <v>10.301060915631234</v>
      </c>
      <c r="U39" s="107">
        <v>10.514964077658989</v>
      </c>
      <c r="V39" s="107">
        <v>10.729987696355451</v>
      </c>
      <c r="W39" s="107">
        <v>10.946118260366498</v>
      </c>
      <c r="X39" s="108">
        <v>11.163342143575678</v>
      </c>
      <c r="Y39" s="109">
        <f>'Inputs and summary'!$B$2</f>
        <v>7.5</v>
      </c>
      <c r="Z39" s="110" cm="1">
        <f t="array" ref="Z39">INDEX($L$3:$X$148, ROW()-ROW(L$3)+1, _xlfn.XMATCH('Inputs and summary'!$B$3, Model!L$2:X$2, 0))</f>
        <v>10.729987696355451</v>
      </c>
    </row>
    <row r="40" spans="1:26" ht="22.5" x14ac:dyDescent="0.25">
      <c r="A40" s="78"/>
      <c r="B40" s="71" t="s">
        <v>1</v>
      </c>
      <c r="C40" s="79" t="s">
        <v>37</v>
      </c>
      <c r="D40" s="71" t="s">
        <v>3</v>
      </c>
      <c r="E40" s="79" t="s">
        <v>5</v>
      </c>
      <c r="F40" s="79" t="s">
        <v>38</v>
      </c>
      <c r="G40" s="80" t="s">
        <v>11</v>
      </c>
      <c r="H40" s="34"/>
      <c r="I40" s="34"/>
      <c r="J40" s="115">
        <f t="shared" si="0"/>
        <v>37.5</v>
      </c>
      <c r="K40" s="106">
        <v>1950</v>
      </c>
      <c r="L40" s="107">
        <v>8.5202543680789145</v>
      </c>
      <c r="M40" s="107">
        <v>8.7196730657970249</v>
      </c>
      <c r="N40" s="107">
        <v>8.9202690652287657</v>
      </c>
      <c r="O40" s="107">
        <v>9.1220308269180688</v>
      </c>
      <c r="P40" s="107">
        <v>9.3249465888638703</v>
      </c>
      <c r="Q40" s="107">
        <v>9.5290043817057501</v>
      </c>
      <c r="R40" s="107">
        <v>9.7341920437428939</v>
      </c>
      <c r="S40" s="107">
        <v>9.9404972357612422</v>
      </c>
      <c r="T40" s="107">
        <v>10.147907455643884</v>
      </c>
      <c r="U40" s="107">
        <v>10.356410052742794</v>
      </c>
      <c r="V40" s="107">
        <v>10.565992241990479</v>
      </c>
      <c r="W40" s="107">
        <v>10.7766411177329</v>
      </c>
      <c r="X40" s="108">
        <v>10.988343667265761</v>
      </c>
      <c r="Y40" s="109">
        <f>'Inputs and summary'!$B$2</f>
        <v>7.5</v>
      </c>
      <c r="Z40" s="110" cm="1">
        <f t="array" ref="Z40">INDEX($L$3:$X$148, ROW()-ROW(L$3)+1, _xlfn.XMATCH('Inputs and summary'!$B$3, Model!L$2:X$2, 0))</f>
        <v>10.565992241990479</v>
      </c>
    </row>
    <row r="41" spans="1:26" ht="15.75" thickBot="1" x14ac:dyDescent="0.3">
      <c r="A41" s="41" t="s">
        <v>84</v>
      </c>
      <c r="B41" s="42">
        <f>Extra_batteries_price</f>
        <v>2500</v>
      </c>
      <c r="C41" s="43">
        <f>battery_lifespan</f>
        <v>5</v>
      </c>
      <c r="D41" s="42">
        <f>Battery_salvage_value</f>
        <v>500</v>
      </c>
      <c r="E41" s="42">
        <f>(Extra_batteries_price-Battery_salvage_value)*Interest_rate/(1-(1+Interest_rate)^-battery_lifespan)+Battery_salvage_value*Interest_rate</f>
        <v>540.912909133673</v>
      </c>
      <c r="F41" s="42">
        <f>(Capital_recovery__total_year*battery_lifespan-Extra_batteries_price)/battery_lifespan</f>
        <v>40.912909133673018</v>
      </c>
      <c r="G41" s="44">
        <f>IF((battery_lifespan*charge_cycles_a_year/(N_of_batteries_included_with_drone))&gt;Charges_of_lifespan__batteries,(Extra_batteries_price-Battery_salvage_value)/Charges_of_lifespan__batteries,(E41-F41/C41)/(B8/(N_of_batteries_included_with_drone)))</f>
        <v>4.3284339093688748</v>
      </c>
      <c r="H41" s="34"/>
      <c r="I41" s="34"/>
      <c r="J41" s="115">
        <f t="shared" si="0"/>
        <v>38.46153846153846</v>
      </c>
      <c r="K41" s="106">
        <v>2000</v>
      </c>
      <c r="L41" s="107">
        <v>8.4143521406188988</v>
      </c>
      <c r="M41" s="107">
        <v>8.6089749496556429</v>
      </c>
      <c r="N41" s="107">
        <v>8.8047326612618022</v>
      </c>
      <c r="O41" s="107">
        <v>9.0016142063481013</v>
      </c>
      <c r="P41" s="107">
        <v>9.199608306979405</v>
      </c>
      <c r="Q41" s="107">
        <v>9.3987034906746967</v>
      </c>
      <c r="R41" s="107">
        <v>9.5988881045480667</v>
      </c>
      <c r="S41" s="107">
        <v>9.800150329267229</v>
      </c>
      <c r="T41" s="107">
        <v>10.002478192806414</v>
      </c>
      <c r="U41" s="107">
        <v>10.205859583973162</v>
      </c>
      <c r="V41" s="107">
        <v>10.410282265689066</v>
      </c>
      <c r="W41" s="107">
        <v>10.615733888007119</v>
      </c>
      <c r="X41" s="108">
        <v>10.822202000848995</v>
      </c>
      <c r="Y41" s="109">
        <f>'Inputs and summary'!$B$2</f>
        <v>7.5</v>
      </c>
      <c r="Z41" s="110" cm="1">
        <f t="array" ref="Z41">INDEX($L$3:$X$148, ROW()-ROW(L$3)+1, _xlfn.XMATCH('Inputs and summary'!$B$3, Model!L$2:X$2, 0))</f>
        <v>10.410282265689066</v>
      </c>
    </row>
    <row r="42" spans="1:26" x14ac:dyDescent="0.25">
      <c r="A42" s="45"/>
      <c r="B42" s="40"/>
      <c r="C42" s="46"/>
      <c r="D42" s="40"/>
      <c r="E42" s="40"/>
      <c r="F42" s="40"/>
      <c r="G42" s="40"/>
      <c r="H42" s="34"/>
      <c r="I42" s="34"/>
      <c r="J42" s="115">
        <f t="shared" si="0"/>
        <v>39.42307692307692</v>
      </c>
      <c r="K42" s="106">
        <v>2050</v>
      </c>
      <c r="L42" s="107">
        <v>8.3136274251789608</v>
      </c>
      <c r="M42" s="107">
        <v>8.5036923927837993</v>
      </c>
      <c r="N42" s="107">
        <v>8.6948525260554916</v>
      </c>
      <c r="O42" s="107">
        <v>8.887097190873412</v>
      </c>
      <c r="P42" s="107">
        <v>9.0804155565191582</v>
      </c>
      <c r="Q42" s="107">
        <v>9.2747966091882201</v>
      </c>
      <c r="R42" s="107">
        <v>9.4702291653498651</v>
      </c>
      <c r="S42" s="107">
        <v>9.6667018849333175</v>
      </c>
      <c r="T42" s="107">
        <v>9.8642032843183749</v>
      </c>
      <c r="U42" s="107">
        <v>10.06272174911137</v>
      </c>
      <c r="V42" s="107">
        <v>10.262245546687701</v>
      </c>
      <c r="W42" s="107">
        <v>10.462762838484705</v>
      </c>
      <c r="X42" s="108">
        <v>10.664261692029228</v>
      </c>
      <c r="Y42" s="109">
        <f>'Inputs and summary'!$B$2</f>
        <v>7.5</v>
      </c>
      <c r="Z42" s="110" cm="1">
        <f t="array" ref="Z42">INDEX($L$3:$X$148, ROW()-ROW(L$3)+1, _xlfn.XMATCH('Inputs and summary'!$B$3, Model!L$2:X$2, 0))</f>
        <v>10.262245546687701</v>
      </c>
    </row>
    <row r="43" spans="1:26" x14ac:dyDescent="0.25">
      <c r="A43" s="34" t="s">
        <v>57</v>
      </c>
      <c r="C43" s="34"/>
      <c r="D43" s="34"/>
      <c r="E43" s="34"/>
      <c r="F43" s="34"/>
      <c r="G43" s="34"/>
      <c r="H43" s="34"/>
      <c r="I43" s="34"/>
      <c r="J43" s="115">
        <f t="shared" si="0"/>
        <v>40.384615384615387</v>
      </c>
      <c r="K43" s="106">
        <v>2100</v>
      </c>
      <c r="L43" s="107">
        <v>8.2177095969589153</v>
      </c>
      <c r="M43" s="107">
        <v>8.4034374833775729</v>
      </c>
      <c r="N43" s="107">
        <v>8.5902232304372887</v>
      </c>
      <c r="O43" s="107">
        <v>8.7780566073256185</v>
      </c>
      <c r="P43" s="107">
        <v>8.9669271976206311</v>
      </c>
      <c r="Q43" s="107">
        <v>9.1568244120976932</v>
      </c>
      <c r="R43" s="107">
        <v>9.34773750139124</v>
      </c>
      <c r="S43" s="107">
        <v>9.5396555684909661</v>
      </c>
      <c r="T43" s="107">
        <v>9.7325675810516827</v>
      </c>
      <c r="U43" s="107">
        <v>9.9264623834989401</v>
      </c>
      <c r="V43" s="107">
        <v>10.121328708912619</v>
      </c>
      <c r="W43" s="107">
        <v>10.317155190673226</v>
      </c>
      <c r="X43" s="108">
        <v>10.51393037385613</v>
      </c>
      <c r="Y43" s="109">
        <f>'Inputs and summary'!$B$2</f>
        <v>7.5</v>
      </c>
      <c r="Z43" s="110" cm="1">
        <f t="array" ref="Z43">INDEX($L$3:$X$148, ROW()-ROW(L$3)+1, _xlfn.XMATCH('Inputs and summary'!$B$3, Model!L$2:X$2, 0))</f>
        <v>10.121328708912619</v>
      </c>
    </row>
    <row r="44" spans="1:26" x14ac:dyDescent="0.25">
      <c r="C44" s="34"/>
      <c r="D44" s="34"/>
      <c r="E44" s="34"/>
      <c r="F44" s="34"/>
      <c r="G44" s="34"/>
      <c r="H44" s="34"/>
      <c r="I44" s="34"/>
      <c r="J44" s="115">
        <f t="shared" si="0"/>
        <v>41.346153846153847</v>
      </c>
      <c r="K44" s="106">
        <v>2150</v>
      </c>
      <c r="L44" s="107">
        <v>8.1262625804916482</v>
      </c>
      <c r="M44" s="107">
        <v>8.30785849257264</v>
      </c>
      <c r="N44" s="107">
        <v>8.4904771867311908</v>
      </c>
      <c r="O44" s="107">
        <v>8.6741088070460268</v>
      </c>
      <c r="P44" s="107">
        <v>8.858743321877089</v>
      </c>
      <c r="Q44" s="107">
        <v>9.0443705360392386</v>
      </c>
      <c r="R44" s="107">
        <v>9.2309801028373517</v>
      </c>
      <c r="S44" s="107">
        <v>9.4185615359433346</v>
      </c>
      <c r="T44" s="107">
        <v>9.6071042210953266</v>
      </c>
      <c r="U44" s="107">
        <v>9.7965974276021353</v>
      </c>
      <c r="V44" s="107">
        <v>9.9870303196360357</v>
      </c>
      <c r="W44" s="107">
        <v>10.178391967299428</v>
      </c>
      <c r="X44" s="108">
        <v>10.370671357451362</v>
      </c>
      <c r="Y44" s="109">
        <f>'Inputs and summary'!$B$2</f>
        <v>7.5</v>
      </c>
      <c r="Z44" s="110" cm="1">
        <f t="array" ref="Z44">INDEX($L$3:$X$148, ROW()-ROW(L$3)+1, _xlfn.XMATCH('Inputs and summary'!$B$3, Model!L$2:X$2, 0))</f>
        <v>9.9870303196360357</v>
      </c>
    </row>
    <row r="45" spans="1:26" x14ac:dyDescent="0.25">
      <c r="C45" s="34"/>
      <c r="D45" s="34"/>
      <c r="E45" s="34"/>
      <c r="F45" s="34"/>
      <c r="G45" s="34"/>
      <c r="H45" s="34"/>
      <c r="I45" s="34"/>
      <c r="J45" s="115">
        <f t="shared" si="0"/>
        <v>42.307692307692307</v>
      </c>
      <c r="K45" s="106">
        <v>2200</v>
      </c>
      <c r="L45" s="107">
        <v>8.0389809155588505</v>
      </c>
      <c r="M45" s="107">
        <v>8.2166357519225439</v>
      </c>
      <c r="N45" s="107">
        <v>8.3952803345890388</v>
      </c>
      <c r="O45" s="107">
        <v>8.5749051569375361</v>
      </c>
      <c r="P45" s="107">
        <v>8.7555005455596042</v>
      </c>
      <c r="Q45" s="107">
        <v>8.9370566718619315</v>
      </c>
      <c r="R45" s="107">
        <v>9.1195635635365235</v>
      </c>
      <c r="S45" s="107">
        <v>9.303011115879718</v>
      </c>
      <c r="T45" s="107">
        <v>9.4873891029412842</v>
      </c>
      <c r="U45" s="107">
        <v>9.6726871884874228</v>
      </c>
      <c r="V45" s="107">
        <v>9.8588949367615637</v>
      </c>
      <c r="W45" s="107">
        <v>10.046001823029201</v>
      </c>
      <c r="X45" s="108">
        <v>10.23399724389337</v>
      </c>
      <c r="Y45" s="109">
        <f>'Inputs and summary'!$B$2</f>
        <v>7.5</v>
      </c>
      <c r="Z45" s="110" cm="1">
        <f t="array" ref="Z45">INDEX($L$3:$X$148, ROW()-ROW(L$3)+1, _xlfn.XMATCH('Inputs and summary'!$B$3, Model!L$2:X$2, 0))</f>
        <v>9.8588949367615637</v>
      </c>
    </row>
    <row r="46" spans="1:26" x14ac:dyDescent="0.25">
      <c r="C46" s="34"/>
      <c r="D46" s="34"/>
      <c r="E46" s="34"/>
      <c r="F46" s="34"/>
      <c r="G46" s="34"/>
      <c r="H46" s="34"/>
      <c r="I46" s="34"/>
      <c r="J46" s="115">
        <f t="shared" si="0"/>
        <v>43.269230769230766</v>
      </c>
      <c r="K46" s="106">
        <v>2250</v>
      </c>
      <c r="L46" s="107">
        <v>7.9555863486915861</v>
      </c>
      <c r="M46" s="107">
        <v>8.1294780819470347</v>
      </c>
      <c r="N46" s="107">
        <v>8.3043284038514376</v>
      </c>
      <c r="O46" s="107">
        <v>8.4801281339662964</v>
      </c>
      <c r="P46" s="107">
        <v>8.6568679331550236</v>
      </c>
      <c r="Q46" s="107">
        <v>8.8345383146687482</v>
      </c>
      <c r="R46" s="107">
        <v>9.0131296551052085</v>
      </c>
      <c r="S46" s="107">
        <v>9.1926322052229263</v>
      </c>
      <c r="T46" s="107">
        <v>9.3730361005927243</v>
      </c>
      <c r="U46" s="107">
        <v>9.5543313720711041</v>
      </c>
      <c r="V46" s="107">
        <v>9.7365079560800538</v>
      </c>
      <c r="W46" s="107">
        <v>9.9195557046801781</v>
      </c>
      <c r="X46" s="108">
        <v>10.103464395424258</v>
      </c>
      <c r="Y46" s="109">
        <f>'Inputs and summary'!$B$2</f>
        <v>7.5</v>
      </c>
      <c r="Z46" s="110" cm="1">
        <f t="array" ref="Z46">INDEX($L$3:$X$148, ROW()-ROW(L$3)+1, _xlfn.XMATCH('Inputs and summary'!$B$3, Model!L$2:X$2, 0))</f>
        <v>9.7365079560800538</v>
      </c>
    </row>
    <row r="47" spans="1:26" x14ac:dyDescent="0.25">
      <c r="C47" s="34"/>
      <c r="D47" s="34"/>
      <c r="E47" s="34"/>
      <c r="F47" s="34"/>
      <c r="G47" s="34"/>
      <c r="H47" s="34"/>
      <c r="I47" s="34"/>
      <c r="J47" s="115">
        <f t="shared" si="0"/>
        <v>44.230769230769234</v>
      </c>
      <c r="K47" s="106">
        <v>2300</v>
      </c>
      <c r="L47" s="107">
        <v>7.8758248701214182</v>
      </c>
      <c r="M47" s="107">
        <v>8.0461196876852306</v>
      </c>
      <c r="N47" s="107">
        <v>8.2173436663633108</v>
      </c>
      <c r="O47" s="107">
        <v>8.3894879309524661</v>
      </c>
      <c r="P47" s="107">
        <v>8.562543454900446</v>
      </c>
      <c r="Q47" s="107">
        <v>8.7365010709219355</v>
      </c>
      <c r="R47" s="107">
        <v>8.9113514814929076</v>
      </c>
      <c r="S47" s="107">
        <v>9.0870852692062876</v>
      </c>
      <c r="T47" s="107">
        <v>9.2636929069716452</v>
      </c>
      <c r="U47" s="107">
        <v>9.4411647680440911</v>
      </c>
      <c r="V47" s="107">
        <v>9.6194911358675483</v>
      </c>
      <c r="W47" s="107">
        <v>9.7986622137197834</v>
      </c>
      <c r="X47" s="108">
        <v>9.9786681341468881</v>
      </c>
      <c r="Y47" s="109">
        <f>'Inputs and summary'!$B$2</f>
        <v>7.5</v>
      </c>
      <c r="Z47" s="110" cm="1">
        <f t="array" ref="Z47">INDEX($L$3:$X$148, ROW()-ROW(L$3)+1, _xlfn.XMATCH('Inputs and summary'!$B$3, Model!L$2:X$2, 0))</f>
        <v>9.6194911358675483</v>
      </c>
    </row>
    <row r="48" spans="1:26" x14ac:dyDescent="0.25">
      <c r="C48" s="34"/>
      <c r="D48" s="34"/>
      <c r="E48" s="34"/>
      <c r="F48" s="34"/>
      <c r="G48" s="34"/>
      <c r="H48" s="34"/>
      <c r="I48" s="34"/>
      <c r="J48" s="115">
        <f t="shared" si="0"/>
        <v>45.192307692307693</v>
      </c>
      <c r="K48" s="106">
        <v>2350</v>
      </c>
      <c r="L48" s="107">
        <v>7.7994641297133276</v>
      </c>
      <c r="M48" s="107">
        <v>7.9663174515315065</v>
      </c>
      <c r="N48" s="107">
        <v>8.1340721037044812</v>
      </c>
      <c r="O48" s="107">
        <v>8.3027194972307417</v>
      </c>
      <c r="P48" s="107">
        <v>8.4722508984552203</v>
      </c>
      <c r="Q48" s="107">
        <v>8.642657439256757</v>
      </c>
      <c r="R48" s="107">
        <v>8.8139301271188923</v>
      </c>
      <c r="S48" s="107">
        <v>8.9860598550675466</v>
      </c>
      <c r="T48" s="107">
        <v>9.1590374114589501</v>
      </c>
      <c r="U48" s="107">
        <v>9.3328534896035542</v>
      </c>
      <c r="V48" s="107">
        <v>9.5074986972116093</v>
      </c>
      <c r="W48" s="107">
        <v>9.682963565648274</v>
      </c>
      <c r="X48" s="108">
        <v>9.8592385589864069</v>
      </c>
      <c r="Y48" s="109">
        <f>'Inputs and summary'!$B$2</f>
        <v>7.5</v>
      </c>
      <c r="Z48" s="110" cm="1">
        <f t="array" ref="Z48">INDEX($L$3:$X$148, ROW()-ROW(L$3)+1, _xlfn.XMATCH('Inputs and summary'!$B$3, Model!L$2:X$2, 0))</f>
        <v>9.5074986972116093</v>
      </c>
    </row>
    <row r="49" spans="3:26" x14ac:dyDescent="0.25">
      <c r="C49" s="34"/>
      <c r="D49" s="34"/>
      <c r="E49" s="34"/>
      <c r="F49" s="34"/>
      <c r="G49" s="34"/>
      <c r="H49" s="34"/>
      <c r="I49" s="34"/>
      <c r="J49" s="115">
        <f t="shared" si="0"/>
        <v>46.153846153846153</v>
      </c>
      <c r="K49" s="106">
        <v>2400</v>
      </c>
      <c r="L49" s="107">
        <v>7.7262911765098847</v>
      </c>
      <c r="M49" s="107">
        <v>7.8898485652794914</v>
      </c>
      <c r="N49" s="107">
        <v>8.0542809300037863</v>
      </c>
      <c r="O49" s="107">
        <v>8.2195799505412719</v>
      </c>
      <c r="P49" s="107">
        <v>8.3857371682139004</v>
      </c>
      <c r="Q49" s="107">
        <v>8.5527439956023734</v>
      </c>
      <c r="R49" s="107">
        <v>8.7205917262293635</v>
      </c>
      <c r="S49" s="107">
        <v>8.8892715441148518</v>
      </c>
      <c r="T49" s="107">
        <v>9.0587745331874832</v>
      </c>
      <c r="U49" s="107">
        <v>9.229091686538176</v>
      </c>
      <c r="V49" s="107">
        <v>9.4002139155021123</v>
      </c>
      <c r="W49" s="107">
        <v>9.572132058557461</v>
      </c>
      <c r="X49" s="108">
        <v>9.7448368900292905</v>
      </c>
      <c r="Y49" s="109">
        <f>'Inputs and summary'!$B$2</f>
        <v>7.5</v>
      </c>
      <c r="Z49" s="110" cm="1">
        <f t="array" ref="Z49">INDEX($L$3:$X$148, ROW()-ROW(L$3)+1, _xlfn.XMATCH('Inputs and summary'!$B$3, Model!L$2:X$2, 0))</f>
        <v>9.4002139155021123</v>
      </c>
    </row>
    <row r="50" spans="3:26" x14ac:dyDescent="0.25">
      <c r="C50" s="34"/>
      <c r="D50" s="34"/>
      <c r="E50" s="34"/>
      <c r="F50" s="34"/>
      <c r="G50" s="34"/>
      <c r="H50" s="34"/>
      <c r="I50" s="34"/>
      <c r="J50" s="115">
        <f t="shared" si="0"/>
        <v>47.115384615384613</v>
      </c>
      <c r="K50" s="106">
        <v>2450</v>
      </c>
      <c r="L50" s="107">
        <v>7.6561104755726799</v>
      </c>
      <c r="M50" s="107">
        <v>7.8165084528030366</v>
      </c>
      <c r="N50" s="107">
        <v>7.9777564189650336</v>
      </c>
      <c r="O50" s="107">
        <v>8.1398463069365086</v>
      </c>
      <c r="P50" s="107">
        <v>8.3027699166622817</v>
      </c>
      <c r="Q50" s="107">
        <v>8.4665189245893409</v>
      </c>
      <c r="R50" s="107">
        <v>8.6310848929942736</v>
      </c>
      <c r="S50" s="107">
        <v>8.7964592791877152</v>
      </c>
      <c r="T50" s="107">
        <v>8.9626334445801632</v>
      </c>
      <c r="U50" s="107">
        <v>9.1295986635958339</v>
      </c>
      <c r="V50" s="107">
        <v>9.2973461324211755</v>
      </c>
      <c r="W50" s="107">
        <v>9.4658669775766988</v>
      </c>
      <c r="X50" s="108">
        <v>9.6351522643009666</v>
      </c>
      <c r="Y50" s="109">
        <f>'Inputs and summary'!$B$2</f>
        <v>7.5</v>
      </c>
      <c r="Z50" s="110" cm="1">
        <f t="array" ref="Z50">INDEX($L$3:$X$148, ROW()-ROW(L$3)+1, _xlfn.XMATCH('Inputs and summary'!$B$3, Model!L$2:X$2, 0))</f>
        <v>9.2973461324211755</v>
      </c>
    </row>
    <row r="51" spans="3:26" x14ac:dyDescent="0.25">
      <c r="C51" s="34"/>
      <c r="D51" s="34"/>
      <c r="E51" s="34"/>
      <c r="F51" s="34"/>
      <c r="G51" s="34"/>
      <c r="H51" s="34"/>
      <c r="I51" s="34"/>
      <c r="J51" s="115">
        <f t="shared" si="0"/>
        <v>48.07692307692308</v>
      </c>
      <c r="K51" s="106">
        <v>2500</v>
      </c>
      <c r="L51" s="107">
        <v>7.5887421632301475</v>
      </c>
      <c r="M51" s="107">
        <v>7.746108942591885</v>
      </c>
      <c r="N51" s="107">
        <v>7.9043019923950677</v>
      </c>
      <c r="O51" s="107">
        <v>8.063313484031978</v>
      </c>
      <c r="P51" s="107">
        <v>8.2231354611083436</v>
      </c>
      <c r="Q51" s="107">
        <v>8.3837598485468234</v>
      </c>
      <c r="R51" s="107">
        <v>8.5451784615868256</v>
      </c>
      <c r="S51" s="107">
        <v>8.7073830146658864</v>
      </c>
      <c r="T51" s="107">
        <v>8.8703651301674178</v>
      </c>
      <c r="U51" s="107">
        <v>9.0341163470218664</v>
      </c>
      <c r="V51" s="107">
        <v>9.19862812914835</v>
      </c>
      <c r="W51" s="107">
        <v>9.3638918737257164</v>
      </c>
      <c r="X51" s="108">
        <v>9.5298989192822106</v>
      </c>
      <c r="Y51" s="109">
        <f>'Inputs and summary'!$B$2</f>
        <v>7.5</v>
      </c>
      <c r="Z51" s="110" cm="1">
        <f t="array" ref="Z51">INDEX($L$3:$X$148, ROW()-ROW(L$3)+1, _xlfn.XMATCH('Inputs and summary'!$B$3, Model!L$2:X$2, 0))</f>
        <v>9.19862812914835</v>
      </c>
    </row>
    <row r="52" spans="3:26" x14ac:dyDescent="0.25">
      <c r="C52" s="34"/>
      <c r="D52" s="34"/>
      <c r="E52" s="34"/>
      <c r="F52" s="34"/>
      <c r="G52" s="34"/>
      <c r="H52" s="34"/>
      <c r="I52" s="34"/>
      <c r="J52" s="115">
        <f t="shared" si="0"/>
        <v>49.03846153846154</v>
      </c>
      <c r="K52" s="106">
        <v>2550</v>
      </c>
      <c r="L52" s="107">
        <v>7.524020507952164</v>
      </c>
      <c r="M52" s="107">
        <v>7.6784766557712008</v>
      </c>
      <c r="N52" s="107">
        <v>7.8337365342421306</v>
      </c>
      <c r="O52" s="107">
        <v>7.9897925399590477</v>
      </c>
      <c r="P52" s="107">
        <v>8.1466369464680017</v>
      </c>
      <c r="Q52" s="107">
        <v>8.3042619130640869</v>
      </c>
      <c r="R52" s="107">
        <v>8.4626594934886796</v>
      </c>
      <c r="S52" s="107">
        <v>8.6218216445124796</v>
      </c>
      <c r="T52" s="107">
        <v>8.7817402343895559</v>
      </c>
      <c r="U52" s="107">
        <v>8.9424070511698854</v>
      </c>
      <c r="V52" s="107">
        <v>9.103813810857698</v>
      </c>
      <c r="W52" s="107">
        <v>9.2659521654049453</v>
      </c>
      <c r="X52" s="108">
        <v>9.4288137105293881</v>
      </c>
      <c r="Y52" s="109">
        <f>'Inputs and summary'!$B$2</f>
        <v>7.5</v>
      </c>
      <c r="Z52" s="110" cm="1">
        <f t="array" ref="Z52">INDEX($L$3:$X$148, ROW()-ROW(L$3)+1, _xlfn.XMATCH('Inputs and summary'!$B$3, Model!L$2:X$2, 0))</f>
        <v>9.103813810857698</v>
      </c>
    </row>
    <row r="53" spans="3:26" x14ac:dyDescent="0.25">
      <c r="C53" s="34"/>
      <c r="D53" s="34"/>
      <c r="E53" s="34"/>
      <c r="F53" s="34"/>
      <c r="G53" s="34"/>
      <c r="H53" s="34"/>
      <c r="I53" s="34"/>
      <c r="J53" s="115">
        <f t="shared" si="0"/>
        <v>50</v>
      </c>
      <c r="K53" s="106">
        <v>2600</v>
      </c>
      <c r="L53" s="107">
        <v>7.4617925491233379</v>
      </c>
      <c r="M53" s="107">
        <v>7.613451580533531</v>
      </c>
      <c r="N53" s="107">
        <v>7.7658928997047205</v>
      </c>
      <c r="O53" s="107">
        <v>7.9191091161873288</v>
      </c>
      <c r="P53" s="107">
        <v>8.0730927208572396</v>
      </c>
      <c r="Q53" s="107">
        <v>8.2278360944290263</v>
      </c>
      <c r="R53" s="107">
        <v>8.3833315158729427</v>
      </c>
      <c r="S53" s="107">
        <v>8.5395711707216595</v>
      </c>
      <c r="T53" s="107">
        <v>8.6965471592523897</v>
      </c>
      <c r="U53" s="107">
        <v>8.8542515045321739</v>
      </c>
      <c r="V53" s="107">
        <v>9.0126761603140011</v>
      </c>
      <c r="W53" s="107">
        <v>9.1718130187733387</v>
      </c>
      <c r="X53" s="108">
        <v>9.3316539180748421</v>
      </c>
      <c r="Y53" s="109">
        <f>'Inputs and summary'!$B$2</f>
        <v>7.5</v>
      </c>
      <c r="Z53" s="110" cm="1">
        <f t="array" ref="Z53">INDEX($L$3:$X$148, ROW()-ROW(L$3)+1, _xlfn.XMATCH('Inputs and summary'!$B$3, Model!L$2:X$2, 0))</f>
        <v>9.0126761603140011</v>
      </c>
    </row>
    <row r="54" spans="3:26" x14ac:dyDescent="0.25">
      <c r="C54" s="34"/>
      <c r="D54" s="34"/>
      <c r="E54" s="34"/>
      <c r="F54" s="34"/>
      <c r="G54" s="34"/>
      <c r="H54" s="34"/>
      <c r="I54" s="34"/>
      <c r="J54" s="115">
        <f t="shared" si="0"/>
        <v>50.96153846153846</v>
      </c>
      <c r="K54" s="106">
        <v>2650</v>
      </c>
      <c r="L54" s="107">
        <v>7.4019168901792867</v>
      </c>
      <c r="M54" s="107">
        <v>7.5508858083092534</v>
      </c>
      <c r="N54" s="107">
        <v>7.7006165935779149</v>
      </c>
      <c r="O54" s="107">
        <v>7.8511020572043595</v>
      </c>
      <c r="P54" s="107">
        <v>8.0023348957791942</v>
      </c>
      <c r="Q54" s="107">
        <v>8.1543076995141277</v>
      </c>
      <c r="R54" s="107">
        <v>8.3070129603986658</v>
      </c>
      <c r="S54" s="107">
        <v>8.4604430802502808</v>
      </c>
      <c r="T54" s="107">
        <v>8.6145903786440616</v>
      </c>
      <c r="U54" s="107">
        <v>8.7694471007098844</v>
      </c>
      <c r="V54" s="107">
        <v>8.9250054247851001</v>
      </c>
      <c r="W54" s="107">
        <v>9.0812574699125879</v>
      </c>
      <c r="X54" s="108">
        <v>9.2381953031741801</v>
      </c>
      <c r="Y54" s="109">
        <f>'Inputs and summary'!$B$2</f>
        <v>7.5</v>
      </c>
      <c r="Z54" s="110" cm="1">
        <f t="array" ref="Z54">INDEX($L$3:$X$148, ROW()-ROW(L$3)+1, _xlfn.XMATCH('Inputs and summary'!$B$3, Model!L$2:X$2, 0))</f>
        <v>8.9250054247851001</v>
      </c>
    </row>
    <row r="55" spans="3:26" x14ac:dyDescent="0.25">
      <c r="C55" s="34"/>
      <c r="D55" s="34"/>
      <c r="E55" s="34"/>
      <c r="F55" s="34"/>
      <c r="G55" s="34"/>
      <c r="H55" s="34"/>
      <c r="I55" s="34"/>
      <c r="J55" s="115">
        <f t="shared" si="0"/>
        <v>51.92307692307692</v>
      </c>
      <c r="K55" s="106">
        <v>2700</v>
      </c>
      <c r="L55" s="107">
        <v>7.344262626062747</v>
      </c>
      <c r="M55" s="107">
        <v>7.4906424106647389</v>
      </c>
      <c r="N55" s="107">
        <v>7.6377645958413209</v>
      </c>
      <c r="O55" s="107">
        <v>7.7856221840544624</v>
      </c>
      <c r="P55" s="107">
        <v>7.9342080668892798</v>
      </c>
      <c r="Q55" s="107">
        <v>8.0835150330580845</v>
      </c>
      <c r="R55" s="107">
        <v>8.2335357763147243</v>
      </c>
      <c r="S55" s="107">
        <v>8.3842629032658991</v>
      </c>
      <c r="T55" s="107">
        <v>8.5356889410657377</v>
      </c>
      <c r="U55" s="107">
        <v>8.6878063449820448</v>
      </c>
      <c r="V55" s="107">
        <v>8.840607505822426</v>
      </c>
      <c r="W55" s="107">
        <v>8.9940847572103877</v>
      </c>
      <c r="X55" s="108">
        <v>9.1482303827016711</v>
      </c>
      <c r="Y55" s="109">
        <f>'Inputs and summary'!$B$2</f>
        <v>7.5</v>
      </c>
      <c r="Z55" s="110" cm="1">
        <f t="array" ref="Z55">INDEX($L$3:$X$148, ROW()-ROW(L$3)+1, _xlfn.XMATCH('Inputs and summary'!$B$3, Model!L$2:X$2, 0))</f>
        <v>8.840607505822426</v>
      </c>
    </row>
    <row r="56" spans="3:26" x14ac:dyDescent="0.25">
      <c r="C56" s="34"/>
      <c r="D56" s="34"/>
      <c r="E56" s="34"/>
      <c r="F56" s="34"/>
      <c r="G56" s="34"/>
      <c r="H56" s="34"/>
      <c r="I56" s="34"/>
      <c r="J56" s="115">
        <f t="shared" si="0"/>
        <v>52.884615384615387</v>
      </c>
      <c r="K56" s="106">
        <v>2750</v>
      </c>
      <c r="L56" s="107">
        <v>7.2887083878763654</v>
      </c>
      <c r="M56" s="107">
        <v>7.4325944389798622</v>
      </c>
      <c r="N56" s="107">
        <v>7.5772043157002109</v>
      </c>
      <c r="O56" s="107">
        <v>7.722531202093986</v>
      </c>
      <c r="P56" s="107">
        <v>7.8685681748271428</v>
      </c>
      <c r="Q56" s="107">
        <v>8.0153082109498772</v>
      </c>
      <c r="R56" s="107">
        <v>8.1627441955847289</v>
      </c>
      <c r="S56" s="107">
        <v>8.310868929514978</v>
      </c>
      <c r="T56" s="107">
        <v>8.4596751366598593</v>
      </c>
      <c r="U56" s="107">
        <v>8.6091554714253107</v>
      </c>
      <c r="V56" s="107">
        <v>8.7593025259186881</v>
      </c>
      <c r="W56" s="107">
        <v>8.9101088370178125</v>
      </c>
      <c r="X56" s="108">
        <v>9.0615668932847697</v>
      </c>
      <c r="Y56" s="109">
        <f>'Inputs and summary'!$B$2</f>
        <v>7.5</v>
      </c>
      <c r="Z56" s="110" cm="1">
        <f t="array" ref="Z56">INDEX($L$3:$X$148, ROW()-ROW(L$3)+1, _xlfn.XMATCH('Inputs and summary'!$B$3, Model!L$2:X$2, 0))</f>
        <v>8.7593025259186881</v>
      </c>
    </row>
    <row r="57" spans="3:26" x14ac:dyDescent="0.25">
      <c r="C57" s="34"/>
      <c r="D57" s="34"/>
      <c r="E57" s="34"/>
      <c r="F57" s="34"/>
      <c r="G57" s="34"/>
      <c r="H57" s="34"/>
      <c r="I57" s="34"/>
      <c r="J57" s="115">
        <f t="shared" si="0"/>
        <v>53.846153846153847</v>
      </c>
      <c r="K57" s="106">
        <v>2800</v>
      </c>
      <c r="L57" s="107">
        <v>7.2351414900591733</v>
      </c>
      <c r="M57" s="107">
        <v>7.3766240315258145</v>
      </c>
      <c r="N57" s="107">
        <v>7.5188126579823358</v>
      </c>
      <c r="O57" s="107">
        <v>7.661700726134713</v>
      </c>
      <c r="P57" s="107">
        <v>7.8052814885447628</v>
      </c>
      <c r="Q57" s="107">
        <v>7.9495481011905786</v>
      </c>
      <c r="R57" s="107">
        <v>8.0944936309429831</v>
      </c>
      <c r="S57" s="107">
        <v>8.2401110629453616</v>
      </c>
      <c r="T57" s="107">
        <v>8.3863933078836883</v>
      </c>
      <c r="U57" s="107">
        <v>8.5333332091356979</v>
      </c>
      <c r="V57" s="107">
        <v>8.6809235497878756</v>
      </c>
      <c r="W57" s="107">
        <v>8.8291570595108659</v>
      </c>
      <c r="X57" s="108">
        <v>8.9780264212838556</v>
      </c>
      <c r="Y57" s="109">
        <f>'Inputs and summary'!$B$2</f>
        <v>7.5</v>
      </c>
      <c r="Z57" s="110" cm="1">
        <f t="array" ref="Z57">INDEX($L$3:$X$148, ROW()-ROW(L$3)+1, _xlfn.XMATCH('Inputs and summary'!$B$3, Model!L$2:X$2, 0))</f>
        <v>8.6809235497878756</v>
      </c>
    </row>
    <row r="58" spans="3:26" x14ac:dyDescent="0.25">
      <c r="C58" s="34"/>
      <c r="D58" s="34"/>
      <c r="E58" s="34"/>
      <c r="F58" s="34"/>
      <c r="G58" s="34"/>
      <c r="H58" s="34"/>
      <c r="I58" s="34"/>
      <c r="J58" s="115">
        <f t="shared" si="0"/>
        <v>54.807692307692307</v>
      </c>
      <c r="K58" s="106">
        <v>2850</v>
      </c>
      <c r="L58" s="107">
        <v>7.1834571674762504</v>
      </c>
      <c r="M58" s="107">
        <v>7.3226216147269572</v>
      </c>
      <c r="N58" s="107">
        <v>7.4624751880577902</v>
      </c>
      <c r="O58" s="107">
        <v>7.6030114085160942</v>
      </c>
      <c r="P58" s="107">
        <v>7.7442236960344601</v>
      </c>
      <c r="Q58" s="107">
        <v>7.8861053767900469</v>
      </c>
      <c r="R58" s="107">
        <v>8.028649690482613</v>
      </c>
      <c r="S58" s="107">
        <v>8.1718497975187798</v>
      </c>
      <c r="T58" s="107">
        <v>8.3156987860897047</v>
      </c>
      <c r="U58" s="107">
        <v>8.4601896791312559</v>
      </c>
      <c r="V58" s="107">
        <v>8.6053154411556729</v>
      </c>
      <c r="W58" s="107">
        <v>8.7510689849454408</v>
      </c>
      <c r="X58" s="108">
        <v>8.8974431781001773</v>
      </c>
      <c r="Y58" s="109">
        <f>'Inputs and summary'!$B$2</f>
        <v>7.5</v>
      </c>
      <c r="Z58" s="110" cm="1">
        <f t="array" ref="Z58">INDEX($L$3:$X$148, ROW()-ROW(L$3)+1, _xlfn.XMATCH('Inputs and summary'!$B$3, Model!L$2:X$2, 0))</f>
        <v>8.6053154411556729</v>
      </c>
    </row>
    <row r="59" spans="3:26" x14ac:dyDescent="0.25">
      <c r="C59" s="34"/>
      <c r="D59" s="34"/>
      <c r="E59" s="34"/>
      <c r="F59" s="34"/>
      <c r="G59" s="34"/>
      <c r="H59" s="34"/>
      <c r="I59" s="34"/>
      <c r="J59" s="115">
        <f t="shared" si="0"/>
        <v>55.769230769230766</v>
      </c>
      <c r="K59" s="106">
        <v>2900</v>
      </c>
      <c r="L59" s="107">
        <v>7.1335578915531563</v>
      </c>
      <c r="M59" s="107">
        <v>7.2704851872169787</v>
      </c>
      <c r="N59" s="107">
        <v>7.4080853833617999</v>
      </c>
      <c r="O59" s="107">
        <v>7.5463521576470836</v>
      </c>
      <c r="P59" s="107">
        <v>7.685279089449967</v>
      </c>
      <c r="Q59" s="107">
        <v>7.8248596670356125</v>
      </c>
      <c r="R59" s="107">
        <v>7.9650872946487787</v>
      </c>
      <c r="S59" s="107">
        <v>8.1059552995143456</v>
      </c>
      <c r="T59" s="107">
        <v>8.2474569387342402</v>
      </c>
      <c r="U59" s="107">
        <v>8.3895854060700668</v>
      </c>
      <c r="V59" s="107">
        <v>8.5323338386006551</v>
      </c>
      <c r="W59" s="107">
        <v>8.6756953232454013</v>
      </c>
      <c r="X59" s="108">
        <v>8.8196629031444171</v>
      </c>
      <c r="Y59" s="109">
        <f>'Inputs and summary'!$B$2</f>
        <v>7.5</v>
      </c>
      <c r="Z59" s="110" cm="1">
        <f t="array" ref="Z59">INDEX($L$3:$X$148, ROW()-ROW(L$3)+1, _xlfn.XMATCH('Inputs and summary'!$B$3, Model!L$2:X$2, 0))</f>
        <v>8.5323338386006551</v>
      </c>
    </row>
    <row r="60" spans="3:26" x14ac:dyDescent="0.25">
      <c r="C60" s="34"/>
      <c r="D60" s="34"/>
      <c r="E60" s="34"/>
      <c r="F60" s="34"/>
      <c r="G60" s="34"/>
      <c r="H60" s="34"/>
      <c r="I60" s="34"/>
      <c r="J60" s="115">
        <f t="shared" si="0"/>
        <v>56.730769230769234</v>
      </c>
      <c r="K60" s="106">
        <v>2950</v>
      </c>
      <c r="L60" s="107">
        <v>7.0853527560627079</v>
      </c>
      <c r="M60" s="107">
        <v>7.2201196768470561</v>
      </c>
      <c r="N60" s="107">
        <v>7.3555439612206612</v>
      </c>
      <c r="O60" s="107">
        <v>7.4916194362526749</v>
      </c>
      <c r="P60" s="107">
        <v>7.6283398333832242</v>
      </c>
      <c r="Q60" s="107">
        <v>7.7656987954158865</v>
      </c>
      <c r="R60" s="107">
        <v>7.9036898834336533</v>
      </c>
      <c r="S60" s="107">
        <v>8.0423065836264893</v>
      </c>
      <c r="T60" s="107">
        <v>8.1815423140180918</v>
      </c>
      <c r="U60" s="107">
        <v>8.3213904310813724</v>
      </c>
      <c r="V60" s="107">
        <v>8.4618442362320856</v>
      </c>
      <c r="W60" s="107">
        <v>8.6028969821916679</v>
      </c>
      <c r="X60" s="108">
        <v>8.7445418792104235</v>
      </c>
      <c r="Y60" s="109">
        <f>'Inputs and summary'!$B$2</f>
        <v>7.5</v>
      </c>
      <c r="Z60" s="110" cm="1">
        <f t="array" ref="Z60">INDEX($L$3:$X$148, ROW()-ROW(L$3)+1, _xlfn.XMATCH('Inputs and summary'!$B$3, Model!L$2:X$2, 0))</f>
        <v>8.4618442362320856</v>
      </c>
    </row>
    <row r="61" spans="3:26" x14ac:dyDescent="0.25">
      <c r="C61" s="34"/>
      <c r="D61" s="34"/>
      <c r="E61" s="34"/>
      <c r="F61" s="34"/>
      <c r="G61" s="34"/>
      <c r="H61" s="34"/>
      <c r="I61" s="34"/>
      <c r="J61" s="115">
        <f t="shared" si="0"/>
        <v>57.692307692307693</v>
      </c>
      <c r="K61" s="106">
        <v>3000</v>
      </c>
      <c r="L61" s="107">
        <v>7.0387569244257229</v>
      </c>
      <c r="M61" s="107">
        <v>7.1714363621184241</v>
      </c>
      <c r="N61" s="107">
        <v>7.3047582740574049</v>
      </c>
      <c r="O61" s="107">
        <v>7.4387166299995409</v>
      </c>
      <c r="P61" s="107">
        <v>7.5733053065628297</v>
      </c>
      <c r="Q61" s="107">
        <v>7.7085180940509925</v>
      </c>
      <c r="R61" s="107">
        <v>7.844348703203857</v>
      </c>
      <c r="S61" s="107">
        <v>7.9807907718617068</v>
      </c>
      <c r="T61" s="107">
        <v>8.1178378715315223</v>
      </c>
      <c r="U61" s="107">
        <v>8.2554835138448244</v>
      </c>
      <c r="V61" s="107">
        <v>8.3937211568966852</v>
      </c>
      <c r="W61" s="107">
        <v>8.5325442114571537</v>
      </c>
      <c r="X61" s="108">
        <v>8.6719460470464487</v>
      </c>
      <c r="Y61" s="109">
        <f>'Inputs and summary'!$B$2</f>
        <v>7.5</v>
      </c>
      <c r="Z61" s="110" cm="1">
        <f t="array" ref="Z61">INDEX($L$3:$X$148, ROW()-ROW(L$3)+1, _xlfn.XMATCH('Inputs and summary'!$B$3, Model!L$2:X$2, 0))</f>
        <v>8.3937211568966852</v>
      </c>
    </row>
    <row r="62" spans="3:26" x14ac:dyDescent="0.25">
      <c r="C62" s="34"/>
      <c r="D62" s="34"/>
      <c r="E62" s="34"/>
      <c r="F62" s="34"/>
      <c r="G62" s="34"/>
      <c r="H62" s="34"/>
      <c r="I62" s="34"/>
      <c r="J62" s="115">
        <f t="shared" si="0"/>
        <v>58.653846153846153</v>
      </c>
      <c r="K62" s="106">
        <v>3050</v>
      </c>
      <c r="L62" s="107">
        <v>6.9936911314563694</v>
      </c>
      <c r="M62" s="107">
        <v>7.1243523506323978</v>
      </c>
      <c r="N62" s="107">
        <v>7.2556417642269269</v>
      </c>
      <c r="O62" s="107">
        <v>7.3875534784017276</v>
      </c>
      <c r="P62" s="107">
        <v>7.5200815085208088</v>
      </c>
      <c r="Q62" s="107">
        <v>7.6532197858164537</v>
      </c>
      <c r="R62" s="107">
        <v>7.7869621639830351</v>
      </c>
      <c r="S62" s="107">
        <v>7.9213024256871947</v>
      </c>
      <c r="T62" s="107">
        <v>8.0562342889823633</v>
      </c>
      <c r="U62" s="107">
        <v>8.1917514136176148</v>
      </c>
      <c r="V62" s="107">
        <v>8.3278474072305748</v>
      </c>
      <c r="W62" s="107">
        <v>8.4645158314158131</v>
      </c>
      <c r="X62" s="108">
        <v>8.6017502076601193</v>
      </c>
      <c r="Y62" s="109">
        <f>'Inputs and summary'!$B$2</f>
        <v>7.5</v>
      </c>
      <c r="Z62" s="110" cm="1">
        <f t="array" ref="Z62">INDEX($L$3:$X$148, ROW()-ROW(L$3)+1, _xlfn.XMATCH('Inputs and summary'!$B$3, Model!L$2:X$2, 0))</f>
        <v>8.3278474072305748</v>
      </c>
    </row>
    <row r="63" spans="3:26" x14ac:dyDescent="0.25">
      <c r="C63" s="34"/>
      <c r="D63" s="34"/>
      <c r="E63" s="34"/>
      <c r="F63" s="34"/>
      <c r="G63" s="34"/>
      <c r="H63" s="34"/>
      <c r="I63" s="34"/>
      <c r="J63" s="115">
        <f t="shared" si="0"/>
        <v>59.615384615384613</v>
      </c>
      <c r="K63" s="106">
        <v>3100</v>
      </c>
      <c r="L63" s="107">
        <v>6.950081233396217</v>
      </c>
      <c r="M63" s="107">
        <v>7.0787901081082332</v>
      </c>
      <c r="N63" s="107">
        <v>7.2081134717325996</v>
      </c>
      <c r="O63" s="107">
        <v>7.3380455609551118</v>
      </c>
      <c r="P63" s="107">
        <v>7.4685805238686971</v>
      </c>
      <c r="Q63" s="107">
        <v>7.5997124264892388</v>
      </c>
      <c r="R63" s="107">
        <v>7.731435259201251</v>
      </c>
      <c r="S63" s="107">
        <v>7.863742943122026</v>
      </c>
      <c r="T63" s="107">
        <v>7.9966293363725711</v>
      </c>
      <c r="U63" s="107">
        <v>8.1300882402454118</v>
      </c>
      <c r="V63" s="107">
        <v>8.2641134052591934</v>
      </c>
      <c r="W63" s="107">
        <v>8.3986985370916276</v>
      </c>
      <c r="X63" s="108">
        <v>8.5338373023824055</v>
      </c>
      <c r="Y63" s="109">
        <f>'Inputs and summary'!$B$2</f>
        <v>7.5</v>
      </c>
      <c r="Z63" s="110" cm="1">
        <f t="array" ref="Z63">INDEX($L$3:$X$148, ROW()-ROW(L$3)+1, _xlfn.XMATCH('Inputs and summary'!$B$3, Model!L$2:X$2, 0))</f>
        <v>8.2641134052591934</v>
      </c>
    </row>
    <row r="64" spans="3:26" x14ac:dyDescent="0.25">
      <c r="C64" s="34"/>
      <c r="D64" s="34"/>
      <c r="E64" s="34"/>
      <c r="F64" s="34"/>
      <c r="G64" s="34"/>
      <c r="H64" s="34"/>
      <c r="I64" s="34"/>
      <c r="J64" s="115">
        <f t="shared" si="0"/>
        <v>60.57692307692308</v>
      </c>
      <c r="K64" s="106">
        <v>3150</v>
      </c>
      <c r="L64" s="107">
        <v>6.9078578008638587</v>
      </c>
      <c r="M64" s="107">
        <v>7.034677032339923</v>
      </c>
      <c r="N64" s="107">
        <v>7.1620975889351577</v>
      </c>
      <c r="O64" s="107">
        <v>7.2901138323473216</v>
      </c>
      <c r="P64" s="107">
        <v>7.4187200377612399</v>
      </c>
      <c r="Q64" s="107">
        <v>7.5479104002222854</v>
      </c>
      <c r="R64" s="107">
        <v>7.6776790409415154</v>
      </c>
      <c r="S64" s="107">
        <v>7.8080200135213973</v>
      </c>
      <c r="T64" s="107">
        <v>7.9389273100905413</v>
      </c>
      <c r="U64" s="107">
        <v>8.0703948673377628</v>
      </c>
      <c r="V64" s="107">
        <v>8.2024165724355242</v>
      </c>
      <c r="W64" s="107">
        <v>8.3349862688444869</v>
      </c>
      <c r="X64" s="108">
        <v>8.4680977619908635</v>
      </c>
      <c r="Y64" s="109">
        <f>'Inputs and summary'!$B$2</f>
        <v>7.5</v>
      </c>
      <c r="Z64" s="110" cm="1">
        <f t="array" ref="Z64">INDEX($L$3:$X$148, ROW()-ROW(L$3)+1, _xlfn.XMATCH('Inputs and summary'!$B$3, Model!L$2:X$2, 0))</f>
        <v>8.2024165724355242</v>
      </c>
    </row>
    <row r="65" spans="3:26" x14ac:dyDescent="0.25">
      <c r="C65" s="34"/>
      <c r="D65" s="34"/>
      <c r="E65" s="34"/>
      <c r="F65" s="34"/>
      <c r="G65" s="34"/>
      <c r="H65" s="34"/>
      <c r="I65" s="34"/>
      <c r="J65" s="115">
        <f t="shared" si="0"/>
        <v>61.53846153846154</v>
      </c>
      <c r="K65" s="106">
        <v>3200</v>
      </c>
      <c r="L65" s="107">
        <v>6.8669557500196357</v>
      </c>
      <c r="M65" s="107">
        <v>6.9919450671676193</v>
      </c>
      <c r="N65" s="107">
        <v>7.1175230571025843</v>
      </c>
      <c r="O65" s="107">
        <v>7.2436842013609173</v>
      </c>
      <c r="P65" s="107">
        <v>7.3704228969313723</v>
      </c>
      <c r="Q65" s="107">
        <v>7.4977334624933158</v>
      </c>
      <c r="R65" s="107">
        <v>7.6256101445884106</v>
      </c>
      <c r="S65" s="107">
        <v>7.7540471237148338</v>
      </c>
      <c r="T65" s="107">
        <v>7.8830385203326738</v>
      </c>
      <c r="U65" s="107">
        <v>8.0125784007709591</v>
      </c>
      <c r="V65" s="107">
        <v>8.1426607830265407</v>
      </c>
      <c r="W65" s="107">
        <v>8.2732796424466546</v>
      </c>
      <c r="X65" s="108">
        <v>8.4044289172870847</v>
      </c>
      <c r="Y65" s="109">
        <f>'Inputs and summary'!$B$2</f>
        <v>7.5</v>
      </c>
      <c r="Z65" s="110" cm="1">
        <f t="array" ref="Z65">INDEX($L$3:$X$148, ROW()-ROW(L$3)+1, _xlfn.XMATCH('Inputs and summary'!$B$3, Model!L$2:X$2, 0))</f>
        <v>8.1426607830265407</v>
      </c>
    </row>
    <row r="66" spans="3:26" x14ac:dyDescent="0.25">
      <c r="C66" s="34"/>
      <c r="D66" s="34"/>
      <c r="E66" s="34"/>
      <c r="F66" s="34"/>
      <c r="G66" s="34"/>
      <c r="H66" s="34"/>
      <c r="I66" s="34"/>
      <c r="J66" s="115">
        <f t="shared" si="0"/>
        <v>62.5</v>
      </c>
      <c r="K66" s="106">
        <v>3250</v>
      </c>
      <c r="L66" s="107">
        <v>6.8273140078242154</v>
      </c>
      <c r="M66" s="107">
        <v>6.9505303521468829</v>
      </c>
      <c r="N66" s="107">
        <v>7.0743232002849279</v>
      </c>
      <c r="O66" s="107">
        <v>7.1986871487518673</v>
      </c>
      <c r="P66" s="107">
        <v>7.3236167113734147</v>
      </c>
      <c r="Q66" s="107">
        <v>7.4491063253970893</v>
      </c>
      <c r="R66" s="107">
        <v>7.5751503575369536</v>
      </c>
      <c r="S66" s="107">
        <v>7.7017431099427576</v>
      </c>
      <c r="T66" s="107">
        <v>7.8288788260823026</v>
      </c>
      <c r="U66" s="107">
        <v>7.9565516965276171</v>
      </c>
      <c r="V66" s="107">
        <v>8.0847558646353477</v>
      </c>
      <c r="W66" s="107">
        <v>8.2134854321133197</v>
      </c>
      <c r="X66" s="108">
        <v>8.342734464465293</v>
      </c>
      <c r="Y66" s="109">
        <f>'Inputs and summary'!$B$2</f>
        <v>7.5</v>
      </c>
      <c r="Z66" s="110" cm="1">
        <f t="array" ref="Z66">INDEX($L$3:$X$148, ROW()-ROW(L$3)+1, _xlfn.XMATCH('Inputs and summary'!$B$3, Model!L$2:X$2, 0))</f>
        <v>8.0847558646353477</v>
      </c>
    </row>
    <row r="67" spans="3:26" x14ac:dyDescent="0.25">
      <c r="C67" s="34"/>
      <c r="D67" s="34"/>
      <c r="E67" s="34"/>
      <c r="F67" s="34"/>
      <c r="G67" s="34"/>
      <c r="H67" s="34"/>
      <c r="I67" s="34"/>
      <c r="J67" s="115">
        <f t="shared" si="0"/>
        <v>63.46153846153846</v>
      </c>
      <c r="K67" s="106">
        <v>3300</v>
      </c>
      <c r="L67" s="107">
        <v>6.7888752077701398</v>
      </c>
      <c r="M67" s="107">
        <v>6.9103729041227631</v>
      </c>
      <c r="N67" s="107">
        <v>7.0324353925467626</v>
      </c>
      <c r="O67" s="107">
        <v>7.1550573799587109</v>
      </c>
      <c r="P67" s="107">
        <v>7.2782334923500276</v>
      </c>
      <c r="Q67" s="107">
        <v>7.4019582807740552</v>
      </c>
      <c r="R67" s="107">
        <v>7.5262262272698814</v>
      </c>
      <c r="S67" s="107">
        <v>7.6510317507123329</v>
      </c>
      <c r="T67" s="107">
        <v>7.7763692125771193</v>
      </c>
      <c r="U67" s="107">
        <v>7.9022329226119137</v>
      </c>
      <c r="V67" s="107">
        <v>8.0286171444038423</v>
      </c>
      <c r="W67" s="107">
        <v>8.1555161008355572</v>
      </c>
      <c r="X67" s="108">
        <v>8.2829239794219323</v>
      </c>
      <c r="Y67" s="109">
        <f>'Inputs and summary'!$B$2</f>
        <v>7.5</v>
      </c>
      <c r="Z67" s="110" cm="1">
        <f t="array" ref="Z67">INDEX($L$3:$X$148, ROW()-ROW(L$3)+1, _xlfn.XMATCH('Inputs and summary'!$B$3, Model!L$2:X$2, 0))</f>
        <v>8.0286171444038423</v>
      </c>
    </row>
    <row r="68" spans="3:26" x14ac:dyDescent="0.25">
      <c r="C68" s="34"/>
      <c r="D68" s="34"/>
      <c r="E68" s="34"/>
      <c r="F68" s="34"/>
      <c r="G68" s="34"/>
      <c r="H68" s="34"/>
      <c r="I68" s="34"/>
      <c r="J68" s="115">
        <f t="shared" ref="J68:J131" si="2">K68/$B$7</f>
        <v>64.42307692307692</v>
      </c>
      <c r="K68" s="106">
        <v>3350</v>
      </c>
      <c r="L68" s="107">
        <v>6.7515854128981907</v>
      </c>
      <c r="M68" s="107">
        <v>6.8714163273696567</v>
      </c>
      <c r="N68" s="107">
        <v>6.9918007550645846</v>
      </c>
      <c r="O68" s="107">
        <v>7.1127335089938946</v>
      </c>
      <c r="P68" s="107">
        <v>7.2342093229163194</v>
      </c>
      <c r="Q68" s="107">
        <v>7.3562228572085946</v>
      </c>
      <c r="R68" s="107">
        <v>7.4787687046739482</v>
      </c>
      <c r="S68" s="107">
        <v>7.6018413962784335</v>
      </c>
      <c r="T68" s="107">
        <v>7.725435406804257</v>
      </c>
      <c r="U68" s="107">
        <v>7.8495451604110524</v>
      </c>
      <c r="V68" s="107">
        <v>7.9741650360956946</v>
      </c>
      <c r="W68" s="107">
        <v>8.0992893730429358</v>
      </c>
      <c r="X68" s="108">
        <v>8.224912475859055</v>
      </c>
      <c r="Y68" s="109">
        <f>'Inputs and summary'!$B$2</f>
        <v>7.5</v>
      </c>
      <c r="Z68" s="110" cm="1">
        <f t="array" ref="Z68">INDEX($L$3:$X$148, ROW()-ROW(L$3)+1, _xlfn.XMATCH('Inputs and summary'!$B$3, Model!L$2:X$2, 0))</f>
        <v>7.9741650360956946</v>
      </c>
    </row>
    <row r="69" spans="3:26" x14ac:dyDescent="0.25">
      <c r="C69" s="34"/>
      <c r="D69" s="34"/>
      <c r="E69" s="34"/>
      <c r="F69" s="34"/>
      <c r="G69" s="34"/>
      <c r="H69" s="34"/>
      <c r="I69" s="34"/>
      <c r="J69" s="115">
        <f t="shared" si="2"/>
        <v>65.384615384615387</v>
      </c>
      <c r="K69" s="106">
        <v>3400</v>
      </c>
      <c r="L69" s="107">
        <v>6.7153938632862253</v>
      </c>
      <c r="M69" s="107">
        <v>6.8336075493512993</v>
      </c>
      <c r="N69" s="107">
        <v>6.9523638800083045</v>
      </c>
      <c r="O69" s="107">
        <v>7.0716577702991916</v>
      </c>
      <c r="P69" s="107">
        <v>7.1914840576037466</v>
      </c>
      <c r="Q69" s="107">
        <v>7.3118375073981969</v>
      </c>
      <c r="R69" s="107">
        <v>7.4327128189535001</v>
      </c>
      <c r="S69" s="107">
        <v>7.5541046309631286</v>
      </c>
      <c r="T69" s="107">
        <v>7.6760075270896149</v>
      </c>
      <c r="U69" s="107">
        <v>7.7984160414209036</v>
      </c>
      <c r="V69" s="107">
        <v>7.9213246638273267</v>
      </c>
      <c r="W69" s="107">
        <v>8.0447278452115416</v>
      </c>
      <c r="X69" s="108">
        <v>8.168620002643733</v>
      </c>
      <c r="Y69" s="109">
        <f>'Inputs and summary'!$B$2</f>
        <v>7.5</v>
      </c>
      <c r="Z69" s="110" cm="1">
        <f t="array" ref="Z69">INDEX($L$3:$X$148, ROW()-ROW(L$3)+1, _xlfn.XMATCH('Inputs and summary'!$B$3, Model!L$2:X$2, 0))</f>
        <v>7.9213246638273267</v>
      </c>
    </row>
    <row r="70" spans="3:26" x14ac:dyDescent="0.25">
      <c r="C70" s="34"/>
      <c r="D70" s="34"/>
      <c r="E70" s="34"/>
      <c r="F70" s="34"/>
      <c r="G70" s="34"/>
      <c r="H70" s="34"/>
      <c r="I70" s="34"/>
      <c r="J70" s="115">
        <f t="shared" si="2"/>
        <v>66.34615384615384</v>
      </c>
      <c r="K70" s="106">
        <v>3450</v>
      </c>
      <c r="L70" s="107">
        <v>6.6802527455243936</v>
      </c>
      <c r="M70" s="107">
        <v>6.7968965794972487</v>
      </c>
      <c r="N70" s="107">
        <v>6.9140725784838422</v>
      </c>
      <c r="O70" s="107">
        <v>7.0317757557210285</v>
      </c>
      <c r="P70" s="107">
        <v>7.15000104829676</v>
      </c>
      <c r="Q70" s="107">
        <v>7.2687433228019405</v>
      </c>
      <c r="R70" s="107">
        <v>7.3879973809233848</v>
      </c>
      <c r="S70" s="107">
        <v>7.5077579649677624</v>
      </c>
      <c r="T70" s="107">
        <v>7.628019763306007</v>
      </c>
      <c r="U70" s="107">
        <v>7.7487774157293554</v>
      </c>
      <c r="V70" s="107">
        <v>7.8700255187079406</v>
      </c>
      <c r="W70" s="107">
        <v>7.9917586305444157</v>
      </c>
      <c r="X70" s="108">
        <v>8.1139712764150218</v>
      </c>
      <c r="Y70" s="109">
        <f>'Inputs and summary'!$B$2</f>
        <v>7.5</v>
      </c>
      <c r="Z70" s="110" cm="1">
        <f t="array" ref="Z70">INDEX($L$3:$X$148, ROW()-ROW(L$3)+1, _xlfn.XMATCH('Inputs and summary'!$B$3, Model!L$2:X$2, 0))</f>
        <v>7.8700255187079406</v>
      </c>
    </row>
    <row r="71" spans="3:26" x14ac:dyDescent="0.25">
      <c r="C71" s="34"/>
      <c r="D71" s="34"/>
      <c r="E71" s="34"/>
      <c r="F71" s="34"/>
      <c r="G71" s="34"/>
      <c r="H71" s="34"/>
      <c r="I71" s="34"/>
      <c r="J71" s="115">
        <f t="shared" si="2"/>
        <v>67.307692307692307</v>
      </c>
      <c r="K71" s="106">
        <v>3500</v>
      </c>
      <c r="L71" s="107">
        <v>6.6461169819753501</v>
      </c>
      <c r="M71" s="107">
        <v>6.7612362886905064</v>
      </c>
      <c r="N71" s="107">
        <v>6.876877650125798</v>
      </c>
      <c r="O71" s="107">
        <v>6.9930361740875595</v>
      </c>
      <c r="P71" s="107">
        <v>7.1097068936752539</v>
      </c>
      <c r="Q71" s="107">
        <v>7.2268847728311716</v>
      </c>
      <c r="R71" s="107">
        <v>7.3445647118324988</v>
      </c>
      <c r="S71" s="107">
        <v>7.4627415527158592</v>
      </c>
      <c r="T71" s="107">
        <v>7.5814100846239221</v>
      </c>
      <c r="U71" s="107">
        <v>7.7005650490653768</v>
      </c>
      <c r="V71" s="107">
        <v>7.8202011450793272</v>
      </c>
      <c r="W71" s="107">
        <v>7.9403130342966941</v>
      </c>
      <c r="X71" s="108">
        <v>8.0608953458911277</v>
      </c>
      <c r="Y71" s="109">
        <f>'Inputs and summary'!$B$2</f>
        <v>7.5</v>
      </c>
      <c r="Z71" s="110" cm="1">
        <f t="array" ref="Z71">INDEX($L$3:$X$148, ROW()-ROW(L$3)+1, _xlfn.XMATCH('Inputs and summary'!$B$3, Model!L$2:X$2, 0))</f>
        <v>7.8202011450793272</v>
      </c>
    </row>
    <row r="72" spans="3:26" x14ac:dyDescent="0.25">
      <c r="C72" s="34"/>
      <c r="D72" s="34"/>
      <c r="E72" s="34"/>
      <c r="F72" s="34"/>
      <c r="G72" s="34"/>
      <c r="H72" s="34"/>
      <c r="I72" s="34"/>
      <c r="J72" s="115">
        <f t="shared" si="2"/>
        <v>68.269230769230774</v>
      </c>
      <c r="K72" s="106">
        <v>3550</v>
      </c>
      <c r="L72" s="107">
        <v>6.6129440378662654</v>
      </c>
      <c r="M72" s="107">
        <v>6.7265822074208295</v>
      </c>
      <c r="N72" s="107">
        <v>6.8407326722012627</v>
      </c>
      <c r="O72" s="107">
        <v>6.9553906311535556</v>
      </c>
      <c r="P72" s="107">
        <v>7.0705512098927521</v>
      </c>
      <c r="Q72" s="107">
        <v>7.1862094661546703</v>
      </c>
      <c r="R72" s="107">
        <v>7.3023603951913101</v>
      </c>
      <c r="S72" s="107">
        <v>7.418998935100082</v>
      </c>
      <c r="T72" s="107">
        <v>7.5361199720766798</v>
      </c>
      <c r="U72" s="107">
        <v>7.6537183455829521</v>
      </c>
      <c r="V72" s="107">
        <v>7.7717888534209925</v>
      </c>
      <c r="W72" s="107">
        <v>7.8903262567061345</v>
      </c>
      <c r="X72" s="108">
        <v>8.0093252847314353</v>
      </c>
      <c r="Y72" s="109">
        <f>'Inputs and summary'!$B$2</f>
        <v>7.5</v>
      </c>
      <c r="Z72" s="110" cm="1">
        <f t="array" ref="Z72">INDEX($L$3:$X$148, ROW()-ROW(L$3)+1, _xlfn.XMATCH('Inputs and summary'!$B$3, Model!L$2:X$2, 0))</f>
        <v>7.7717888534209925</v>
      </c>
    </row>
    <row r="73" spans="3:26" x14ac:dyDescent="0.25">
      <c r="C73" s="34"/>
      <c r="D73" s="34"/>
      <c r="E73" s="34"/>
      <c r="F73" s="34"/>
      <c r="G73" s="34"/>
      <c r="H73" s="34"/>
      <c r="I73" s="34"/>
      <c r="J73" s="115">
        <f t="shared" si="2"/>
        <v>69.230769230769226</v>
      </c>
      <c r="K73" s="106">
        <v>3600</v>
      </c>
      <c r="L73" s="107">
        <v>6.5806937444768607</v>
      </c>
      <c r="M73" s="107">
        <v>6.6928923407861625</v>
      </c>
      <c r="N73" s="107">
        <v>6.8055938063240289</v>
      </c>
      <c r="O73" s="107">
        <v>6.9187934279281968</v>
      </c>
      <c r="P73" s="107">
        <v>7.0324864204198168</v>
      </c>
      <c r="Q73" s="107">
        <v>7.1466679319612343</v>
      </c>
      <c r="R73" s="107">
        <v>7.2613330493585782</v>
      </c>
      <c r="S73" s="107">
        <v>7.3764768032995827</v>
      </c>
      <c r="T73" s="107">
        <v>7.4920941735164579</v>
      </c>
      <c r="U73" s="107">
        <v>7.608180093865391</v>
      </c>
      <c r="V73" s="107">
        <v>7.7247294573139795</v>
      </c>
      <c r="W73" s="107">
        <v>7.8417371208293591</v>
      </c>
      <c r="X73" s="108">
        <v>7.959197910159757</v>
      </c>
      <c r="Y73" s="109">
        <f>'Inputs and summary'!$B$2</f>
        <v>7.5</v>
      </c>
      <c r="Z73" s="110" cm="1">
        <f t="array" ref="Z73">INDEX($L$3:$X$148, ROW()-ROW(L$3)+1, _xlfn.XMATCH('Inputs and summary'!$B$3, Model!L$2:X$2, 0))</f>
        <v>7.7247294573139795</v>
      </c>
    </row>
    <row r="74" spans="3:26" x14ac:dyDescent="0.25">
      <c r="C74" s="34"/>
      <c r="D74" s="34"/>
      <c r="E74" s="34"/>
      <c r="F74" s="34"/>
      <c r="G74" s="34"/>
      <c r="H74" s="34"/>
      <c r="I74" s="34"/>
      <c r="J74" s="115">
        <f t="shared" si="2"/>
        <v>70.192307692307693</v>
      </c>
      <c r="K74" s="106">
        <v>3650</v>
      </c>
      <c r="L74" s="107">
        <v>6.5493281368780405</v>
      </c>
      <c r="M74" s="107">
        <v>6.6601269987239533</v>
      </c>
      <c r="N74" s="107">
        <v>6.7714196210872224</v>
      </c>
      <c r="O74" s="107">
        <v>6.8832013756187145</v>
      </c>
      <c r="P74" s="107">
        <v>6.9954675632097736</v>
      </c>
      <c r="Q74" s="107">
        <v>7.1082134192597159</v>
      </c>
      <c r="R74" s="107">
        <v>7.2214341188893325</v>
      </c>
      <c r="S74" s="107">
        <v>7.335124782090829</v>
      </c>
      <c r="T74" s="107">
        <v>7.449280478804285</v>
      </c>
      <c r="U74" s="107">
        <v>7.5638962339122546</v>
      </c>
      <c r="V74" s="107">
        <v>7.6789670321439152</v>
      </c>
      <c r="W74" s="107">
        <v>7.7944878228816918</v>
      </c>
      <c r="X74" s="108">
        <v>7.9104535248631187</v>
      </c>
      <c r="Y74" s="109">
        <f>'Inputs and summary'!$B$2</f>
        <v>7.5</v>
      </c>
      <c r="Z74" s="110" cm="1">
        <f t="array" ref="Z74">INDEX($L$3:$X$148, ROW()-ROW(L$3)+1, _xlfn.XMATCH('Inputs and summary'!$B$3, Model!L$2:X$2, 0))</f>
        <v>7.6789670321439152</v>
      </c>
    </row>
    <row r="75" spans="3:26" x14ac:dyDescent="0.25">
      <c r="C75" s="34"/>
      <c r="D75" s="34"/>
      <c r="E75" s="34"/>
      <c r="F75" s="34"/>
      <c r="G75" s="34"/>
      <c r="H75" s="34"/>
      <c r="I75" s="34"/>
      <c r="J75" s="115">
        <f t="shared" si="2"/>
        <v>71.15384615384616</v>
      </c>
      <c r="K75" s="106">
        <v>3700</v>
      </c>
      <c r="L75" s="107">
        <v>6.5188113048430676</v>
      </c>
      <c r="M75" s="107">
        <v>6.6282486400294456</v>
      </c>
      <c r="N75" s="107">
        <v>6.7381709291055074</v>
      </c>
      <c r="O75" s="107">
        <v>6.8485736256144616</v>
      </c>
      <c r="P75" s="107">
        <v>6.9594521135435663</v>
      </c>
      <c r="Q75" s="107">
        <v>7.070801712504851</v>
      </c>
      <c r="R75" s="107">
        <v>7.1826176828629187</v>
      </c>
      <c r="S75" s="107">
        <v>7.2948952308004262</v>
      </c>
      <c r="T75" s="107">
        <v>7.4076295133114263</v>
      </c>
      <c r="U75" s="107">
        <v>7.5208156431142985</v>
      </c>
      <c r="V75" s="107">
        <v>7.6344486934758624</v>
      </c>
      <c r="W75" s="107">
        <v>7.7485237029395684</v>
      </c>
      <c r="X75" s="108">
        <v>7.8630356799507535</v>
      </c>
      <c r="Y75" s="109">
        <f>'Inputs and summary'!$B$2</f>
        <v>7.5</v>
      </c>
      <c r="Z75" s="110" cm="1">
        <f t="array" ref="Z75">INDEX($L$3:$X$148, ROW()-ROW(L$3)+1, _xlfn.XMATCH('Inputs and summary'!$B$3, Model!L$2:X$2, 0))</f>
        <v>7.6344486934758624</v>
      </c>
    </row>
    <row r="76" spans="3:26" x14ac:dyDescent="0.25">
      <c r="C76" s="34"/>
      <c r="D76" s="34"/>
      <c r="E76" s="34"/>
      <c r="F76" s="34"/>
      <c r="G76" s="34"/>
      <c r="H76" s="34"/>
      <c r="I76" s="34"/>
      <c r="J76" s="115">
        <f t="shared" si="2"/>
        <v>72.115384615384613</v>
      </c>
      <c r="K76" s="106">
        <v>3750</v>
      </c>
      <c r="L76" s="107">
        <v>6.4891092557003578</v>
      </c>
      <c r="M76" s="107">
        <v>6.5972217288721229</v>
      </c>
      <c r="N76" s="107">
        <v>6.7058106371194306</v>
      </c>
      <c r="O76" s="107">
        <v>6.8148715131042854</v>
      </c>
      <c r="P76" s="107">
        <v>6.9243998210863733</v>
      </c>
      <c r="Q76" s="107">
        <v>7.0343909620202467</v>
      </c>
      <c r="R76" s="107">
        <v>7.1448402786006646</v>
      </c>
      <c r="S76" s="107">
        <v>7.2557430602467683</v>
      </c>
      <c r="T76" s="107">
        <v>7.3670945480154231</v>
      </c>
      <c r="U76" s="107">
        <v>7.4788899394355592</v>
      </c>
      <c r="V76" s="107">
        <v>7.5911243932551953</v>
      </c>
      <c r="W76" s="107">
        <v>7.7037930340941765</v>
      </c>
      <c r="X76" s="108">
        <v>7.8168909569956533</v>
      </c>
      <c r="Y76" s="109">
        <f>'Inputs and summary'!$B$2</f>
        <v>7.5</v>
      </c>
      <c r="Z76" s="110" cm="1">
        <f t="array" ref="Z76">INDEX($L$3:$X$148, ROW()-ROW(L$3)+1, _xlfn.XMATCH('Inputs and summary'!$B$3, Model!L$2:X$2, 0))</f>
        <v>7.5911243932551953</v>
      </c>
    </row>
    <row r="77" spans="3:26" x14ac:dyDescent="0.25">
      <c r="C77" s="34"/>
      <c r="D77" s="34"/>
      <c r="E77" s="34"/>
      <c r="F77" s="34"/>
      <c r="G77" s="34"/>
      <c r="H77" s="34"/>
      <c r="I77" s="34"/>
      <c r="J77" s="115">
        <f t="shared" si="2"/>
        <v>73.07692307692308</v>
      </c>
      <c r="K77" s="106">
        <v>3800</v>
      </c>
      <c r="L77" s="107">
        <v>6.4601897880266383</v>
      </c>
      <c r="M77" s="107">
        <v>6.5670126026574103</v>
      </c>
      <c r="N77" s="107">
        <v>6.6743036079564728</v>
      </c>
      <c r="O77" s="107">
        <v>6.7820584130686719</v>
      </c>
      <c r="P77" s="107">
        <v>6.8902725598434165</v>
      </c>
      <c r="Q77" s="107">
        <v>6.9989415278514242</v>
      </c>
      <c r="R77" s="107">
        <v>7.1080607393506074</v>
      </c>
      <c r="S77" s="107">
        <v>7.2176255641919393</v>
      </c>
      <c r="T77" s="107">
        <v>7.3276313246556963</v>
      </c>
      <c r="U77" s="107">
        <v>7.4380733002101023</v>
      </c>
      <c r="V77" s="107">
        <v>7.548946732184076</v>
      </c>
      <c r="W77" s="107">
        <v>7.6602468283472707</v>
      </c>
      <c r="X77" s="108">
        <v>7.7719687673904616</v>
      </c>
      <c r="Y77" s="109">
        <f>'Inputs and summary'!$B$2</f>
        <v>7.5</v>
      </c>
      <c r="Z77" s="110" cm="1">
        <f t="array" ref="Z77">INDEX($L$3:$X$148, ROW()-ROW(L$3)+1, _xlfn.XMATCH('Inputs and summary'!$B$3, Model!L$2:X$2, 0))</f>
        <v>7.548946732184076</v>
      </c>
    </row>
    <row r="78" spans="3:26" x14ac:dyDescent="0.25">
      <c r="C78" s="34"/>
      <c r="D78" s="34"/>
      <c r="E78" s="34"/>
      <c r="F78" s="34"/>
      <c r="G78" s="34"/>
      <c r="H78" s="34"/>
      <c r="I78" s="34"/>
      <c r="J78" s="115">
        <f t="shared" si="2"/>
        <v>74.038461538461533</v>
      </c>
      <c r="K78" s="106">
        <v>3850</v>
      </c>
      <c r="L78" s="107">
        <v>6.4320223751938892</v>
      </c>
      <c r="M78" s="107">
        <v>6.5375893502006397</v>
      </c>
      <c r="N78" s="107">
        <v>6.6436165332688972</v>
      </c>
      <c r="O78" s="107">
        <v>6.750099607519056</v>
      </c>
      <c r="P78" s="107">
        <v>6.857034189839176</v>
      </c>
      <c r="Q78" s="107">
        <v>6.9644158358241866</v>
      </c>
      <c r="R78" s="107">
        <v>7.0722400446651523</v>
      </c>
      <c r="S78" s="107">
        <v>7.180502263979637</v>
      </c>
      <c r="T78" s="107">
        <v>7.2891978945736229</v>
      </c>
      <c r="U78" s="107">
        <v>7.3983222951271328</v>
      </c>
      <c r="V78" s="107">
        <v>7.5078707867953689</v>
      </c>
      <c r="W78" s="107">
        <v>7.6178386577186377</v>
      </c>
      <c r="X78" s="108">
        <v>7.7282211674341896</v>
      </c>
      <c r="Y78" s="109">
        <f>'Inputs and summary'!$B$2</f>
        <v>7.5</v>
      </c>
      <c r="Z78" s="110" cm="1">
        <f t="array" ref="Z78">INDEX($L$3:$X$148, ROW()-ROW(L$3)+1, _xlfn.XMATCH('Inputs and summary'!$B$3, Model!L$2:X$2, 0))</f>
        <v>7.5078707867953689</v>
      </c>
    </row>
    <row r="79" spans="3:26" x14ac:dyDescent="0.25">
      <c r="C79" s="34"/>
      <c r="D79" s="34"/>
      <c r="E79" s="34"/>
      <c r="F79" s="34"/>
      <c r="G79" s="34"/>
      <c r="H79" s="34"/>
      <c r="I79" s="34"/>
      <c r="J79" s="115">
        <f t="shared" si="2"/>
        <v>75</v>
      </c>
      <c r="K79" s="106">
        <v>3900</v>
      </c>
      <c r="L79" s="107">
        <v>6.4045780578846863</v>
      </c>
      <c r="M79" s="107">
        <v>6.50892169928645</v>
      </c>
      <c r="N79" s="107">
        <v>6.6137178160794141</v>
      </c>
      <c r="O79" s="107">
        <v>6.7189621629727041</v>
      </c>
      <c r="P79" s="107">
        <v>6.8246504294651444</v>
      </c>
      <c r="Q79" s="107">
        <v>6.9307782447096482</v>
      </c>
      <c r="R79" s="107">
        <v>7.0373411823285581</v>
      </c>
      <c r="S79" s="107">
        <v>7.144334765171144</v>
      </c>
      <c r="T79" s="107">
        <v>7.2517544700037924</v>
      </c>
      <c r="U79" s="107">
        <v>7.3595957321251699</v>
      </c>
      <c r="V79" s="107">
        <v>7.4678539498982355</v>
      </c>
      <c r="W79" s="107">
        <v>7.5765244891925008</v>
      </c>
      <c r="X79" s="108">
        <v>7.6856026877297161</v>
      </c>
      <c r="Y79" s="109">
        <f>'Inputs and summary'!$B$2</f>
        <v>7.5</v>
      </c>
      <c r="Z79" s="110" cm="1">
        <f t="array" ref="Z79">INDEX($L$3:$X$148, ROW()-ROW(L$3)+1, _xlfn.XMATCH('Inputs and summary'!$B$3, Model!L$2:X$2, 0))</f>
        <v>7.4678539498982355</v>
      </c>
    </row>
    <row r="80" spans="3:26" x14ac:dyDescent="0.25">
      <c r="C80" s="34"/>
      <c r="D80" s="34"/>
      <c r="E80" s="34"/>
      <c r="F80" s="34"/>
      <c r="G80" s="34"/>
      <c r="H80" s="34"/>
      <c r="I80" s="34"/>
      <c r="J80" s="115">
        <f t="shared" si="2"/>
        <v>75.961538461538467</v>
      </c>
      <c r="K80" s="106">
        <v>3950</v>
      </c>
      <c r="L80" s="107">
        <v>6.3778293447803422</v>
      </c>
      <c r="M80" s="107">
        <v>6.4809809127807281</v>
      </c>
      <c r="N80" s="107">
        <v>6.5845774622640336</v>
      </c>
      <c r="O80" s="107">
        <v>6.6886148172541855</v>
      </c>
      <c r="P80" s="107">
        <v>6.7930887375482989</v>
      </c>
      <c r="Q80" s="107">
        <v>6.8979949235087918</v>
      </c>
      <c r="R80" s="107">
        <v>7.0033290208073655</v>
      </c>
      <c r="S80" s="107">
        <v>7.1090866251121057</v>
      </c>
      <c r="T80" s="107">
        <v>7.2152632867084083</v>
      </c>
      <c r="U80" s="107">
        <v>7.3218545150460717</v>
      </c>
      <c r="V80" s="107">
        <v>7.4288557832045683</v>
      </c>
      <c r="W80" s="107">
        <v>7.5362625322699204</v>
      </c>
      <c r="X80" s="108">
        <v>7.6440701756165019</v>
      </c>
      <c r="Y80" s="109">
        <f>'Inputs and summary'!$B$2</f>
        <v>7.5</v>
      </c>
      <c r="Z80" s="110" cm="1">
        <f t="array" ref="Z80">INDEX($L$3:$X$148, ROW()-ROW(L$3)+1, _xlfn.XMATCH('Inputs and summary'!$B$3, Model!L$2:X$2, 0))</f>
        <v>7.4288557832045683</v>
      </c>
    </row>
    <row r="81" spans="3:26" x14ac:dyDescent="0.25">
      <c r="C81" s="34"/>
      <c r="D81" s="34"/>
      <c r="E81" s="34"/>
      <c r="F81" s="34"/>
      <c r="G81" s="34"/>
      <c r="H81" s="34"/>
      <c r="I81" s="34"/>
      <c r="J81" s="115">
        <f t="shared" si="2"/>
        <v>76.92307692307692</v>
      </c>
      <c r="K81" s="106">
        <v>4000</v>
      </c>
      <c r="L81" s="107">
        <v>6.3517501207059839</v>
      </c>
      <c r="M81" s="107">
        <v>6.4537396925457173</v>
      </c>
      <c r="N81" s="107">
        <v>6.5561669801886602</v>
      </c>
      <c r="O81" s="107">
        <v>6.6590278748055471</v>
      </c>
      <c r="P81" s="107">
        <v>6.7623182042875296</v>
      </c>
      <c r="Q81" s="107">
        <v>6.866033737968456</v>
      </c>
      <c r="R81" s="107">
        <v>6.9701701912998768</v>
      </c>
      <c r="S81" s="107">
        <v>7.0747232304701004</v>
      </c>
      <c r="T81" s="107">
        <v>7.1796884769581801</v>
      </c>
      <c r="U81" s="107">
        <v>7.2850615120152176</v>
      </c>
      <c r="V81" s="107">
        <v>7.390837881065103</v>
      </c>
      <c r="W81" s="107">
        <v>7.4970130980181917</v>
      </c>
      <c r="X81" s="108">
        <v>7.603582649491357</v>
      </c>
      <c r="Y81" s="109">
        <f>'Inputs and summary'!$B$2</f>
        <v>7.5</v>
      </c>
      <c r="Z81" s="110" cm="1">
        <f t="array" ref="Z81">INDEX($L$3:$X$148, ROW()-ROW(L$3)+1, _xlfn.XMATCH('Inputs and summary'!$B$3, Model!L$2:X$2, 0))</f>
        <v>7.390837881065103</v>
      </c>
    </row>
    <row r="82" spans="3:26" x14ac:dyDescent="0.25">
      <c r="C82" s="34"/>
      <c r="D82" s="34"/>
      <c r="E82" s="34"/>
      <c r="F82" s="34"/>
      <c r="G82" s="34"/>
      <c r="H82" s="34"/>
      <c r="I82" s="34"/>
      <c r="J82" s="115">
        <f t="shared" si="2"/>
        <v>77.884615384615387</v>
      </c>
      <c r="K82" s="106">
        <v>4050</v>
      </c>
      <c r="L82" s="107">
        <v>6.3263155615873075</v>
      </c>
      <c r="M82" s="107">
        <v>6.4271720904828609</v>
      </c>
      <c r="N82" s="107">
        <v>6.528459287793507</v>
      </c>
      <c r="O82" s="107">
        <v>6.6301731097682772</v>
      </c>
      <c r="P82" s="107">
        <v>6.7323094502897192</v>
      </c>
      <c r="Q82" s="107">
        <v>6.8348641455286296</v>
      </c>
      <c r="R82" s="107">
        <v>6.9378329785523434</v>
      </c>
      <c r="S82" s="107">
        <v>7.0412116838780126</v>
      </c>
      <c r="T82" s="107">
        <v>7.1449959519618131</v>
      </c>
      <c r="U82" s="107">
        <v>7.2491814336166156</v>
      </c>
      <c r="V82" s="107">
        <v>7.3537637443502959</v>
      </c>
      <c r="W82" s="107">
        <v>7.4587384686183036</v>
      </c>
      <c r="X82" s="108">
        <v>7.5641011639839526</v>
      </c>
      <c r="Y82" s="109">
        <f>'Inputs and summary'!$B$2</f>
        <v>7.5</v>
      </c>
      <c r="Z82" s="110" cm="1">
        <f t="array" ref="Z82">INDEX($L$3:$X$148, ROW()-ROW(L$3)+1, _xlfn.XMATCH('Inputs and summary'!$B$3, Model!L$2:X$2, 0))</f>
        <v>7.3537637443502959</v>
      </c>
    </row>
    <row r="83" spans="3:26" x14ac:dyDescent="0.25">
      <c r="C83" s="34"/>
      <c r="D83" s="34"/>
      <c r="E83" s="34"/>
      <c r="F83" s="34"/>
      <c r="G83" s="34"/>
      <c r="H83" s="34"/>
      <c r="I83" s="34"/>
      <c r="J83" s="115">
        <f t="shared" si="2"/>
        <v>78.84615384615384</v>
      </c>
      <c r="K83" s="106">
        <v>4100</v>
      </c>
      <c r="L83" s="107">
        <v>6.3015020556370231</v>
      </c>
      <c r="M83" s="107">
        <v>6.4012534260941276</v>
      </c>
      <c r="N83" s="107">
        <v>6.5014286264884218</v>
      </c>
      <c r="O83" s="107">
        <v>6.6020236761722266</v>
      </c>
      <c r="P83" s="107">
        <v>6.7030345330122909</v>
      </c>
      <c r="Q83" s="107">
        <v>6.8044570979791965</v>
      </c>
      <c r="R83" s="107">
        <v>6.9062872196910554</v>
      </c>
      <c r="S83" s="107">
        <v>7.0085206989031033</v>
      </c>
      <c r="T83" s="107">
        <v>7.1111532929342296</v>
      </c>
      <c r="U83" s="107">
        <v>7.2141807200230446</v>
      </c>
      <c r="V83" s="107">
        <v>7.3175986636057573</v>
      </c>
      <c r="W83" s="107">
        <v>7.4214027765095825</v>
      </c>
      <c r="X83" s="108">
        <v>7.5255886850551788</v>
      </c>
      <c r="Y83" s="109">
        <f>'Inputs and summary'!$B$2</f>
        <v>7.5</v>
      </c>
      <c r="Z83" s="110" cm="1">
        <f t="array" ref="Z83">INDEX($L$3:$X$148, ROW()-ROW(L$3)+1, _xlfn.XMATCH('Inputs and summary'!$B$3, Model!L$2:X$2, 0))</f>
        <v>7.3175986636057573</v>
      </c>
    </row>
    <row r="84" spans="3:26" x14ac:dyDescent="0.25">
      <c r="C84" s="34"/>
      <c r="D84" s="34"/>
      <c r="E84" s="34"/>
      <c r="F84" s="34"/>
      <c r="G84" s="34"/>
      <c r="H84" s="34"/>
      <c r="I84" s="34"/>
      <c r="J84" s="115">
        <f t="shared" si="2"/>
        <v>79.807692307692307</v>
      </c>
      <c r="K84" s="106">
        <v>4150</v>
      </c>
      <c r="L84" s="107">
        <v>6.2772871302448401</v>
      </c>
      <c r="M84" s="107">
        <v>6.3759602100112467</v>
      </c>
      <c r="N84" s="107">
        <v>6.4750504812836862</v>
      </c>
      <c r="O84" s="107">
        <v>6.5745540246307286</v>
      </c>
      <c r="P84" s="107">
        <v>6.6744668599859569</v>
      </c>
      <c r="Q84" s="107">
        <v>6.7747849511740554</v>
      </c>
      <c r="R84" s="107">
        <v>6.8755042103919859</v>
      </c>
      <c r="S84" s="107">
        <v>6.9766205026368899</v>
      </c>
      <c r="T84" s="107">
        <v>7.0781296500719133</v>
      </c>
      <c r="U84" s="107">
        <v>7.1800274363225842</v>
      </c>
      <c r="V84" s="107">
        <v>7.2823096106961769</v>
      </c>
      <c r="W84" s="107">
        <v>7.3849718923177905</v>
      </c>
      <c r="X84" s="108">
        <v>7.4880099741767499</v>
      </c>
      <c r="Y84" s="109">
        <f>'Inputs and summary'!$B$2</f>
        <v>7.5</v>
      </c>
      <c r="Z84" s="110" cm="1">
        <f t="array" ref="Z84">INDEX($L$3:$X$148, ROW()-ROW(L$3)+1, _xlfn.XMATCH('Inputs and summary'!$B$3, Model!L$2:X$2, 0))</f>
        <v>7.2823096106961769</v>
      </c>
    </row>
    <row r="85" spans="3:26" x14ac:dyDescent="0.25">
      <c r="C85" s="34"/>
      <c r="D85" s="34"/>
      <c r="E85" s="34"/>
      <c r="F85" s="34"/>
      <c r="G85" s="34"/>
      <c r="H85" s="34"/>
      <c r="I85" s="34"/>
      <c r="J85" s="115">
        <f t="shared" si="2"/>
        <v>80.769230769230774</v>
      </c>
      <c r="K85" s="106">
        <v>4200</v>
      </c>
      <c r="L85" s="107">
        <v>6.2536493840953611</v>
      </c>
      <c r="M85" s="107">
        <v>6.3512700729948453</v>
      </c>
      <c r="N85" s="107">
        <v>6.4493015066357557</v>
      </c>
      <c r="O85" s="107">
        <v>6.5477398249987413</v>
      </c>
      <c r="P85" s="107">
        <v>6.6465811082513575</v>
      </c>
      <c r="Q85" s="107">
        <v>6.7458213812128403</v>
      </c>
      <c r="R85" s="107">
        <v>6.8454566177746408</v>
      </c>
      <c r="S85" s="107">
        <v>6.9454827452685972</v>
      </c>
      <c r="T85" s="107">
        <v>7.0458956487738647</v>
      </c>
      <c r="U85" s="107">
        <v>7.14669117535548</v>
      </c>
      <c r="V85" s="107">
        <v>7.2478651382269899</v>
      </c>
      <c r="W85" s="107">
        <v>7.349413320830954</v>
      </c>
      <c r="X85" s="108">
        <v>7.4513314808310582</v>
      </c>
      <c r="Y85" s="109">
        <f>'Inputs and summary'!$B$2</f>
        <v>7.5</v>
      </c>
      <c r="Z85" s="110" cm="1">
        <f t="array" ref="Z85">INDEX($L$3:$X$148, ROW()-ROW(L$3)+1, _xlfn.XMATCH('Inputs and summary'!$B$3, Model!L$2:X$2, 0))</f>
        <v>7.2478651382269899</v>
      </c>
    </row>
    <row r="86" spans="3:26" x14ac:dyDescent="0.25">
      <c r="C86" s="34"/>
      <c r="D86" s="34"/>
      <c r="E86" s="34"/>
      <c r="F86" s="34"/>
      <c r="G86" s="34"/>
      <c r="H86" s="34"/>
      <c r="I86" s="34"/>
      <c r="J86" s="115">
        <f t="shared" si="2"/>
        <v>81.730769230769226</v>
      </c>
      <c r="K86" s="106">
        <v>4250</v>
      </c>
      <c r="L86" s="107">
        <v>6.2305684240827679</v>
      </c>
      <c r="M86" s="107">
        <v>6.3271616999523737</v>
      </c>
      <c r="N86" s="107">
        <v>6.4241594575364971</v>
      </c>
      <c r="O86" s="107">
        <v>6.5215578945017647</v>
      </c>
      <c r="P86" s="107">
        <v>6.6193531494965168</v>
      </c>
      <c r="Q86" s="107">
        <v>6.7175413065560647</v>
      </c>
      <c r="R86" s="107">
        <v>6.8161183994645054</v>
      </c>
      <c r="S86" s="107">
        <v>6.9150804160648773</v>
      </c>
      <c r="T86" s="107">
        <v>7.0144233025090408</v>
      </c>
      <c r="U86" s="107">
        <v>7.114142967440138</v>
      </c>
      <c r="V86" s="107">
        <v>7.214235286100199</v>
      </c>
      <c r="W86" s="107">
        <v>7.3146961043567575</v>
      </c>
      <c r="X86" s="108">
        <v>7.4155212426422636</v>
      </c>
      <c r="Y86" s="109">
        <f>'Inputs and summary'!$B$2</f>
        <v>7.5</v>
      </c>
      <c r="Z86" s="110" cm="1">
        <f t="array" ref="Z86">INDEX($L$3:$X$148, ROW()-ROW(L$3)+1, _xlfn.XMATCH('Inputs and summary'!$B$3, Model!L$2:X$2, 0))</f>
        <v>7.214235286100199</v>
      </c>
    </row>
    <row r="87" spans="3:26" x14ac:dyDescent="0.25">
      <c r="C87" s="34"/>
      <c r="D87" s="34"/>
      <c r="E87" s="34"/>
      <c r="F87" s="34"/>
      <c r="G87" s="34"/>
      <c r="H87" s="34"/>
      <c r="I87" s="34"/>
      <c r="J87" s="115">
        <f t="shared" si="2"/>
        <v>82.692307692307693</v>
      </c>
      <c r="K87" s="106">
        <v>4300</v>
      </c>
      <c r="L87" s="107">
        <v>6.2080248066314851</v>
      </c>
      <c r="M87" s="107">
        <v>6.3036147685657919</v>
      </c>
      <c r="N87" s="107">
        <v>6.3996031254183894</v>
      </c>
      <c r="O87" s="107">
        <v>6.4959861308894533</v>
      </c>
      <c r="P87" s="107">
        <v>6.5927599804300083</v>
      </c>
      <c r="Q87" s="107">
        <v>6.6899208155894705</v>
      </c>
      <c r="R87" s="107">
        <v>6.7874647283204359</v>
      </c>
      <c r="S87" s="107">
        <v>6.8853877652325846</v>
      </c>
      <c r="T87" s="107">
        <v>6.9836859317871767</v>
      </c>
      <c r="U87" s="107">
        <v>7.0823551964250715</v>
      </c>
      <c r="V87" s="107">
        <v>7.1813914946209358</v>
      </c>
      <c r="W87" s="107">
        <v>7.2807907328575494</v>
      </c>
      <c r="X87" s="108">
        <v>7.3805487925141087</v>
      </c>
      <c r="Y87" s="109">
        <f>'Inputs and summary'!$B$2</f>
        <v>7.5</v>
      </c>
      <c r="Z87" s="110" cm="1">
        <f t="array" ref="Z87">INDEX($L$3:$X$148, ROW()-ROW(L$3)+1, _xlfn.XMATCH('Inputs and summary'!$B$3, Model!L$2:X$2, 0))</f>
        <v>7.1813914946209358</v>
      </c>
    </row>
    <row r="88" spans="3:26" x14ac:dyDescent="0.25">
      <c r="C88" s="34"/>
      <c r="D88" s="34"/>
      <c r="E88" s="34"/>
      <c r="F88" s="34"/>
      <c r="G88" s="34"/>
      <c r="H88" s="34"/>
      <c r="I88" s="34"/>
      <c r="J88" s="115">
        <f t="shared" si="2"/>
        <v>83.65384615384616</v>
      </c>
      <c r="K88" s="106">
        <v>4350</v>
      </c>
      <c r="L88" s="107">
        <v>6.1859999830679619</v>
      </c>
      <c r="M88" s="107">
        <v>6.2806098921575924</v>
      </c>
      <c r="N88" s="107">
        <v>6.3756122784875533</v>
      </c>
      <c r="O88" s="107">
        <v>6.4710034502087153</v>
      </c>
      <c r="P88" s="107">
        <v>6.5667796579675723</v>
      </c>
      <c r="Q88" s="107">
        <v>6.6629370991978192</v>
      </c>
      <c r="R88" s="107">
        <v>6.7594719223697446</v>
      </c>
      <c r="S88" s="107">
        <v>6.8563802311895339</v>
      </c>
      <c r="T88" s="107">
        <v>6.9536580887399762</v>
      </c>
      <c r="U88" s="107">
        <v>7.0513015215556329</v>
      </c>
      <c r="V88" s="107">
        <v>7.1493065236251852</v>
      </c>
      <c r="W88" s="107">
        <v>7.2476690603149567</v>
      </c>
      <c r="X88" s="108">
        <v>7.3463850722075588</v>
      </c>
      <c r="Y88" s="109">
        <f>'Inputs and summary'!$B$2</f>
        <v>7.5</v>
      </c>
      <c r="Z88" s="110" cm="1">
        <f t="array" ref="Z88">INDEX($L$3:$X$148, ROW()-ROW(L$3)+1, _xlfn.XMATCH('Inputs and summary'!$B$3, Model!L$2:X$2, 0))</f>
        <v>7.1493065236251852</v>
      </c>
    </row>
    <row r="89" spans="3:26" x14ac:dyDescent="0.25">
      <c r="C89" s="34"/>
      <c r="D89" s="34"/>
      <c r="E89" s="34"/>
      <c r="F89" s="34"/>
      <c r="G89" s="34"/>
      <c r="H89" s="34"/>
      <c r="I89" s="34"/>
      <c r="J89" s="115">
        <f t="shared" si="2"/>
        <v>84.615384615384613</v>
      </c>
      <c r="K89" s="106">
        <v>4400</v>
      </c>
      <c r="L89" s="107">
        <v>6.1644762487209839</v>
      </c>
      <c r="M89" s="107">
        <v>6.2581285664575388</v>
      </c>
      <c r="N89" s="107">
        <v>6.3521676061318102</v>
      </c>
      <c r="O89" s="107">
        <v>6.4465897288281653</v>
      </c>
      <c r="P89" s="107">
        <v>6.5413912388483553</v>
      </c>
      <c r="Q89" s="107">
        <v>6.6365683879486488</v>
      </c>
      <c r="R89" s="107">
        <v>6.7321173795354596</v>
      </c>
      <c r="S89" s="107">
        <v>6.8280343728115813</v>
      </c>
      <c r="T89" s="107">
        <v>6.9243154868646624</v>
      </c>
      <c r="U89" s="107">
        <v>7.0209568046910054</v>
      </c>
      <c r="V89" s="107">
        <v>7.1179543771475391</v>
      </c>
      <c r="W89" s="107">
        <v>7.215304226826003</v>
      </c>
      <c r="X89" s="108">
        <v>7.3130023518433358</v>
      </c>
      <c r="Y89" s="109">
        <f>'Inputs and summary'!$B$2</f>
        <v>7.5</v>
      </c>
      <c r="Z89" s="110" cm="1">
        <f t="array" ref="Z89">INDEX($L$3:$X$148, ROW()-ROW(L$3)+1, _xlfn.XMATCH('Inputs and summary'!$B$3, Model!L$2:X$2, 0))</f>
        <v>7.1179543771475391</v>
      </c>
    </row>
    <row r="90" spans="3:26" x14ac:dyDescent="0.25">
      <c r="C90" s="34"/>
      <c r="D90" s="34"/>
      <c r="E90" s="34"/>
      <c r="F90" s="34"/>
      <c r="G90" s="34"/>
      <c r="H90" s="34"/>
      <c r="I90" s="34"/>
      <c r="J90" s="115">
        <f t="shared" si="2"/>
        <v>85.57692307692308</v>
      </c>
      <c r="K90" s="106">
        <v>4450</v>
      </c>
      <c r="L90" s="107">
        <v>6.1434366954569235</v>
      </c>
      <c r="M90" s="107">
        <v>6.2361531199629967</v>
      </c>
      <c r="N90" s="107">
        <v>6.329250667082694</v>
      </c>
      <c r="O90" s="107">
        <v>6.4227257493788663</v>
      </c>
      <c r="P90" s="107">
        <v>6.5165747233315816</v>
      </c>
      <c r="Q90" s="107">
        <v>6.6107938935223869</v>
      </c>
      <c r="R90" s="107">
        <v>6.7053795167776666</v>
      </c>
      <c r="S90" s="107">
        <v>6.8003278062632919</v>
      </c>
      <c r="T90" s="107">
        <v>6.8956349355223283</v>
      </c>
      <c r="U90" s="107">
        <v>6.9912970424489087</v>
      </c>
      <c r="V90" s="107">
        <v>7.0873102331912321</v>
      </c>
      <c r="W90" s="107">
        <v>7.1836705859777688</v>
      </c>
      <c r="X90" s="108">
        <v>7.2803741548607777</v>
      </c>
      <c r="Y90" s="109">
        <f>'Inputs and summary'!$B$2</f>
        <v>7.5</v>
      </c>
      <c r="Z90" s="110" cm="1">
        <f t="array" ref="Z90">INDEX($L$3:$X$148, ROW()-ROW(L$3)+1, _xlfn.XMATCH('Inputs and summary'!$B$3, Model!L$2:X$2, 0))</f>
        <v>7.0873102331912321</v>
      </c>
    </row>
    <row r="91" spans="3:26" x14ac:dyDescent="0.25">
      <c r="C91" s="34"/>
      <c r="D91" s="34"/>
      <c r="E91" s="34"/>
      <c r="F91" s="34"/>
      <c r="G91" s="34"/>
      <c r="H91" s="34"/>
      <c r="I91" s="34"/>
      <c r="J91" s="115">
        <f t="shared" si="2"/>
        <v>86.538461538461533</v>
      </c>
      <c r="K91" s="106">
        <v>4500</v>
      </c>
      <c r="L91" s="107">
        <v>6.1228651673825514</v>
      </c>
      <c r="M91" s="107">
        <v>6.2146666676128799</v>
      </c>
      <c r="N91" s="107">
        <v>6.3068438410390399</v>
      </c>
      <c r="O91" s="107">
        <v>6.3993931503061487</v>
      </c>
      <c r="P91" s="107">
        <v>6.4923110026555495</v>
      </c>
      <c r="Q91" s="107">
        <v>6.5855937540576761</v>
      </c>
      <c r="R91" s="107">
        <v>6.6792377133045822</v>
      </c>
      <c r="S91" s="107">
        <v>6.7732391460544354</v>
      </c>
      <c r="T91" s="107">
        <v>6.8675942788198281</v>
      </c>
      <c r="U91" s="107">
        <v>6.9622993028931202</v>
      </c>
      <c r="V91" s="107">
        <v>7.0573503782017912</v>
      </c>
      <c r="W91" s="107">
        <v>7.1527436370879958</v>
      </c>
      <c r="X91" s="108">
        <v>7.2484751880064593</v>
      </c>
      <c r="Y91" s="109">
        <f>'Inputs and summary'!$B$2</f>
        <v>7.5</v>
      </c>
      <c r="Z91" s="110" cm="1">
        <f t="array" ref="Z91">INDEX($L$3:$X$148, ROW()-ROW(L$3)+1, _xlfn.XMATCH('Inputs and summary'!$B$3, Model!L$2:X$2, 0))</f>
        <v>7.0573503782017912</v>
      </c>
    </row>
    <row r="92" spans="3:26" x14ac:dyDescent="0.25">
      <c r="C92" s="34"/>
      <c r="D92" s="34"/>
      <c r="E92" s="34"/>
      <c r="F92" s="34"/>
      <c r="G92" s="34"/>
      <c r="H92" s="34"/>
      <c r="I92" s="34"/>
      <c r="J92" s="115">
        <f t="shared" si="2"/>
        <v>87.5</v>
      </c>
      <c r="K92" s="106">
        <v>4550</v>
      </c>
      <c r="L92" s="107">
        <v>6.1027462194714746</v>
      </c>
      <c r="M92" s="107">
        <v>6.1936530675200743</v>
      </c>
      <c r="N92" s="107">
        <v>6.2849302834853784</v>
      </c>
      <c r="O92" s="107">
        <v>6.3765743787542108</v>
      </c>
      <c r="P92" s="107">
        <v>6.4685818099688683</v>
      </c>
      <c r="Q92" s="107">
        <v>6.5609489831099328</v>
      </c>
      <c r="R92" s="107">
        <v>6.6536722575393616</v>
      </c>
      <c r="S92" s="107">
        <v>6.746747949996192</v>
      </c>
      <c r="T92" s="107">
        <v>6.840172338536787</v>
      </c>
      <c r="U92" s="107">
        <v>6.9339416664129452</v>
      </c>
      <c r="V92" s="107">
        <v>7.0280521458808973</v>
      </c>
      <c r="W92" s="107">
        <v>7.1224999619354756</v>
      </c>
      <c r="X92" s="108">
        <v>7.2172812759636038</v>
      </c>
      <c r="Y92" s="109">
        <f>'Inputs and summary'!$B$2</f>
        <v>7.5</v>
      </c>
      <c r="Z92" s="110" cm="1">
        <f t="array" ref="Z92">INDEX($L$3:$X$148, ROW()-ROW(L$3)+1, _xlfn.XMATCH('Inputs and summary'!$B$3, Model!L$2:X$2, 0))</f>
        <v>7.0280521458808973</v>
      </c>
    </row>
    <row r="93" spans="3:26" x14ac:dyDescent="0.25">
      <c r="C93" s="34"/>
      <c r="D93" s="34"/>
      <c r="E93" s="34"/>
      <c r="F93" s="34"/>
      <c r="G93" s="34"/>
      <c r="H93" s="34"/>
      <c r="I93" s="34"/>
      <c r="J93" s="115">
        <f t="shared" si="2"/>
        <v>88.461538461538467</v>
      </c>
      <c r="K93" s="106">
        <v>4600</v>
      </c>
      <c r="L93" s="107">
        <v>6.083065078891515</v>
      </c>
      <c r="M93" s="107">
        <v>6.1730968805293083</v>
      </c>
      <c r="N93" s="107">
        <v>6.2634938834616865</v>
      </c>
      <c r="O93" s="107">
        <v>6.3542526465294298</v>
      </c>
      <c r="P93" s="107">
        <v>6.445369674469168</v>
      </c>
      <c r="Q93" s="107">
        <v>6.5368414219475115</v>
      </c>
      <c r="R93" s="107">
        <v>6.6286642975560026</v>
      </c>
      <c r="S93" s="107">
        <v>6.7208346677593243</v>
      </c>
      <c r="T93" s="107">
        <v>6.8133488607887642</v>
      </c>
      <c r="U93" s="107">
        <v>6.906203170474349</v>
      </c>
      <c r="V93" s="107">
        <v>6.9993938600087029</v>
      </c>
      <c r="W93" s="107">
        <v>7.0929171656370187</v>
      </c>
      <c r="X93" s="108">
        <v>7.1867693002673594</v>
      </c>
      <c r="Y93" s="109">
        <f>'Inputs and summary'!$B$2</f>
        <v>7.5</v>
      </c>
      <c r="Z93" s="110" cm="1">
        <f t="array" ref="Z93">INDEX($L$3:$X$148, ROW()-ROW(L$3)+1, _xlfn.XMATCH('Inputs and summary'!$B$3, Model!L$2:X$2, 0))</f>
        <v>6.9993938600087029</v>
      </c>
    </row>
    <row r="94" spans="3:26" x14ac:dyDescent="0.25">
      <c r="C94" s="34"/>
      <c r="D94" s="34"/>
      <c r="E94" s="34"/>
      <c r="F94" s="34"/>
      <c r="G94" s="34"/>
      <c r="H94" s="34"/>
      <c r="I94" s="34"/>
      <c r="J94" s="115">
        <f t="shared" si="2"/>
        <v>89.42307692307692</v>
      </c>
      <c r="K94" s="106">
        <v>4650</v>
      </c>
      <c r="L94" s="107">
        <v>6.06380760882959</v>
      </c>
      <c r="M94" s="107">
        <v>6.152983332387489</v>
      </c>
      <c r="N94" s="107">
        <v>6.2425192240620042</v>
      </c>
      <c r="O94" s="107">
        <v>6.3324118889101726</v>
      </c>
      <c r="P94" s="107">
        <v>6.422657878507275</v>
      </c>
      <c r="Q94" s="107">
        <v>6.5132536949336011</v>
      </c>
      <c r="R94" s="107">
        <v>6.6041957947224912</v>
      </c>
      <c r="S94" s="107">
        <v>6.6954805927623156</v>
      </c>
      <c r="T94" s="107">
        <v>6.7871044661443669</v>
      </c>
      <c r="U94" s="107">
        <v>6.8790637579502132</v>
      </c>
      <c r="V94" s="107">
        <v>6.9713547809715966</v>
      </c>
      <c r="W94" s="107">
        <v>7.0639738213573766</v>
      </c>
      <c r="X94" s="108">
        <v>7.1569171421817099</v>
      </c>
      <c r="Y94" s="109">
        <f>'Inputs and summary'!$B$2</f>
        <v>7.5</v>
      </c>
      <c r="Z94" s="110" cm="1">
        <f t="array" ref="Z94">INDEX($L$3:$X$148, ROW()-ROW(L$3)+1, _xlfn.XMATCH('Inputs and summary'!$B$3, Model!L$2:X$2, 0))</f>
        <v>6.9713547809715966</v>
      </c>
    </row>
    <row r="95" spans="3:26" x14ac:dyDescent="0.25">
      <c r="C95" s="34"/>
      <c r="D95" s="34"/>
      <c r="E95" s="34"/>
      <c r="F95" s="34"/>
      <c r="G95" s="34"/>
      <c r="H95" s="34"/>
      <c r="I95" s="34"/>
      <c r="J95" s="115">
        <f t="shared" si="2"/>
        <v>90.384615384615387</v>
      </c>
      <c r="K95" s="106">
        <v>4700</v>
      </c>
      <c r="L95" s="107">
        <v>6.0449602746278543</v>
      </c>
      <c r="M95" s="107">
        <v>6.1332982783317664</v>
      </c>
      <c r="N95" s="107">
        <v>6.2219915454583949</v>
      </c>
      <c r="O95" s="107">
        <v>6.3110367260907987</v>
      </c>
      <c r="P95" s="107">
        <v>6.4004304174355857</v>
      </c>
      <c r="Q95" s="107">
        <v>6.490169167763459</v>
      </c>
      <c r="R95" s="107">
        <v>6.5802494803116227</v>
      </c>
      <c r="S95" s="107">
        <v>6.6706678171406697</v>
      </c>
      <c r="T95" s="107">
        <v>6.7614206029381023</v>
      </c>
      <c r="U95" s="107">
        <v>6.8525042287620295</v>
      </c>
      <c r="V95" s="107">
        <v>6.9439150557182643</v>
      </c>
      <c r="W95" s="107">
        <v>7.0356494185652902</v>
      </c>
      <c r="X95" s="108">
        <v>7.1277036292414486</v>
      </c>
      <c r="Y95" s="109">
        <f>'Inputs and summary'!$B$2</f>
        <v>7.5</v>
      </c>
      <c r="Z95" s="110" cm="1">
        <f t="array" ref="Z95">INDEX($L$3:$X$148, ROW()-ROW(L$3)+1, _xlfn.XMATCH('Inputs and summary'!$B$3, Model!L$2:X$2, 0))</f>
        <v>6.9439150557182643</v>
      </c>
    </row>
    <row r="96" spans="3:26" x14ac:dyDescent="0.25">
      <c r="C96" s="34"/>
      <c r="D96" s="34"/>
      <c r="E96" s="34"/>
      <c r="F96" s="34"/>
      <c r="G96" s="34"/>
      <c r="H96" s="34"/>
      <c r="I96" s="34"/>
      <c r="J96" s="115">
        <f t="shared" si="2"/>
        <v>91.34615384615384</v>
      </c>
      <c r="K96" s="106">
        <v>4750</v>
      </c>
      <c r="L96" s="107">
        <v>6.0265101120606914</v>
      </c>
      <c r="M96" s="107">
        <v>6.1140281699169563</v>
      </c>
      <c r="N96" s="107">
        <v>6.2018967102638412</v>
      </c>
      <c r="O96" s="107">
        <v>6.2901124270653375</v>
      </c>
      <c r="P96" s="107">
        <v>6.3786719619979211</v>
      </c>
      <c r="Q96" s="107">
        <v>6.4675719083460788</v>
      </c>
      <c r="R96" s="107">
        <v>6.5568088148602204</v>
      </c>
      <c r="S96" s="107">
        <v>6.6463791895696254</v>
      </c>
      <c r="T96" s="107">
        <v>6.7362795035427041</v>
      </c>
      <c r="U96" s="107">
        <v>6.8265061945881573</v>
      </c>
      <c r="V96" s="107">
        <v>6.917055670890317</v>
      </c>
      <c r="W96" s="107">
        <v>7.0079243145732324</v>
      </c>
      <c r="X96" s="108">
        <v>7.0991084851878661</v>
      </c>
      <c r="Y96" s="109">
        <f>'Inputs and summary'!$B$2</f>
        <v>7.5</v>
      </c>
      <c r="Z96" s="110" cm="1">
        <f t="array" ref="Z96">INDEX($L$3:$X$148, ROW()-ROW(L$3)+1, _xlfn.XMATCH('Inputs and summary'!$B$3, Model!L$2:X$2, 0))</f>
        <v>6.917055670890317</v>
      </c>
    </row>
    <row r="97" spans="3:26" x14ac:dyDescent="0.25">
      <c r="C97" s="34"/>
      <c r="D97" s="34"/>
      <c r="E97" s="34"/>
      <c r="F97" s="34"/>
      <c r="G97" s="34"/>
      <c r="H97" s="34"/>
      <c r="I97" s="34"/>
      <c r="J97" s="115">
        <f t="shared" si="2"/>
        <v>92.307692307692307</v>
      </c>
      <c r="K97" s="106">
        <v>4800</v>
      </c>
      <c r="L97" s="107">
        <v>6.0084446975962926</v>
      </c>
      <c r="M97" s="107">
        <v>6.0951600239187638</v>
      </c>
      <c r="N97" s="107">
        <v>6.1822211710633148</v>
      </c>
      <c r="O97" s="107">
        <v>6.2696248757726369</v>
      </c>
      <c r="P97" s="107">
        <v>6.3573678230752098</v>
      </c>
      <c r="Q97" s="107">
        <v>6.4454466501369563</v>
      </c>
      <c r="R97" s="107">
        <v>6.5338579500757437</v>
      </c>
      <c r="S97" s="107">
        <v>6.6225982757315105</v>
      </c>
      <c r="T97" s="107">
        <v>6.7116641433843292</v>
      </c>
      <c r="U97" s="107">
        <v>6.801052036414065</v>
      </c>
      <c r="V97" s="107">
        <v>6.8907584088950395</v>
      </c>
      <c r="W97" s="107">
        <v>6.980779689120209</v>
      </c>
      <c r="X97" s="108">
        <v>7.0711122830493789</v>
      </c>
      <c r="Y97" s="109">
        <f>'Inputs and summary'!$B$2</f>
        <v>7.5</v>
      </c>
      <c r="Z97" s="110" cm="1">
        <f t="array" ref="Z97">INDEX($L$3:$X$148, ROW()-ROW(L$3)+1, _xlfn.XMATCH('Inputs and summary'!$B$3, Model!L$2:X$2, 0))</f>
        <v>6.8907584088950395</v>
      </c>
    </row>
    <row r="98" spans="3:26" x14ac:dyDescent="0.25">
      <c r="C98" s="34"/>
      <c r="D98" s="34"/>
      <c r="E98" s="34"/>
      <c r="F98" s="34"/>
      <c r="G98" s="34"/>
      <c r="H98" s="34"/>
      <c r="I98" s="34"/>
      <c r="J98" s="115">
        <f t="shared" si="2"/>
        <v>93.269230769230774</v>
      </c>
      <c r="K98" s="106">
        <v>4850</v>
      </c>
      <c r="L98" s="107">
        <v>5.9907521204994651</v>
      </c>
      <c r="M98" s="107">
        <v>6.076681393162918</v>
      </c>
      <c r="N98" s="107">
        <v>6.162951939956292</v>
      </c>
      <c r="O98" s="107">
        <v>6.2495605393394822</v>
      </c>
      <c r="P98" s="107">
        <v>6.3365039186165735</v>
      </c>
      <c r="Q98" s="107">
        <v>6.4237787577446435</v>
      </c>
      <c r="R98" s="107">
        <v>6.5113816931059656</v>
      </c>
      <c r="S98" s="107">
        <v>6.5993093212363405</v>
      </c>
      <c r="T98" s="107">
        <v>6.687558202501986</v>
      </c>
      <c r="U98" s="107">
        <v>6.7761248647187511</v>
      </c>
      <c r="V98" s="107">
        <v>6.8650058067070274</v>
      </c>
      <c r="W98" s="107">
        <v>6.9541975017770552</v>
      </c>
      <c r="X98" s="108">
        <v>7.0436964011390746</v>
      </c>
      <c r="Y98" s="109">
        <f>'Inputs and summary'!$B$2</f>
        <v>7.5</v>
      </c>
      <c r="Z98" s="110" cm="1">
        <f t="array" ref="Z98">INDEX($L$3:$X$148, ROW()-ROW(L$3)+1, _xlfn.XMATCH('Inputs and summary'!$B$3, Model!L$2:X$2, 0))</f>
        <v>6.8650058067070274</v>
      </c>
    </row>
    <row r="99" spans="3:26" x14ac:dyDescent="0.25">
      <c r="C99" s="34"/>
      <c r="D99" s="34"/>
      <c r="E99" s="34"/>
      <c r="F99" s="34"/>
      <c r="G99" s="34"/>
      <c r="H99" s="34"/>
      <c r="I99" s="34"/>
      <c r="J99" s="115">
        <f t="shared" si="2"/>
        <v>94.230769230769226</v>
      </c>
      <c r="K99" s="106">
        <v>4900</v>
      </c>
      <c r="L99" s="107">
        <v>5.9734209566439791</v>
      </c>
      <c r="M99" s="107">
        <v>6.0585803391424307</v>
      </c>
      <c r="N99" s="107">
        <v>6.144076559966825</v>
      </c>
      <c r="O99" s="107">
        <v>6.2299064382715912</v>
      </c>
      <c r="P99" s="107">
        <v>6.316066742599399</v>
      </c>
      <c r="Q99" s="107">
        <v>6.4025541946482747</v>
      </c>
      <c r="R99" s="107">
        <v>6.4893654730024135</v>
      </c>
      <c r="S99" s="107">
        <v>6.5764972168197868</v>
      </c>
      <c r="T99" s="107">
        <v>6.663946029468848</v>
      </c>
      <c r="U99" s="107">
        <v>6.7517084821082367</v>
      </c>
      <c r="V99" s="107">
        <v>6.8397811172029597</v>
      </c>
      <c r="W99" s="107">
        <v>6.9281604519716797</v>
      </c>
      <c r="X99" s="108">
        <v>7.0168429817597673</v>
      </c>
      <c r="Y99" s="109">
        <f>'Inputs and summary'!$B$2</f>
        <v>7.5</v>
      </c>
      <c r="Z99" s="110" cm="1">
        <f t="array" ref="Z99">INDEX($L$3:$X$148, ROW()-ROW(L$3)+1, _xlfn.XMATCH('Inputs and summary'!$B$3, Model!L$2:X$2, 0))</f>
        <v>6.8397811172029597</v>
      </c>
    </row>
    <row r="100" spans="3:26" x14ac:dyDescent="0.25">
      <c r="C100" s="34"/>
      <c r="D100" s="34"/>
      <c r="E100" s="34"/>
      <c r="F100" s="34"/>
      <c r="G100" s="34"/>
      <c r="H100" s="34"/>
      <c r="I100" s="34"/>
      <c r="J100" s="115">
        <f t="shared" si="2"/>
        <v>95.192307692307693</v>
      </c>
      <c r="K100" s="106">
        <v>4950</v>
      </c>
      <c r="L100" s="107">
        <v>5.9564402439136064</v>
      </c>
      <c r="M100" s="107">
        <v>6.0408454062963948</v>
      </c>
      <c r="N100" s="107">
        <v>6.1255830781889449</v>
      </c>
      <c r="O100" s="107">
        <v>6.2106501184544216</v>
      </c>
      <c r="P100" s="107">
        <v>6.2960433358746526</v>
      </c>
      <c r="Q100" s="107">
        <v>6.3817594928764372</v>
      </c>
      <c r="R100" s="107">
        <v>6.4677953092220619</v>
      </c>
      <c r="S100" s="107">
        <v>6.5541474656570831</v>
      </c>
      <c r="T100" s="107">
        <v>6.6408126075078258</v>
      </c>
      <c r="U100" s="107">
        <v>6.7277873482225328</v>
      </c>
      <c r="V100" s="107">
        <v>6.8150682728496648</v>
      </c>
      <c r="W100" s="107">
        <v>6.9026519414481591</v>
      </c>
      <c r="X100" s="108">
        <v>6.9905348924242023</v>
      </c>
      <c r="Y100" s="109">
        <f>'Inputs and summary'!$B$2</f>
        <v>7.5</v>
      </c>
      <c r="Z100" s="110" cm="1">
        <f t="array" ref="Z100">INDEX($L$3:$X$148, ROW()-ROW(L$3)+1, _xlfn.XMATCH('Inputs and summary'!$B$3, Model!L$2:X$2, 0))</f>
        <v>6.8150682728496648</v>
      </c>
    </row>
    <row r="101" spans="3:26" x14ac:dyDescent="0.25">
      <c r="C101" s="34"/>
      <c r="D101" s="34"/>
      <c r="E101" s="34"/>
      <c r="F101" s="34"/>
      <c r="G101" s="34"/>
      <c r="H101" s="34"/>
      <c r="I101" s="34"/>
      <c r="J101" s="115">
        <f t="shared" si="2"/>
        <v>96.15384615384616</v>
      </c>
      <c r="K101" s="106">
        <v>5000</v>
      </c>
      <c r="L101" s="107">
        <v>5.9397994590803638</v>
      </c>
      <c r="M101" s="107">
        <v>6.0234655978339049</v>
      </c>
      <c r="N101" s="107">
        <v>6.1074600205456857</v>
      </c>
      <c r="O101" s="107">
        <v>6.1917796248370047</v>
      </c>
      <c r="P101" s="107">
        <v>6.276421258765124</v>
      </c>
      <c r="Q101" s="107">
        <v>6.3613817245097444</v>
      </c>
      <c r="R101" s="107">
        <v>6.4466577820241797</v>
      </c>
      <c r="S101" s="107">
        <v>6.5322461526442153</v>
      </c>
      <c r="T101" s="107">
        <v>6.6181435226473395</v>
      </c>
      <c r="U101" s="107">
        <v>6.7043465467562218</v>
      </c>
      <c r="V101" s="107">
        <v>6.7908518515800544</v>
      </c>
      <c r="W101" s="107">
        <v>6.877656038988583</v>
      </c>
      <c r="X101" s="108">
        <v>6.9647556894134874</v>
      </c>
      <c r="Y101" s="109">
        <f>'Inputs and summary'!$B$2</f>
        <v>7.5</v>
      </c>
      <c r="Z101" s="110" cm="1">
        <f t="array" ref="Z101">INDEX($L$3:$X$148, ROW()-ROW(L$3)+1, _xlfn.XMATCH('Inputs and summary'!$B$3, Model!L$2:X$2, 0))</f>
        <v>6.7908518515800544</v>
      </c>
    </row>
    <row r="102" spans="3:26" x14ac:dyDescent="0.25">
      <c r="C102" s="34"/>
      <c r="D102" s="34"/>
      <c r="E102" s="34"/>
      <c r="F102" s="34"/>
      <c r="G102" s="34"/>
      <c r="H102" s="34"/>
      <c r="I102" s="34"/>
      <c r="J102" s="115">
        <f t="shared" si="2"/>
        <v>97.115384615384613</v>
      </c>
      <c r="K102" s="106">
        <v>5050</v>
      </c>
      <c r="L102" s="107">
        <v>5.9234884960576144</v>
      </c>
      <c r="M102" s="107">
        <v>6.0064303529958698</v>
      </c>
      <c r="N102" s="107">
        <v>6.0896963680498235</v>
      </c>
      <c r="O102" s="107">
        <v>6.1732834766818367</v>
      </c>
      <c r="P102" s="107">
        <v>6.2571885652949417</v>
      </c>
      <c r="Q102" s="107">
        <v>6.3414084748804527</v>
      </c>
      <c r="R102" s="107">
        <v>6.425940004630645</v>
      </c>
      <c r="S102" s="107">
        <v>6.5107799155096604</v>
      </c>
      <c r="T102" s="107">
        <v>6.5959249337753043</v>
      </c>
      <c r="U102" s="107">
        <v>6.6813717544457294</v>
      </c>
      <c r="V102" s="107">
        <v>6.7671170447046647</v>
      </c>
      <c r="W102" s="107">
        <v>6.8531574472400729</v>
      </c>
      <c r="X102" s="108">
        <v>6.9394895835109178</v>
      </c>
      <c r="Y102" s="109">
        <f>'Inputs and summary'!$B$2</f>
        <v>7.5</v>
      </c>
      <c r="Z102" s="110" cm="1">
        <f t="array" ref="Z102">INDEX($L$3:$X$148, ROW()-ROW(L$3)+1, _xlfn.XMATCH('Inputs and summary'!$B$3, Model!L$2:X$2, 0))</f>
        <v>6.7671170447046647</v>
      </c>
    </row>
    <row r="103" spans="3:26" x14ac:dyDescent="0.25">
      <c r="C103" s="34"/>
      <c r="D103" s="34"/>
      <c r="E103" s="34"/>
      <c r="F103" s="34"/>
      <c r="G103" s="34"/>
      <c r="H103" s="34"/>
      <c r="I103" s="34"/>
      <c r="J103" s="115">
        <f t="shared" si="2"/>
        <v>98.07692307692308</v>
      </c>
      <c r="K103" s="106">
        <v>5100</v>
      </c>
      <c r="L103" s="107">
        <v>5.907497645433553</v>
      </c>
      <c r="M103" s="107">
        <v>5.9897295256559051</v>
      </c>
      <c r="N103" s="107">
        <v>6.0722815344630314</v>
      </c>
      <c r="O103" s="107">
        <v>6.1551506442732267</v>
      </c>
      <c r="P103" s="107">
        <v>6.238333778938129</v>
      </c>
      <c r="Q103" s="107">
        <v>6.3218278173523093</v>
      </c>
      <c r="R103" s="107">
        <v>6.4056295970283603</v>
      </c>
      <c r="S103" s="107">
        <v>6.4897359176306866</v>
      </c>
      <c r="T103" s="107">
        <v>6.574143544460739</v>
      </c>
      <c r="U103" s="107">
        <v>6.6588492118877252</v>
      </c>
      <c r="V103" s="107">
        <v>6.7438496267185624</v>
      </c>
      <c r="W103" s="107">
        <v>6.8291414715019298</v>
      </c>
      <c r="X103" s="108">
        <v>6.9147214077612293</v>
      </c>
      <c r="Y103" s="109">
        <f>'Inputs and summary'!$B$2</f>
        <v>7.5</v>
      </c>
      <c r="Z103" s="110" cm="1">
        <f t="array" ref="Z103">INDEX($L$3:$X$148, ROW()-ROW(L$3)+1, _xlfn.XMATCH('Inputs and summary'!$B$3, Model!L$2:X$2, 0))</f>
        <v>6.7438496267185624</v>
      </c>
    </row>
    <row r="104" spans="3:26" x14ac:dyDescent="0.25">
      <c r="C104" s="34"/>
      <c r="D104" s="34"/>
      <c r="E104" s="34"/>
      <c r="F104" s="34"/>
      <c r="G104" s="34"/>
      <c r="H104" s="34"/>
      <c r="I104" s="34"/>
      <c r="J104" s="115">
        <f t="shared" si="2"/>
        <v>99.038461538461533</v>
      </c>
      <c r="K104" s="106">
        <v>5150</v>
      </c>
      <c r="L104" s="107">
        <v>5.8918175751979476</v>
      </c>
      <c r="M104" s="107">
        <v>5.9733533641692462</v>
      </c>
      <c r="N104" s="107">
        <v>6.0552053452583205</v>
      </c>
      <c r="O104" s="107">
        <v>6.1373705269848111</v>
      </c>
      <c r="P104" s="107">
        <v>6.2198458697827608</v>
      </c>
      <c r="Q104" s="107">
        <v>6.3026282895730787</v>
      </c>
      <c r="R104" s="107">
        <v>6.3857146613018756</v>
      </c>
      <c r="S104" s="107">
        <v>6.4691018224379686</v>
      </c>
      <c r="T104" s="107">
        <v>6.5527865764223598</v>
      </c>
      <c r="U104" s="107">
        <v>6.636765696063808</v>
      </c>
      <c r="V104" s="107">
        <v>6.7210359268742446</v>
      </c>
      <c r="W104" s="107">
        <v>6.8055939903390437</v>
      </c>
      <c r="X104" s="108">
        <v>6.8904365871169055</v>
      </c>
      <c r="Y104" s="109">
        <f>'Inputs and summary'!$B$2</f>
        <v>7.5</v>
      </c>
      <c r="Z104" s="110" cm="1">
        <f t="array" ref="Z104">INDEX($L$3:$X$148, ROW()-ROW(L$3)+1, _xlfn.XMATCH('Inputs and summary'!$B$3, Model!L$2:X$2, 0))</f>
        <v>6.7210359268742446</v>
      </c>
    </row>
    <row r="105" spans="3:26" x14ac:dyDescent="0.25">
      <c r="C105" s="34"/>
      <c r="D105" s="34"/>
      <c r="E105" s="34"/>
      <c r="F105" s="34"/>
      <c r="G105" s="34"/>
      <c r="H105" s="34"/>
      <c r="I105" s="34"/>
      <c r="J105" s="115">
        <f t="shared" si="2"/>
        <v>100</v>
      </c>
      <c r="K105" s="106">
        <v>5200</v>
      </c>
      <c r="L105" s="107">
        <v>5.8764393125818168</v>
      </c>
      <c r="M105" s="107">
        <v>5.9572924923855242</v>
      </c>
      <c r="N105" s="107">
        <v>6.038458017797943</v>
      </c>
      <c r="O105" s="107">
        <v>6.1199329326145691</v>
      </c>
      <c r="P105" s="107">
        <v>6.2017142330152453</v>
      </c>
      <c r="Q105" s="107">
        <v>6.2837988711003003</v>
      </c>
      <c r="R105" s="107">
        <v>6.3661837583929533</v>
      </c>
      <c r="S105" s="107">
        <v>6.4488657693013351</v>
      </c>
      <c r="T105" s="107">
        <v>6.5318417445330077</v>
      </c>
      <c r="U105" s="107">
        <v>6.6151084944561465</v>
      </c>
      <c r="V105" s="107">
        <v>6.698662802401218</v>
      </c>
      <c r="W105" s="107">
        <v>6.7825014278981763</v>
      </c>
      <c r="X105" s="108">
        <v>6.8666211098440115</v>
      </c>
      <c r="Y105" s="109">
        <f>'Inputs and summary'!$B$2</f>
        <v>7.5</v>
      </c>
      <c r="Z105" s="110" cm="1">
        <f t="array" ref="Z105">INDEX($L$3:$X$148, ROW()-ROW(L$3)+1, _xlfn.XMATCH('Inputs and summary'!$B$3, Model!L$2:X$2, 0))</f>
        <v>6.698662802401218</v>
      </c>
    </row>
    <row r="106" spans="3:26" x14ac:dyDescent="0.25">
      <c r="C106" s="34"/>
      <c r="D106" s="34"/>
      <c r="E106" s="34"/>
      <c r="F106" s="34"/>
      <c r="G106" s="34"/>
      <c r="H106" s="34"/>
      <c r="I106" s="34"/>
      <c r="J106" s="115">
        <f t="shared" si="2"/>
        <v>100.96153846153847</v>
      </c>
      <c r="K106" s="106">
        <v>5250</v>
      </c>
      <c r="L106" s="107">
        <v>5.8613542269357115</v>
      </c>
      <c r="M106" s="107">
        <v>5.941537891747779</v>
      </c>
      <c r="N106" s="107">
        <v>6.022030142645554</v>
      </c>
      <c r="O106" s="107">
        <v>6.1028280579027214</v>
      </c>
      <c r="P106" s="107">
        <v>6.1839286686365664</v>
      </c>
      <c r="Q106" s="107">
        <v>6.2653289623085788</v>
      </c>
      <c r="R106" s="107">
        <v>6.3470258861916911</v>
      </c>
      <c r="S106" s="107">
        <v>6.4290163507976104</v>
      </c>
      <c r="T106" s="107">
        <v>6.5112972332571388</v>
      </c>
      <c r="U106" s="107">
        <v>6.5938653806477081</v>
      </c>
      <c r="V106" s="107">
        <v>6.6767176132620563</v>
      </c>
      <c r="W106" s="107">
        <v>6.7598507278130597</v>
      </c>
      <c r="X106" s="108">
        <v>6.8432615005696604</v>
      </c>
      <c r="Y106" s="109">
        <f>'Inputs and summary'!$B$2</f>
        <v>7.5</v>
      </c>
      <c r="Z106" s="110" cm="1">
        <f t="array" ref="Z106">INDEX($L$3:$X$148, ROW()-ROW(L$3)+1, _xlfn.XMATCH('Inputs and summary'!$B$3, Model!L$2:X$2, 0))</f>
        <v>6.6767176132620563</v>
      </c>
    </row>
    <row r="107" spans="3:26" x14ac:dyDescent="0.25">
      <c r="C107" s="34"/>
      <c r="D107" s="34"/>
      <c r="E107" s="34"/>
      <c r="F107" s="34"/>
      <c r="G107" s="34"/>
      <c r="H107" s="34"/>
      <c r="I107" s="34"/>
      <c r="J107" s="115">
        <f t="shared" si="2"/>
        <v>101.92307692307692</v>
      </c>
      <c r="K107" s="106">
        <v>5300</v>
      </c>
      <c r="L107" s="107">
        <v>5.8465540135780216</v>
      </c>
      <c r="M107" s="107">
        <v>5.9260808844058523</v>
      </c>
      <c r="N107" s="107">
        <v>6.0059126659376556</v>
      </c>
      <c r="O107" s="107">
        <v>6.0860464701542405</v>
      </c>
      <c r="P107" s="107">
        <v>6.1664793623289578</v>
      </c>
      <c r="Q107" s="107">
        <v>6.2472083644935577</v>
      </c>
      <c r="R107" s="107">
        <v>6.3282304588710341</v>
      </c>
      <c r="S107" s="107">
        <v>6.4095425912689752</v>
      </c>
      <c r="T107" s="107">
        <v>6.4911416744264478</v>
      </c>
      <c r="U107" s="107">
        <v>6.573024591308597</v>
      </c>
      <c r="V107" s="107">
        <v>6.655188198343021</v>
      </c>
      <c r="W107" s="107">
        <v>6.7376293285929529</v>
      </c>
      <c r="X107" s="108">
        <v>6.8203447948622227</v>
      </c>
      <c r="Y107" s="109">
        <f>'Inputs and summary'!$B$2</f>
        <v>7.5</v>
      </c>
      <c r="Z107" s="110" cm="1">
        <f t="array" ref="Z107">INDEX($L$3:$X$148, ROW()-ROW(L$3)+1, _xlfn.XMATCH('Inputs and summary'!$B$3, Model!L$2:X$2, 0))</f>
        <v>6.655188198343021</v>
      </c>
    </row>
    <row r="108" spans="3:26" x14ac:dyDescent="0.25">
      <c r="C108" s="34"/>
      <c r="D108" s="34"/>
      <c r="E108" s="34"/>
      <c r="F108" s="34"/>
      <c r="G108" s="34"/>
      <c r="H108" s="34"/>
      <c r="I108" s="34"/>
      <c r="J108" s="115">
        <f t="shared" si="2"/>
        <v>102.88461538461539</v>
      </c>
      <c r="K108" s="106">
        <v>5350</v>
      </c>
      <c r="L108" s="107">
        <v>5.8320306785497316</v>
      </c>
      <c r="M108" s="107">
        <v>5.9109131172777705</v>
      </c>
      <c r="N108" s="107">
        <v>5.9900968727449726</v>
      </c>
      <c r="O108" s="107">
        <v>6.0695790898936144</v>
      </c>
      <c r="P108" s="107">
        <v>6.1493568673975698</v>
      </c>
      <c r="Q108" s="107">
        <v>6.2294272610941173</v>
      </c>
      <c r="R108" s="107">
        <v>6.3097872873831378</v>
      </c>
      <c r="S108" s="107">
        <v>6.3904339265872263</v>
      </c>
      <c r="T108" s="107">
        <v>6.4713641262658133</v>
      </c>
      <c r="U108" s="107">
        <v>6.5525748044775609</v>
      </c>
      <c r="V108" s="107">
        <v>6.6340628529850925</v>
      </c>
      <c r="W108" s="107">
        <v>6.7158251403972038</v>
      </c>
      <c r="X108" s="108">
        <v>6.7978585152435249</v>
      </c>
      <c r="Y108" s="109">
        <f>'Inputs and summary'!$B$2</f>
        <v>7.5</v>
      </c>
      <c r="Z108" s="110" cm="1">
        <f t="array" ref="Z108">INDEX($L$3:$X$148, ROW()-ROW(L$3)+1, _xlfn.XMATCH('Inputs and summary'!$B$3, Model!L$2:X$2, 0))</f>
        <v>6.6340628529850925</v>
      </c>
    </row>
    <row r="109" spans="3:26" x14ac:dyDescent="0.25">
      <c r="C109" s="34"/>
      <c r="D109" s="34"/>
      <c r="E109" s="34"/>
      <c r="F109" s="34"/>
      <c r="G109" s="34"/>
      <c r="H109" s="34"/>
      <c r="I109" s="34"/>
      <c r="J109" s="115">
        <f t="shared" si="2"/>
        <v>103.84615384615384</v>
      </c>
      <c r="K109" s="106">
        <v>5400</v>
      </c>
      <c r="L109" s="107">
        <v>5.8177765242168711</v>
      </c>
      <c r="M109" s="107">
        <v>5.8960265469975477</v>
      </c>
      <c r="N109" s="107">
        <v>5.9745743713593873</v>
      </c>
      <c r="O109" s="107">
        <v>6.0534171744848244</v>
      </c>
      <c r="P109" s="107">
        <v>6.1325520877173734</v>
      </c>
      <c r="Q109" s="107">
        <v>6.2119761999601399</v>
      </c>
      <c r="R109" s="107">
        <v>6.2916865610420611</v>
      </c>
      <c r="S109" s="107">
        <v>6.371680185045494</v>
      </c>
      <c r="T109" s="107">
        <v>6.4519540535882332</v>
      </c>
      <c r="U109" s="107">
        <v>6.5325051190543864</v>
      </c>
      <c r="V109" s="107">
        <v>6.6133303077681358</v>
      </c>
      <c r="W109" s="107">
        <v>6.6944265231056095</v>
      </c>
      <c r="X109" s="108">
        <v>6.7757906485398518</v>
      </c>
      <c r="Y109" s="109">
        <f>'Inputs and summary'!$B$2</f>
        <v>7.5</v>
      </c>
      <c r="Z109" s="110" cm="1">
        <f t="array" ref="Z109">INDEX($L$3:$X$148, ROW()-ROW(L$3)+1, _xlfn.XMATCH('Inputs and summary'!$B$3, Model!L$2:X$2, 0))</f>
        <v>6.6133303077681358</v>
      </c>
    </row>
    <row r="110" spans="3:26" x14ac:dyDescent="0.25">
      <c r="C110" s="34"/>
      <c r="D110" s="34"/>
      <c r="E110" s="34"/>
      <c r="F110" s="34"/>
      <c r="G110" s="34"/>
      <c r="H110" s="34"/>
      <c r="I110" s="34"/>
      <c r="J110" s="115">
        <f t="shared" si="2"/>
        <v>104.80769230769231</v>
      </c>
      <c r="K110" s="106">
        <v>5450</v>
      </c>
      <c r="L110" s="107">
        <v>5.8037841356661763</v>
      </c>
      <c r="M110" s="107">
        <v>5.881413425692493</v>
      </c>
      <c r="N110" s="107">
        <v>5.9593370784470849</v>
      </c>
      <c r="O110" s="107">
        <v>6.0375523026544773</v>
      </c>
      <c r="P110" s="107">
        <v>6.116056261620578</v>
      </c>
      <c r="Q110" s="107">
        <v>6.1948460765985711</v>
      </c>
      <c r="R110" s="107">
        <v>6.2739188301228754</v>
      </c>
      <c r="S110" s="107">
        <v>6.3532715693048587</v>
      </c>
      <c r="T110" s="107">
        <v>6.4329013090834621</v>
      </c>
      <c r="U110" s="107">
        <v>6.5128050354251776</v>
      </c>
      <c r="V110" s="107">
        <v>6.5929797084674817</v>
      </c>
      <c r="W110" s="107">
        <v>6.673422265600979</v>
      </c>
      <c r="X110" s="108">
        <v>6.7541296244853335</v>
      </c>
      <c r="Y110" s="109">
        <f>'Inputs and summary'!$B$2</f>
        <v>7.5</v>
      </c>
      <c r="Z110" s="110" cm="1">
        <f t="array" ref="Z110">INDEX($L$3:$X$148, ROW()-ROW(L$3)+1, _xlfn.XMATCH('Inputs and summary'!$B$3, Model!L$2:X$2, 0))</f>
        <v>6.5929797084674817</v>
      </c>
    </row>
    <row r="111" spans="3:26" x14ac:dyDescent="0.25">
      <c r="C111" s="34"/>
      <c r="D111" s="34"/>
      <c r="E111" s="34"/>
      <c r="F111" s="34"/>
      <c r="G111" s="34"/>
      <c r="H111" s="34"/>
      <c r="I111" s="34"/>
      <c r="J111" s="115">
        <f t="shared" si="2"/>
        <v>105.76923076923077</v>
      </c>
      <c r="K111" s="106">
        <v>5500</v>
      </c>
      <c r="L111" s="107">
        <v>5.7900463678433667</v>
      </c>
      <c r="M111" s="107">
        <v>5.8670662875371207</v>
      </c>
      <c r="N111" s="107">
        <v>5.9443772050125325</v>
      </c>
      <c r="O111" s="107">
        <v>6.0219763598604699</v>
      </c>
      <c r="P111" s="107">
        <v>6.0998609466646112</v>
      </c>
      <c r="Q111" s="107">
        <v>6.1780281183353818</v>
      </c>
      <c r="R111" s="107">
        <v>6.2564749894123022</v>
      </c>
      <c r="S111" s="107">
        <v>6.3351986393284969</v>
      </c>
      <c r="T111" s="107">
        <v>6.4141961156305323</v>
      </c>
      <c r="U111" s="107">
        <v>6.4934644371481429</v>
      </c>
      <c r="V111" s="107">
        <v>6.5730005971079484</v>
      </c>
      <c r="W111" s="107">
        <v>6.6528015661864925</v>
      </c>
      <c r="X111" s="108">
        <v>6.7328642954976985</v>
      </c>
      <c r="Y111" s="109">
        <f>'Inputs and summary'!$B$2</f>
        <v>7.5</v>
      </c>
      <c r="Z111" s="110" cm="1">
        <f t="array" ref="Z111">INDEX($L$3:$X$148, ROW()-ROW(L$3)+1, _xlfn.XMATCH('Inputs and summary'!$B$3, Model!L$2:X$2, 0))</f>
        <v>6.5730005971079484</v>
      </c>
    </row>
    <row r="112" spans="3:26" x14ac:dyDescent="0.25">
      <c r="C112" s="34"/>
      <c r="D112" s="34"/>
      <c r="E112" s="34"/>
      <c r="F112" s="34"/>
      <c r="G112" s="34"/>
      <c r="H112" s="34"/>
      <c r="I112" s="34"/>
      <c r="J112" s="115">
        <f t="shared" si="2"/>
        <v>106.73076923076923</v>
      </c>
      <c r="K112" s="106">
        <v>5550</v>
      </c>
      <c r="L112" s="107">
        <v>5.7765563333873065</v>
      </c>
      <c r="M112" s="107">
        <v>5.8529779360346588</v>
      </c>
      <c r="N112" s="107">
        <v>5.9296872431222383</v>
      </c>
      <c r="O112" s="107">
        <v>6.0066815244528655</v>
      </c>
      <c r="P112" s="107">
        <v>6.0839580052250231</v>
      </c>
      <c r="Q112" s="107">
        <v>6.1615138693355025</v>
      </c>
      <c r="R112" s="107">
        <v>6.239346262650785</v>
      </c>
      <c r="S112" s="107">
        <v>6.3174522962409494</v>
      </c>
      <c r="T112" s="107">
        <v>6.3958290495693717</v>
      </c>
      <c r="U112" s="107">
        <v>6.4744735736327943</v>
      </c>
      <c r="V112" s="107">
        <v>6.5533828940459244</v>
      </c>
      <c r="W112" s="107">
        <v>6.6325540140659625</v>
      </c>
      <c r="X112" s="108">
        <v>6.7119839175521303</v>
      </c>
      <c r="Y112" s="109">
        <f>'Inputs and summary'!$B$2</f>
        <v>7.5</v>
      </c>
      <c r="Z112" s="110" cm="1">
        <f t="array" ref="Z112">INDEX($L$3:$X$148, ROW()-ROW(L$3)+1, _xlfn.XMATCH('Inputs and summary'!$B$3, Model!L$2:X$2, 0))</f>
        <v>6.5533828940459244</v>
      </c>
    </row>
    <row r="113" spans="3:26" x14ac:dyDescent="0.25">
      <c r="C113" s="34"/>
      <c r="D113" s="34"/>
      <c r="E113" s="34"/>
      <c r="F113" s="34"/>
      <c r="G113" s="34"/>
      <c r="H113" s="34"/>
      <c r="I113" s="34"/>
      <c r="J113" s="115">
        <f t="shared" si="2"/>
        <v>107.69230769230769</v>
      </c>
      <c r="K113" s="106">
        <v>5600</v>
      </c>
      <c r="L113" s="107">
        <v>5.7633073911163564</v>
      </c>
      <c r="M113" s="107">
        <v>5.8391414319806092</v>
      </c>
      <c r="N113" s="107">
        <v>5.915259953340648</v>
      </c>
      <c r="O113" s="107">
        <v>5.9916602545773001</v>
      </c>
      <c r="P113" s="107">
        <v>6.0683395908616617</v>
      </c>
      <c r="Q113" s="107">
        <v>6.145295176427056</v>
      </c>
      <c r="R113" s="107">
        <v>6.2225241878100688</v>
      </c>
      <c r="S113" s="107">
        <v>6.3000237670544754</v>
      </c>
      <c r="T113" s="107">
        <v>6.3777910248713887</v>
      </c>
      <c r="U113" s="107">
        <v>6.4558230437502555</v>
      </c>
      <c r="V113" s="107">
        <v>6.5341168810149473</v>
      </c>
      <c r="W113" s="107">
        <v>6.6126695718202892</v>
      </c>
      <c r="X113" s="108">
        <v>6.691478132084276</v>
      </c>
      <c r="Y113" s="109">
        <f>'Inputs and summary'!$B$2</f>
        <v>7.5</v>
      </c>
      <c r="Z113" s="110" cm="1">
        <f t="array" ref="Z113">INDEX($L$3:$X$148, ROW()-ROW(L$3)+1, _xlfn.XMATCH('Inputs and summary'!$B$3, Model!L$2:X$2, 0))</f>
        <v>6.5341168810149473</v>
      </c>
    </row>
    <row r="114" spans="3:26" x14ac:dyDescent="0.25">
      <c r="C114" s="34"/>
      <c r="D114" s="34"/>
      <c r="E114" s="34"/>
      <c r="F114" s="34"/>
      <c r="G114" s="34"/>
      <c r="H114" s="34"/>
      <c r="I114" s="34"/>
      <c r="J114" s="115">
        <f t="shared" si="2"/>
        <v>108.65384615384616</v>
      </c>
      <c r="K114" s="106">
        <v>5650</v>
      </c>
      <c r="L114" s="107">
        <v>5.7502931351266415</v>
      </c>
      <c r="M114" s="107">
        <v>5.8255500820661457</v>
      </c>
      <c r="N114" s="107">
        <v>5.9010883528340496</v>
      </c>
      <c r="O114" s="107">
        <v>5.9769052757749055</v>
      </c>
      <c r="P114" s="107">
        <v>6.0529981354101192</v>
      </c>
      <c r="Q114" s="107">
        <v>6.1293641756798909</v>
      </c>
      <c r="R114" s="107">
        <v>6.2060006031544752</v>
      </c>
      <c r="S114" s="107">
        <v>6.2829045902087017</v>
      </c>
      <c r="T114" s="107">
        <v>6.3600732781531892</v>
      </c>
      <c r="U114" s="107">
        <v>6.4375037803168311</v>
      </c>
      <c r="V114" s="107">
        <v>6.5151931850749039</v>
      </c>
      <c r="W114" s="107">
        <v>6.5931385588181977</v>
      </c>
      <c r="X114" s="108">
        <v>6.6713369488584071</v>
      </c>
      <c r="Y114" s="109">
        <f>'Inputs and summary'!$B$2</f>
        <v>7.5</v>
      </c>
      <c r="Z114" s="110" cm="1">
        <f t="array" ref="Z114">INDEX($L$3:$X$148, ROW()-ROW(L$3)+1, _xlfn.XMATCH('Inputs and summary'!$B$3, Model!L$2:X$2, 0))</f>
        <v>6.5151931850749039</v>
      </c>
    </row>
    <row r="115" spans="3:26" x14ac:dyDescent="0.25">
      <c r="C115" s="34"/>
      <c r="D115" s="34"/>
      <c r="E115" s="34"/>
      <c r="F115" s="34"/>
      <c r="G115" s="34"/>
      <c r="H115" s="34"/>
      <c r="I115" s="34"/>
      <c r="J115" s="115">
        <f t="shared" si="2"/>
        <v>109.61538461538461</v>
      </c>
      <c r="K115" s="106">
        <v>5700</v>
      </c>
      <c r="L115" s="107">
        <v>5.7375073844645161</v>
      </c>
      <c r="M115" s="107">
        <v>5.8121974280818751</v>
      </c>
      <c r="N115" s="107">
        <v>5.8871657041014114</v>
      </c>
      <c r="O115" s="107">
        <v>5.9624095692358914</v>
      </c>
      <c r="P115" s="107">
        <v>6.0379263367538609</v>
      </c>
      <c r="Q115" s="107">
        <v>6.1137132796920719</v>
      </c>
      <c r="R115" s="107">
        <v>6.1897676340375689</v>
      </c>
      <c r="S115" s="107">
        <v>6.2660866018734129</v>
      </c>
      <c r="T115" s="107">
        <v>6.3426673544814722</v>
      </c>
      <c r="U115" s="107">
        <v>6.4195070353969683</v>
      </c>
      <c r="V115" s="107">
        <v>6.4966027634091654</v>
      </c>
      <c r="W115" s="107">
        <v>6.5739516355035956</v>
      </c>
      <c r="X115" s="108">
        <v>6.6515507297411798</v>
      </c>
      <c r="Y115" s="109">
        <f>'Inputs and summary'!$B$2</f>
        <v>7.5</v>
      </c>
      <c r="Z115" s="110" cm="1">
        <f t="array" ref="Z115">INDEX($L$3:$X$148, ROW()-ROW(L$3)+1, _xlfn.XMATCH('Inputs and summary'!$B$3, Model!L$2:X$2, 0))</f>
        <v>6.4966027634091654</v>
      </c>
    </row>
    <row r="116" spans="3:26" x14ac:dyDescent="0.25">
      <c r="C116" s="34"/>
      <c r="D116" s="34"/>
      <c r="E116" s="34"/>
      <c r="F116" s="34"/>
      <c r="G116" s="34"/>
      <c r="H116" s="34"/>
      <c r="I116" s="34"/>
      <c r="J116" s="115">
        <f t="shared" si="2"/>
        <v>110.57692307692308</v>
      </c>
      <c r="K116" s="106">
        <v>5750</v>
      </c>
      <c r="L116" s="107">
        <v>5.7249441733382813</v>
      </c>
      <c r="M116" s="107">
        <v>5.7990772366855445</v>
      </c>
      <c r="N116" s="107">
        <v>5.8734855042939049</v>
      </c>
      <c r="O116" s="107">
        <v>5.9481663606669475</v>
      </c>
      <c r="P116" s="107">
        <v>6.023117147235479</v>
      </c>
      <c r="Q116" s="107">
        <v>6.0983351655410427</v>
      </c>
      <c r="R116" s="107">
        <v>6.1738176803893943</v>
      </c>
      <c r="S116" s="107">
        <v>6.249561922967966</v>
      </c>
      <c r="T116" s="107">
        <v>6.3255650939207895</v>
      </c>
      <c r="U116" s="107">
        <v>6.4018243663756476</v>
      </c>
      <c r="V116" s="107">
        <v>6.4783368889178341</v>
      </c>
      <c r="W116" s="107">
        <v>6.5550997885060411</v>
      </c>
      <c r="X116" s="108">
        <v>6.6321101733256658</v>
      </c>
      <c r="Y116" s="109">
        <f>'Inputs and summary'!$B$2</f>
        <v>7.5</v>
      </c>
      <c r="Z116" s="110" cm="1">
        <f t="array" ref="Z116">INDEX($L$3:$X$148, ROW()-ROW(L$3)+1, _xlfn.XMATCH('Inputs and summary'!$B$3, Model!L$2:X$2, 0))</f>
        <v>6.4783368889178341</v>
      </c>
    </row>
    <row r="117" spans="3:26" x14ac:dyDescent="0.25">
      <c r="C117" s="34"/>
      <c r="D117" s="34"/>
      <c r="E117" s="34"/>
      <c r="F117" s="34"/>
      <c r="G117" s="34"/>
      <c r="H117" s="34"/>
      <c r="I117" s="34"/>
      <c r="J117" s="115">
        <f t="shared" si="2"/>
        <v>111.53846153846153</v>
      </c>
      <c r="K117" s="106">
        <v>5800</v>
      </c>
      <c r="L117" s="107">
        <v>5.7125977418366114</v>
      </c>
      <c r="M117" s="107">
        <v>5.7861834896994839</v>
      </c>
      <c r="N117" s="107">
        <v>5.8600414750876215</v>
      </c>
      <c r="O117" s="107">
        <v>5.9341691097353584</v>
      </c>
      <c r="P117" s="107">
        <v>6.0085637626684818</v>
      </c>
      <c r="Q117" s="107">
        <v>6.0832227633593838</v>
      </c>
      <c r="R117" s="107">
        <v>6.1581434048524866</v>
      </c>
      <c r="S117" s="107">
        <v>6.2333229468539422</v>
      </c>
      <c r="T117" s="107">
        <v>6.3087586187792599</v>
      </c>
      <c r="U117" s="107">
        <v>6.384447622753548</v>
      </c>
      <c r="V117" s="107">
        <v>6.4603871365589036</v>
      </c>
      <c r="W117" s="107">
        <v>6.5365743165243995</v>
      </c>
      <c r="X117" s="108">
        <v>6.61300630035411</v>
      </c>
      <c r="Y117" s="109">
        <f>'Inputs and summary'!$B$2</f>
        <v>7.5</v>
      </c>
      <c r="Z117" s="110" cm="1">
        <f t="array" ref="Z117">INDEX($L$3:$X$148, ROW()-ROW(L$3)+1, _xlfn.XMATCH('Inputs and summary'!$B$3, Model!L$2:X$2, 0))</f>
        <v>6.4603871365589036</v>
      </c>
    </row>
    <row r="118" spans="3:26" x14ac:dyDescent="0.25">
      <c r="C118" s="34"/>
      <c r="D118" s="34"/>
      <c r="E118" s="34"/>
      <c r="F118" s="34"/>
      <c r="G118" s="34"/>
      <c r="H118" s="34"/>
      <c r="I118" s="34"/>
      <c r="J118" s="115">
        <f t="shared" si="2"/>
        <v>112.5</v>
      </c>
      <c r="K118" s="106">
        <v>5850</v>
      </c>
      <c r="L118" s="107">
        <v>5.7004625271233387</v>
      </c>
      <c r="M118" s="107">
        <v>5.7735103749061771</v>
      </c>
      <c r="N118" s="107">
        <v>5.8468275530762588</v>
      </c>
      <c r="O118" s="107">
        <v>5.9204115000552697</v>
      </c>
      <c r="P118" s="107">
        <v>5.9942596119135896</v>
      </c>
      <c r="Q118" s="107">
        <v>6.0683692454976441</v>
      </c>
      <c r="R118" s="107">
        <v>6.1427377215277472</v>
      </c>
      <c r="S118" s="107">
        <v>6.2173623276606369</v>
      </c>
      <c r="T118" s="107">
        <v>6.2922403215102634</v>
      </c>
      <c r="U118" s="107">
        <v>6.3673689336216643</v>
      </c>
      <c r="V118" s="107">
        <v>6.4427453703924229</v>
      </c>
      <c r="W118" s="107">
        <v>6.5183668169373066</v>
      </c>
      <c r="X118" s="108">
        <v>6.594230439891426</v>
      </c>
      <c r="Y118" s="109">
        <f>'Inputs and summary'!$B$2</f>
        <v>7.5</v>
      </c>
      <c r="Z118" s="110" cm="1">
        <f t="array" ref="Z118">INDEX($L$3:$X$148, ROW()-ROW(L$3)+1, _xlfn.XMATCH('Inputs and summary'!$B$3, Model!L$2:X$2, 0))</f>
        <v>6.4427453703924229</v>
      </c>
    </row>
    <row r="119" spans="3:26" x14ac:dyDescent="0.25">
      <c r="C119" s="34"/>
      <c r="D119" s="34"/>
      <c r="E119" s="34"/>
      <c r="F119" s="34"/>
      <c r="G119" s="34"/>
      <c r="H119" s="34"/>
      <c r="I119" s="34"/>
      <c r="J119" s="115">
        <f t="shared" si="2"/>
        <v>113.46153846153847</v>
      </c>
      <c r="K119" s="106">
        <v>5900</v>
      </c>
      <c r="L119" s="107">
        <v>5.6885331550802967</v>
      </c>
      <c r="M119" s="107">
        <v>5.7610522773122739</v>
      </c>
      <c r="N119" s="107">
        <v>5.833837880652931</v>
      </c>
      <c r="O119" s="107">
        <v>5.9068874296839091</v>
      </c>
      <c r="P119" s="107">
        <v>5.9801983469860254</v>
      </c>
      <c r="Q119" s="107">
        <v>6.0537680162393288</v>
      </c>
      <c r="R119" s="107">
        <v>6.1275937852939162</v>
      </c>
      <c r="S119" s="107">
        <v>6.2016729692057666</v>
      </c>
      <c r="T119" s="107">
        <v>6.276002853231204</v>
      </c>
      <c r="U119" s="107">
        <v>6.3505806957748749</v>
      </c>
      <c r="V119" s="107">
        <v>6.4254037312858028</v>
      </c>
      <c r="W119" s="107">
        <v>6.5004691730970876</v>
      </c>
      <c r="X119" s="108">
        <v>6.5757742162047155</v>
      </c>
      <c r="Y119" s="109">
        <f>'Inputs and summary'!$B$2</f>
        <v>7.5</v>
      </c>
      <c r="Z119" s="110" cm="1">
        <f t="array" ref="Z119">INDEX($L$3:$X$148, ROW()-ROW(L$3)+1, _xlfn.XMATCH('Inputs and summary'!$B$3, Model!L$2:X$2, 0))</f>
        <v>6.4254037312858028</v>
      </c>
    </row>
    <row r="120" spans="3:26" x14ac:dyDescent="0.25">
      <c r="C120" s="34"/>
      <c r="D120" s="34"/>
      <c r="E120" s="34"/>
      <c r="F120" s="34"/>
      <c r="G120" s="34"/>
      <c r="H120" s="34"/>
      <c r="I120" s="34"/>
      <c r="J120" s="115">
        <f t="shared" si="2"/>
        <v>114.42307692307692</v>
      </c>
      <c r="K120" s="106">
        <v>5950</v>
      </c>
      <c r="L120" s="107">
        <v>5.6768044323718456</v>
      </c>
      <c r="M120" s="107">
        <v>5.7488037708535629</v>
      </c>
      <c r="N120" s="107">
        <v>5.8210667973523336</v>
      </c>
      <c r="O120" s="107">
        <v>5.8935910020977236</v>
      </c>
      <c r="P120" s="107">
        <v>5.9663738336624448</v>
      </c>
      <c r="Q120" s="107">
        <v>6.0394127020355777</v>
      </c>
      <c r="R120" s="107">
        <v>6.1127049816668553</v>
      </c>
      <c r="S120" s="107">
        <v>6.186248014476293</v>
      </c>
      <c r="T120" s="107">
        <v>6.2600391128228114</v>
      </c>
      <c r="U120" s="107">
        <v>6.3340755624268086</v>
      </c>
      <c r="V120" s="107">
        <v>6.408354625241234</v>
      </c>
      <c r="W120" s="107">
        <v>6.4828735422668462</v>
      </c>
      <c r="X120" s="108">
        <v>6.5576295363070916</v>
      </c>
      <c r="Y120" s="109">
        <f>'Inputs and summary'!$B$2</f>
        <v>7.5</v>
      </c>
      <c r="Z120" s="110" cm="1">
        <f t="array" ref="Z120">INDEX($L$3:$X$148, ROW()-ROW(L$3)+1, _xlfn.XMATCH('Inputs and summary'!$B$3, Model!L$2:X$2, 0))</f>
        <v>6.408354625241234</v>
      </c>
    </row>
    <row r="121" spans="3:26" x14ac:dyDescent="0.25">
      <c r="C121" s="34"/>
      <c r="D121" s="34"/>
      <c r="E121" s="34"/>
      <c r="F121" s="34"/>
      <c r="G121" s="34"/>
      <c r="H121" s="34"/>
      <c r="I121" s="34"/>
      <c r="J121" s="115">
        <f t="shared" si="2"/>
        <v>115.38461538461539</v>
      </c>
      <c r="K121" s="106">
        <v>6000</v>
      </c>
      <c r="L121" s="107">
        <v>5.6652713389065035</v>
      </c>
      <c r="M121" s="107">
        <v>5.7367596105150902</v>
      </c>
      <c r="N121" s="107">
        <v>5.8085088316262725</v>
      </c>
      <c r="O121" s="107">
        <v>5.8805165176203653</v>
      </c>
      <c r="P121" s="107">
        <v>5.9527801425584119</v>
      </c>
      <c r="Q121" s="107">
        <v>6.0252971422291033</v>
      </c>
      <c r="R121" s="107">
        <v>6.0980649171670347</v>
      </c>
      <c r="S121" s="107">
        <v>6.1710808356365749</v>
      </c>
      <c r="T121" s="107">
        <v>6.2443422365751378</v>
      </c>
      <c r="U121" s="107">
        <v>6.3178464324907928</v>
      </c>
      <c r="V121" s="107">
        <v>6.3915907123088331</v>
      </c>
      <c r="W121" s="107">
        <v>6.4655723441630126</v>
      </c>
      <c r="X121" s="108">
        <v>6.5397885781269398</v>
      </c>
      <c r="Y121" s="109">
        <f>'Inputs and summary'!$B$2</f>
        <v>7.5</v>
      </c>
      <c r="Z121" s="110" cm="1">
        <f t="array" ref="Z121">INDEX($L$3:$X$148, ROW()-ROW(L$3)+1, _xlfn.XMATCH('Inputs and summary'!$B$3, Model!L$2:X$2, 0))</f>
        <v>6.3915907123088331</v>
      </c>
    </row>
    <row r="122" spans="3:26" x14ac:dyDescent="0.25">
      <c r="C122" s="34"/>
      <c r="D122" s="34"/>
      <c r="E122" s="34"/>
      <c r="F122" s="34"/>
      <c r="G122" s="34"/>
      <c r="H122" s="34"/>
      <c r="I122" s="34"/>
      <c r="J122" s="115">
        <f t="shared" si="2"/>
        <v>116.34615384615384</v>
      </c>
      <c r="K122" s="106">
        <v>6050</v>
      </c>
      <c r="L122" s="107">
        <v>5.65392902067265</v>
      </c>
      <c r="M122" s="107">
        <v>5.7249147248423569</v>
      </c>
      <c r="N122" s="107">
        <v>5.7961586930275839</v>
      </c>
      <c r="O122" s="107">
        <v>5.8676584652763886</v>
      </c>
      <c r="P122" s="107">
        <v>5.9394115406490293</v>
      </c>
      <c r="Q122" s="107">
        <v>6.0114153802390131</v>
      </c>
      <c r="R122" s="107">
        <v>6.0836674101657762</v>
      </c>
      <c r="S122" s="107">
        <v>6.1561650245332888</v>
      </c>
      <c r="T122" s="107">
        <v>6.2289055883484217</v>
      </c>
      <c r="U122" s="107">
        <v>6.3018864403940285</v>
      </c>
      <c r="V122" s="107">
        <v>6.3751048960514547</v>
      </c>
      <c r="W122" s="107">
        <v>6.4485582500681966</v>
      </c>
      <c r="X122" s="108">
        <v>6.5222437792662138</v>
      </c>
      <c r="Y122" s="109">
        <f>'Inputs and summary'!$B$2</f>
        <v>7.5</v>
      </c>
      <c r="Z122" s="110" cm="1">
        <f t="array" ref="Z122">INDEX($L$3:$X$148, ROW()-ROW(L$3)+1, _xlfn.XMATCH('Inputs and summary'!$B$3, Model!L$2:X$2, 0))</f>
        <v>6.3751048960514547</v>
      </c>
    </row>
    <row r="123" spans="3:26" x14ac:dyDescent="0.25">
      <c r="C123" s="34"/>
      <c r="D123" s="34"/>
      <c r="E123" s="34"/>
      <c r="F123" s="34"/>
      <c r="G123" s="34"/>
      <c r="H123" s="34"/>
      <c r="I123" s="34"/>
      <c r="J123" s="115">
        <f t="shared" si="2"/>
        <v>117.30769230769231</v>
      </c>
      <c r="K123" s="106">
        <v>6100</v>
      </c>
      <c r="L123" s="107">
        <v>5.642772782926837</v>
      </c>
      <c r="M123" s="107">
        <v>5.7132642088212755</v>
      </c>
      <c r="N123" s="107">
        <v>5.7840112647788686</v>
      </c>
      <c r="O123" s="107">
        <v>5.8550115150461544</v>
      </c>
      <c r="P123" s="107">
        <v>5.9262624832073598</v>
      </c>
      <c r="Q123" s="107">
        <v>5.9977616551800512</v>
      </c>
      <c r="R123" s="107">
        <v>6.0695064821827138</v>
      </c>
      <c r="S123" s="107">
        <v>6.1414943836685385</v>
      </c>
      <c r="T123" s="107">
        <v>6.2137227502192793</v>
      </c>
      <c r="U123" s="107">
        <v>6.286188946394307</v>
      </c>
      <c r="V123" s="107">
        <v>6.358890313529459</v>
      </c>
      <c r="W123" s="107">
        <v>6.4318241724815275</v>
      </c>
      <c r="X123" s="108">
        <v>6.5049878263139025</v>
      </c>
      <c r="Y123" s="109">
        <f>'Inputs and summary'!$B$2</f>
        <v>7.5</v>
      </c>
      <c r="Z123" s="110" cm="1">
        <f t="array" ref="Z123">INDEX($L$3:$X$148, ROW()-ROW(L$3)+1, _xlfn.XMATCH('Inputs and summary'!$B$3, Model!L$2:X$2, 0))</f>
        <v>6.358890313529459</v>
      </c>
    </row>
    <row r="124" spans="3:26" x14ac:dyDescent="0.25">
      <c r="C124" s="34"/>
      <c r="D124" s="34"/>
      <c r="E124" s="34"/>
      <c r="F124" s="34"/>
      <c r="G124" s="34"/>
      <c r="H124" s="34"/>
      <c r="I124" s="34"/>
      <c r="J124" s="115">
        <f t="shared" si="2"/>
        <v>118.26923076923077</v>
      </c>
      <c r="K124" s="106">
        <v>6150</v>
      </c>
      <c r="L124" s="107">
        <v>5.6317980837146164</v>
      </c>
      <c r="M124" s="107">
        <v>5.7018033171056786</v>
      </c>
      <c r="N124" s="107">
        <v>5.7720615967041962</v>
      </c>
      <c r="O124" s="107">
        <v>5.8425705104991223</v>
      </c>
      <c r="P124" s="107">
        <v>5.9133276061367441</v>
      </c>
      <c r="Q124" s="107">
        <v>5.9843303938914909</v>
      </c>
      <c r="R124" s="107">
        <v>6.055576349608776</v>
      </c>
      <c r="S124" s="107">
        <v>6.1270629176144169</v>
      </c>
      <c r="T124" s="107">
        <v>6.1987875135844686</v>
      </c>
      <c r="U124" s="107">
        <v>6.2707475273705962</v>
      </c>
      <c r="V124" s="107">
        <v>6.3429403257757251</v>
      </c>
      <c r="W124" s="107">
        <v>6.4153632552757429</v>
      </c>
      <c r="X124" s="108">
        <v>6.4880136446829084</v>
      </c>
      <c r="Y124" s="109">
        <f>'Inputs and summary'!$B$2</f>
        <v>7.5</v>
      </c>
      <c r="Z124" s="110" cm="1">
        <f t="array" ref="Z124">INDEX($L$3:$X$148, ROW()-ROW(L$3)+1, _xlfn.XMATCH('Inputs and summary'!$B$3, Model!L$2:X$2, 0))</f>
        <v>6.3429403257757251</v>
      </c>
    </row>
    <row r="125" spans="3:26" x14ac:dyDescent="0.25">
      <c r="C125" s="34"/>
      <c r="D125" s="34"/>
      <c r="E125" s="34"/>
      <c r="F125" s="34"/>
      <c r="G125" s="34"/>
      <c r="H125" s="34"/>
      <c r="I125" s="34"/>
      <c r="J125" s="115">
        <f t="shared" si="2"/>
        <v>119.23076923076923</v>
      </c>
      <c r="K125" s="106">
        <v>6200</v>
      </c>
      <c r="L125" s="107">
        <v>5.6210005277051502</v>
      </c>
      <c r="M125" s="107">
        <v>5.6905274575729035</v>
      </c>
      <c r="N125" s="107">
        <v>5.760304898503243</v>
      </c>
      <c r="O125" s="107">
        <v>5.830330461784083</v>
      </c>
      <c r="P125" s="107">
        <v>5.9006017186747997</v>
      </c>
      <c r="Q125" s="107">
        <v>5.9711162033524756</v>
      </c>
      <c r="R125" s="107">
        <v>6.04187141583051</v>
      </c>
      <c r="S125" s="107">
        <v>6.112864824844082</v>
      </c>
      <c r="T125" s="107">
        <v>6.1840938706963557</v>
      </c>
      <c r="U125" s="107">
        <v>6.255555968060623</v>
      </c>
      <c r="V125" s="107">
        <v>6.3272485087331134</v>
      </c>
      <c r="W125" s="107">
        <v>6.3991688643323545</v>
      </c>
      <c r="X125" s="108">
        <v>6.4713143889406677</v>
      </c>
      <c r="Y125" s="109">
        <f>'Inputs and summary'!$B$2</f>
        <v>7.5</v>
      </c>
      <c r="Z125" s="110" cm="1">
        <f t="array" ref="Z125">INDEX($L$3:$X$148, ROW()-ROW(L$3)+1, _xlfn.XMATCH('Inputs and summary'!$B$3, Model!L$2:X$2, 0))</f>
        <v>6.3272485087331134</v>
      </c>
    </row>
    <row r="126" spans="3:26" x14ac:dyDescent="0.25">
      <c r="C126" s="34"/>
      <c r="D126" s="34"/>
      <c r="E126" s="34"/>
      <c r="F126" s="34"/>
      <c r="G126" s="34"/>
      <c r="H126" s="34"/>
      <c r="I126" s="34"/>
      <c r="J126" s="115">
        <f t="shared" si="2"/>
        <v>120.19230769230769</v>
      </c>
      <c r="K126" s="106">
        <v>6250</v>
      </c>
      <c r="L126" s="107">
        <v>5.6103758603218941</v>
      </c>
      <c r="M126" s="107">
        <v>5.6794321851890182</v>
      </c>
      <c r="N126" s="107">
        <v>5.7487365333485929</v>
      </c>
      <c r="O126" s="107">
        <v>5.8182865389563725</v>
      </c>
      <c r="P126" s="107">
        <v>5.8880797964481921</v>
      </c>
      <c r="Q126" s="107">
        <v>5.9581138634621453</v>
      </c>
      <c r="R126" s="107">
        <v>6.0283862637333581</v>
      </c>
      <c r="S126" s="107">
        <v>6.098894489955911</v>
      </c>
      <c r="T126" s="107">
        <v>6.1696360066058276</v>
      </c>
      <c r="U126" s="107">
        <v>6.2406082527203779</v>
      </c>
      <c r="V126" s="107">
        <v>6.31180864462846</v>
      </c>
      <c r="W126" s="107">
        <v>6.3832345786279623</v>
      </c>
      <c r="X126" s="108">
        <v>6.454883433605783</v>
      </c>
      <c r="Y126" s="109">
        <f>'Inputs and summary'!$B$2</f>
        <v>7.5</v>
      </c>
      <c r="Z126" s="110" cm="1">
        <f t="array" ref="Z126">INDEX($L$3:$X$148, ROW()-ROW(L$3)+1, _xlfn.XMATCH('Inputs and summary'!$B$3, Model!L$2:X$2, 0))</f>
        <v>6.31180864462846</v>
      </c>
    </row>
    <row r="127" spans="3:26" x14ac:dyDescent="0.25">
      <c r="C127" s="34"/>
      <c r="D127" s="34"/>
      <c r="E127" s="34"/>
      <c r="F127" s="34"/>
      <c r="G127" s="34"/>
      <c r="H127" s="34"/>
      <c r="I127" s="34"/>
      <c r="J127" s="115">
        <f t="shared" si="2"/>
        <v>121.15384615384616</v>
      </c>
      <c r="K127" s="106">
        <v>6300</v>
      </c>
      <c r="L127" s="107">
        <v>5.5999199621530886</v>
      </c>
      <c r="M127" s="107">
        <v>5.6685131961663862</v>
      </c>
      <c r="N127" s="107">
        <v>5.7373520117883734</v>
      </c>
      <c r="O127" s="107">
        <v>5.8064340656232787</v>
      </c>
      <c r="P127" s="107">
        <v>5.8757569748587199</v>
      </c>
      <c r="Q127" s="107">
        <v>5.9453183201642403</v>
      </c>
      <c r="R127" s="107">
        <v>6.0151156485626718</v>
      </c>
      <c r="S127" s="107">
        <v>6.0851464762688732</v>
      </c>
      <c r="T127" s="107">
        <v>6.155408291489934</v>
      </c>
      <c r="U127" s="107">
        <v>6.2258985571820098</v>
      </c>
      <c r="V127" s="107">
        <v>6.296614713758669</v>
      </c>
      <c r="W127" s="107">
        <v>6.3675541817466286</v>
      </c>
      <c r="X127" s="108">
        <v>6.4387143643846532</v>
      </c>
      <c r="Y127" s="109">
        <f>'Inputs and summary'!$B$2</f>
        <v>7.5</v>
      </c>
      <c r="Z127" s="110" cm="1">
        <f t="array" ref="Z127">INDEX($L$3:$X$148, ROW()-ROW(L$3)+1, _xlfn.XMATCH('Inputs and summary'!$B$3, Model!L$2:X$2, 0))</f>
        <v>6.296614713758669</v>
      </c>
    </row>
    <row r="128" spans="3:26" x14ac:dyDescent="0.25">
      <c r="C128" s="34"/>
      <c r="D128" s="34"/>
      <c r="E128" s="34"/>
      <c r="F128" s="34"/>
      <c r="G128" s="34"/>
      <c r="H128" s="34"/>
      <c r="I128" s="34"/>
      <c r="J128" s="115">
        <f t="shared" si="2"/>
        <v>122.11538461538461</v>
      </c>
      <c r="K128" s="106">
        <v>6350</v>
      </c>
      <c r="L128" s="107">
        <v>5.589628843626409</v>
      </c>
      <c r="M128" s="107">
        <v>5.657766322397574</v>
      </c>
      <c r="N128" s="107">
        <v>5.7261469859372385</v>
      </c>
      <c r="O128" s="107">
        <v>5.7947685128900801</v>
      </c>
      <c r="P128" s="107">
        <v>5.8636285427823616</v>
      </c>
      <c r="Q128" s="107">
        <v>5.932724678897177</v>
      </c>
      <c r="R128" s="107">
        <v>6.0020544911227809</v>
      </c>
      <c r="S128" s="107">
        <v>6.0716155187686134</v>
      </c>
      <c r="T128" s="107">
        <v>6.141405273343036</v>
      </c>
      <c r="U128" s="107">
        <v>6.2114212412881002</v>
      </c>
      <c r="V128" s="107">
        <v>6.2816608866662271</v>
      </c>
      <c r="W128" s="107">
        <v>6.3521216537946934</v>
      </c>
      <c r="X128" s="108">
        <v>6.4228009698237365</v>
      </c>
      <c r="Y128" s="109">
        <f>'Inputs and summary'!$B$2</f>
        <v>7.5</v>
      </c>
      <c r="Z128" s="110" cm="1">
        <f t="array" ref="Z128">INDEX($L$3:$X$148, ROW()-ROW(L$3)+1, _xlfn.XMATCH('Inputs and summary'!$B$3, Model!L$2:X$2, 0))</f>
        <v>6.2816608866662271</v>
      </c>
    </row>
    <row r="129" spans="3:26" x14ac:dyDescent="0.25">
      <c r="C129" s="34"/>
      <c r="D129" s="34"/>
      <c r="E129" s="34"/>
      <c r="F129" s="34"/>
      <c r="G129" s="34"/>
      <c r="H129" s="34"/>
      <c r="I129" s="34"/>
      <c r="J129" s="115">
        <f t="shared" si="2"/>
        <v>123.07692307692308</v>
      </c>
      <c r="K129" s="106">
        <v>6400</v>
      </c>
      <c r="L129" s="107">
        <v>5.5794986399334885</v>
      </c>
      <c r="M129" s="107">
        <v>5.6471875261504074</v>
      </c>
      <c r="N129" s="107">
        <v>5.7151172439399751</v>
      </c>
      <c r="O129" s="107">
        <v>5.7832854935903013</v>
      </c>
      <c r="P129" s="107">
        <v>5.8516899365642105</v>
      </c>
      <c r="Q129" s="107">
        <v>5.9203281983516884</v>
      </c>
      <c r="R129" s="107">
        <v>5.9891978712955254</v>
      </c>
      <c r="S129" s="107">
        <v>6.0582965173849868</v>
      </c>
      <c r="T129" s="107">
        <v>6.1276216710114859</v>
      </c>
      <c r="U129" s="107">
        <v>6.1971708416816504</v>
      </c>
      <c r="V129" s="107">
        <v>6.2669415166826798</v>
      </c>
      <c r="W129" s="107">
        <v>6.336931163695958</v>
      </c>
      <c r="X129" s="108">
        <v>6.4071372333546961</v>
      </c>
      <c r="Y129" s="109">
        <f>'Inputs and summary'!$B$2</f>
        <v>7.5</v>
      </c>
      <c r="Z129" s="110" cm="1">
        <f t="array" ref="Z129">INDEX($L$3:$X$148, ROW()-ROW(L$3)+1, _xlfn.XMATCH('Inputs and summary'!$B$3, Model!L$2:X$2, 0))</f>
        <v>6.2669415166826798</v>
      </c>
    </row>
    <row r="130" spans="3:26" x14ac:dyDescent="0.25">
      <c r="C130" s="34"/>
      <c r="D130" s="34"/>
      <c r="E130" s="34"/>
      <c r="F130" s="34"/>
      <c r="G130" s="34"/>
      <c r="H130" s="34"/>
      <c r="I130" s="34"/>
      <c r="J130" s="115">
        <f t="shared" si="2"/>
        <v>124.03846153846153</v>
      </c>
      <c r="K130" s="106">
        <v>6450</v>
      </c>
      <c r="L130" s="107">
        <v>5.5695256061906271</v>
      </c>
      <c r="M130" s="107">
        <v>5.6367728950099476</v>
      </c>
      <c r="N130" s="107">
        <v>5.7042587046929407</v>
      </c>
      <c r="O130" s="107">
        <v>5.7719807567846431</v>
      </c>
      <c r="P130" s="107">
        <v>5.8399367342931345</v>
      </c>
      <c r="Q130" s="107">
        <v>5.9081242845194364</v>
      </c>
      <c r="R130" s="107">
        <v>5.9765410218609425</v>
      </c>
      <c r="S130" s="107">
        <v>6.0451845305830529</v>
      </c>
      <c r="T130" s="107">
        <v>6.1140523675531782</v>
      </c>
      <c r="U130" s="107">
        <v>6.1831420649324453</v>
      </c>
      <c r="V130" s="107">
        <v>6.2524511328200925</v>
      </c>
      <c r="W130" s="107">
        <v>6.3219770618465416</v>
      </c>
      <c r="X130" s="108">
        <v>6.3917173257109443</v>
      </c>
      <c r="Y130" s="109">
        <f>'Inputs and summary'!$B$2</f>
        <v>7.5</v>
      </c>
      <c r="Z130" s="110" cm="1">
        <f t="array" ref="Z130">INDEX($L$3:$X$148, ROW()-ROW(L$3)+1, _xlfn.XMATCH('Inputs and summary'!$B$3, Model!L$2:X$2, 0))</f>
        <v>6.2524511328200925</v>
      </c>
    </row>
    <row r="131" spans="3:26" x14ac:dyDescent="0.25">
      <c r="C131" s="34"/>
      <c r="D131" s="34"/>
      <c r="E131" s="34"/>
      <c r="F131" s="34"/>
      <c r="G131" s="34"/>
      <c r="H131" s="34"/>
      <c r="I131" s="34"/>
      <c r="J131" s="115">
        <f t="shared" si="2"/>
        <v>125</v>
      </c>
      <c r="K131" s="106">
        <v>6500</v>
      </c>
      <c r="L131" s="107">
        <v>5.5597061128230711</v>
      </c>
      <c r="M131" s="107">
        <v>5.6265186370541933</v>
      </c>
      <c r="N131" s="107">
        <v>5.6935674128093439</v>
      </c>
      <c r="O131" s="107">
        <v>5.7608501825142264</v>
      </c>
      <c r="P131" s="107">
        <v>5.8283646503411299</v>
      </c>
      <c r="Q131" s="107">
        <v>5.8961084850167644</v>
      </c>
      <c r="R131" s="107">
        <v>5.9640793226037392</v>
      </c>
      <c r="S131" s="107">
        <v>6.032274769250586</v>
      </c>
      <c r="T131" s="107">
        <v>6.1006924039044099</v>
      </c>
      <c r="U131" s="107">
        <v>6.1693297809816148</v>
      </c>
      <c r="V131" s="107">
        <v>6.2381844329916598</v>
      </c>
      <c r="W131" s="107">
        <v>6.307253873109941</v>
      </c>
      <c r="X131" s="108">
        <v>6.3765355976955487</v>
      </c>
      <c r="Y131" s="109">
        <f>'Inputs and summary'!$B$2</f>
        <v>7.5</v>
      </c>
      <c r="Z131" s="110" cm="1">
        <f t="array" ref="Z131">INDEX($L$3:$X$148, ROW()-ROW(L$3)+1, _xlfn.XMATCH('Inputs and summary'!$B$3, Model!L$2:X$2, 0))</f>
        <v>6.2381844329916598</v>
      </c>
    </row>
    <row r="132" spans="3:26" x14ac:dyDescent="0.25">
      <c r="C132" s="34"/>
      <c r="D132" s="34"/>
      <c r="E132" s="34"/>
      <c r="F132" s="34"/>
      <c r="G132" s="34"/>
      <c r="H132" s="34"/>
      <c r="I132" s="34"/>
      <c r="J132" s="115">
        <f t="shared" ref="J132:J148" si="3">K132/$B$7</f>
        <v>125.96153846153847</v>
      </c>
      <c r="K132" s="106">
        <v>6550</v>
      </c>
      <c r="L132" s="107">
        <v>5.505540159356193</v>
      </c>
      <c r="M132" s="107">
        <v>5.5665788823760671</v>
      </c>
      <c r="N132" s="107">
        <v>5.6278284967834704</v>
      </c>
      <c r="O132" s="107">
        <v>5.6892869522675298</v>
      </c>
      <c r="P132" s="107">
        <v>5.7509521607422922</v>
      </c>
      <c r="Q132" s="107">
        <v>5.8128219990732699</v>
      </c>
      <c r="R132" s="107">
        <v>5.8748943117796415</v>
      </c>
      <c r="S132" s="107">
        <v>5.9371669137066387</v>
      </c>
      <c r="T132" s="107">
        <v>5.9996375926625731</v>
      </c>
      <c r="U132" s="107">
        <v>6.0623041120157044</v>
      </c>
      <c r="V132" s="107">
        <v>6.125164213246137</v>
      </c>
      <c r="W132" s="107">
        <v>6.1882156184486758</v>
      </c>
      <c r="X132" s="108">
        <v>6.2514560327825475</v>
      </c>
      <c r="Y132" s="109">
        <f>'Inputs and summary'!$B$2</f>
        <v>7.5</v>
      </c>
      <c r="Z132" s="110" cm="1">
        <f t="array" ref="Z132">INDEX($L$3:$X$148, ROW()-ROW(L$3)+1, _xlfn.XMATCH('Inputs and summary'!$B$3, Model!L$2:X$2, 0))</f>
        <v>6.125164213246137</v>
      </c>
    </row>
    <row r="133" spans="3:26" x14ac:dyDescent="0.25">
      <c r="C133" s="34"/>
      <c r="D133" s="34"/>
      <c r="E133" s="34"/>
      <c r="F133" s="34"/>
      <c r="G133" s="34"/>
      <c r="H133" s="34"/>
      <c r="I133" s="34"/>
      <c r="J133" s="115">
        <f t="shared" si="3"/>
        <v>126.92307692307692</v>
      </c>
      <c r="K133" s="106">
        <v>6600</v>
      </c>
      <c r="L133" s="107">
        <v>5.4986853943201233</v>
      </c>
      <c r="M133" s="107">
        <v>5.5593430488978708</v>
      </c>
      <c r="N133" s="107">
        <v>5.6202095802965033</v>
      </c>
      <c r="O133" s="107">
        <v>5.6812829569476992</v>
      </c>
      <c r="P133" s="107">
        <v>5.7425611097809917</v>
      </c>
      <c r="Q133" s="107">
        <v>5.8040419349294208</v>
      </c>
      <c r="R133" s="107">
        <v>5.8657232964109181</v>
      </c>
      <c r="S133" s="107">
        <v>5.9276030287802133</v>
      </c>
      <c r="T133" s="107">
        <v>5.989678939745593</v>
      </c>
      <c r="U133" s="107">
        <v>6.0519488127458727</v>
      </c>
      <c r="V133" s="107">
        <v>6.1144104094827076</v>
      </c>
      <c r="W133" s="107">
        <v>6.1770614724042794</v>
      </c>
      <c r="X133" s="108">
        <v>6.2398997271362404</v>
      </c>
      <c r="Y133" s="109">
        <f>'Inputs and summary'!$B$2</f>
        <v>7.5</v>
      </c>
      <c r="Z133" s="110" cm="1">
        <f t="array" ref="Z133">INDEX($L$3:$X$148, ROW()-ROW(L$3)+1, _xlfn.XMATCH('Inputs and summary'!$B$3, Model!L$2:X$2, 0))</f>
        <v>6.1144104094827076</v>
      </c>
    </row>
    <row r="134" spans="3:26" x14ac:dyDescent="0.25">
      <c r="C134" s="34"/>
      <c r="D134" s="34"/>
      <c r="E134" s="34"/>
      <c r="F134" s="34"/>
      <c r="G134" s="34"/>
      <c r="H134" s="34"/>
      <c r="I134" s="34"/>
      <c r="J134" s="115">
        <f t="shared" si="3"/>
        <v>127.88461538461539</v>
      </c>
      <c r="K134" s="106">
        <v>6650</v>
      </c>
      <c r="L134" s="107">
        <v>5.4919338079800015</v>
      </c>
      <c r="M134" s="107">
        <v>5.5522161600528701</v>
      </c>
      <c r="N134" s="107">
        <v>5.6127054099848213</v>
      </c>
      <c r="O134" s="107">
        <v>5.6733995446236012</v>
      </c>
      <c r="P134" s="107">
        <v>5.7342965135834394</v>
      </c>
      <c r="Q134" s="107">
        <v>5.7953942319300742</v>
      </c>
      <c r="R134" s="107">
        <v>5.8566905828416909</v>
      </c>
      <c r="S134" s="107">
        <v>5.9181834202406716</v>
      </c>
      <c r="T134" s="107">
        <v>5.9798705713904123</v>
      </c>
      <c r="U134" s="107">
        <v>6.0417498394527058</v>
      </c>
      <c r="V134" s="107">
        <v>6.1038190060007853</v>
      </c>
      <c r="W134" s="107">
        <v>6.1660758334841379</v>
      </c>
      <c r="X134" s="108">
        <v>6.2285180676409819</v>
      </c>
      <c r="Y134" s="109">
        <f>'Inputs and summary'!$B$2</f>
        <v>7.5</v>
      </c>
      <c r="Z134" s="110" cm="1">
        <f t="array" ref="Z134">INDEX($L$3:$X$148, ROW()-ROW(L$3)+1, _xlfn.XMATCH('Inputs and summary'!$B$3, Model!L$2:X$2, 0))</f>
        <v>6.1038190060007853</v>
      </c>
    </row>
    <row r="135" spans="3:26" x14ac:dyDescent="0.25">
      <c r="C135" s="34"/>
      <c r="D135" s="34"/>
      <c r="E135" s="34"/>
      <c r="F135" s="34"/>
      <c r="G135" s="34"/>
      <c r="H135" s="34"/>
      <c r="I135" s="34"/>
      <c r="J135" s="115">
        <f t="shared" si="3"/>
        <v>128.84615384615384</v>
      </c>
      <c r="K135" s="106">
        <v>6700</v>
      </c>
      <c r="L135" s="107">
        <v>5.4852830881542758</v>
      </c>
      <c r="M135" s="107">
        <v>5.5451957737812618</v>
      </c>
      <c r="N135" s="107">
        <v>5.6053134129955566</v>
      </c>
      <c r="O135" s="107">
        <v>5.6656340107429068</v>
      </c>
      <c r="P135" s="107">
        <v>5.7261555349999327</v>
      </c>
      <c r="Q135" s="107">
        <v>5.786875919438847</v>
      </c>
      <c r="R135" s="107">
        <v>5.8477930660683253</v>
      </c>
      <c r="S135" s="107">
        <v>5.9089048478453403</v>
      </c>
      <c r="T135" s="107">
        <v>5.9702091112524016</v>
      </c>
      <c r="U135" s="107">
        <v>6.0317036788356502</v>
      </c>
      <c r="V135" s="107">
        <v>6.0933863516989373</v>
      </c>
      <c r="W135" s="107">
        <v>6.1552549119500615</v>
      </c>
      <c r="X135" s="108">
        <v>6.2173071250950667</v>
      </c>
      <c r="Y135" s="109">
        <f>'Inputs and summary'!$B$2</f>
        <v>7.5</v>
      </c>
      <c r="Z135" s="110" cm="1">
        <f t="array" ref="Z135">INDEX($L$3:$X$148, ROW()-ROW(L$3)+1, _xlfn.XMATCH('Inputs and summary'!$B$3, Model!L$2:X$2, 0))</f>
        <v>6.0933863516989373</v>
      </c>
    </row>
    <row r="136" spans="3:26" x14ac:dyDescent="0.25">
      <c r="C136" s="34"/>
      <c r="D136" s="34"/>
      <c r="E136" s="34"/>
      <c r="F136" s="34"/>
      <c r="G136" s="34"/>
      <c r="H136" s="34"/>
      <c r="I136" s="34"/>
      <c r="J136" s="115">
        <f t="shared" si="3"/>
        <v>129.80769230769232</v>
      </c>
      <c r="K136" s="106">
        <v>6750</v>
      </c>
      <c r="L136" s="107">
        <v>5.4787309912354756</v>
      </c>
      <c r="M136" s="107">
        <v>5.5382795204687856</v>
      </c>
      <c r="N136" s="107">
        <v>5.5980310928234029</v>
      </c>
      <c r="O136" s="107">
        <v>5.6579837310331236</v>
      </c>
      <c r="P136" s="107">
        <v>5.7181354211228612</v>
      </c>
      <c r="Q136" s="107">
        <v>5.7784841150534323</v>
      </c>
      <c r="R136" s="107">
        <v>5.8390277333426042</v>
      </c>
      <c r="S136" s="107">
        <v>5.899764167657402</v>
      </c>
      <c r="T136" s="107">
        <v>5.9606912833720269</v>
      </c>
      <c r="U136" s="107">
        <v>6.0218069220869817</v>
      </c>
      <c r="V136" s="107">
        <v>6.0831089041044732</v>
      </c>
      <c r="W136" s="107">
        <v>6.144595030856383</v>
      </c>
      <c r="X136" s="108">
        <v>6.2062630872806448</v>
      </c>
      <c r="Y136" s="109">
        <f>'Inputs and summary'!$B$2</f>
        <v>7.5</v>
      </c>
      <c r="Z136" s="110" cm="1">
        <f t="array" ref="Z136">INDEX($L$3:$X$148, ROW()-ROW(L$3)+1, _xlfn.XMATCH('Inputs and summary'!$B$3, Model!L$2:X$2, 0))</f>
        <v>6.0831089041044732</v>
      </c>
    </row>
    <row r="137" spans="3:26" x14ac:dyDescent="0.25">
      <c r="C137" s="34"/>
      <c r="D137" s="34"/>
      <c r="E137" s="34"/>
      <c r="F137" s="34"/>
      <c r="G137" s="34"/>
      <c r="H137" s="34"/>
      <c r="I137" s="34"/>
      <c r="J137" s="115">
        <f t="shared" si="3"/>
        <v>130.76923076923077</v>
      </c>
      <c r="K137" s="106">
        <v>6800</v>
      </c>
      <c r="L137" s="107">
        <v>5.4722753396667212</v>
      </c>
      <c r="M137" s="107">
        <v>5.5314651002800428</v>
      </c>
      <c r="N137" s="107">
        <v>5.5908560264995115</v>
      </c>
      <c r="O137" s="107">
        <v>5.6504461585448276</v>
      </c>
      <c r="P137" s="107">
        <v>5.710233500183076</v>
      </c>
      <c r="Q137" s="107">
        <v>5.7702160213538125</v>
      </c>
      <c r="R137" s="107">
        <v>5.8303916607706689</v>
      </c>
      <c r="S137" s="107">
        <v>5.8907583284943588</v>
      </c>
      <c r="T137" s="107">
        <v>5.951313908471656</v>
      </c>
      <c r="U137" s="107">
        <v>6.0120562610357737</v>
      </c>
      <c r="V137" s="107">
        <v>6.072983225363445</v>
      </c>
      <c r="W137" s="107">
        <v>6.1340926218848484</v>
      </c>
      <c r="X137" s="108">
        <v>6.195382254642392</v>
      </c>
      <c r="Y137" s="109">
        <f>'Inputs and summary'!$B$2</f>
        <v>7.5</v>
      </c>
      <c r="Z137" s="110" cm="1">
        <f t="array" ref="Z137">INDEX($L$3:$X$148, ROW()-ROW(L$3)+1, _xlfn.XMATCH('Inputs and summary'!$B$3, Model!L$2:X$2, 0))</f>
        <v>6.072983225363445</v>
      </c>
    </row>
    <row r="138" spans="3:26" x14ac:dyDescent="0.25">
      <c r="C138" s="34"/>
      <c r="D138" s="34"/>
      <c r="E138" s="34"/>
      <c r="F138" s="34"/>
      <c r="G138" s="34"/>
      <c r="H138" s="34"/>
      <c r="I138" s="34"/>
      <c r="J138" s="115">
        <f t="shared" si="3"/>
        <v>131.73076923076923</v>
      </c>
      <c r="K138" s="106">
        <v>6850</v>
      </c>
      <c r="L138" s="107">
        <v>5.4659140195288805</v>
      </c>
      <c r="M138" s="107">
        <v>5.5247502806087976</v>
      </c>
      <c r="N138" s="107">
        <v>5.5837858619037046</v>
      </c>
      <c r="O138" s="107">
        <v>5.6430188208246648</v>
      </c>
      <c r="P138" s="107">
        <v>5.702447178582462</v>
      </c>
      <c r="Q138" s="107">
        <v>5.7620689227933219</v>
      </c>
      <c r="R138" s="107">
        <v>5.8218820100613335</v>
      </c>
      <c r="S138" s="107">
        <v>5.8818843685325168</v>
      </c>
      <c r="T138" s="107">
        <v>5.9420739004150773</v>
      </c>
      <c r="U138" s="107">
        <v>6.0024484844613806</v>
      </c>
      <c r="V138" s="107">
        <v>6.0630059784069621</v>
      </c>
      <c r="W138" s="107">
        <v>6.123744221362708</v>
      </c>
      <c r="X138" s="108">
        <v>6.1846610361563004</v>
      </c>
      <c r="Y138" s="109">
        <f>'Inputs and summary'!$B$2</f>
        <v>7.5</v>
      </c>
      <c r="Z138" s="110" cm="1">
        <f t="array" ref="Z138">INDEX($L$3:$X$148, ROW()-ROW(L$3)+1, _xlfn.XMATCH('Inputs and summary'!$B$3, Model!L$2:X$2, 0))</f>
        <v>6.0630059784069621</v>
      </c>
    </row>
    <row r="139" spans="3:26" x14ac:dyDescent="0.25">
      <c r="C139" s="34"/>
      <c r="D139" s="34"/>
      <c r="E139" s="34"/>
      <c r="F139" s="34"/>
      <c r="G139" s="34"/>
      <c r="H139" s="34"/>
      <c r="I139" s="34"/>
      <c r="J139" s="115">
        <f t="shared" si="3"/>
        <v>132.69230769230768</v>
      </c>
      <c r="K139" s="106">
        <v>6900</v>
      </c>
      <c r="L139" s="107">
        <v>5.4596449782327081</v>
      </c>
      <c r="M139" s="107">
        <v>5.5181328936392191</v>
      </c>
      <c r="N139" s="107">
        <v>5.576818315193723</v>
      </c>
      <c r="O139" s="107">
        <v>5.6356993172114329</v>
      </c>
      <c r="P139" s="107">
        <v>5.6947739380557829</v>
      </c>
      <c r="Q139" s="107">
        <v>5.7540401827251113</v>
      </c>
      <c r="R139" s="107">
        <v>5.8134960254161694</v>
      </c>
      <c r="S139" s="107">
        <v>5.8731394120595519</v>
      </c>
      <c r="T139" s="107">
        <v>5.9329682628215021</v>
      </c>
      <c r="U139" s="107">
        <v>5.9929804745677906</v>
      </c>
      <c r="V139" s="107">
        <v>6.0531739232848896</v>
      </c>
      <c r="W139" s="107">
        <v>6.1135464664547072</v>
      </c>
      <c r="X139" s="108">
        <v>6.1740959453789444</v>
      </c>
      <c r="Y139" s="109">
        <f>'Inputs and summary'!$B$2</f>
        <v>7.5</v>
      </c>
      <c r="Z139" s="110" cm="1">
        <f t="array" ref="Z139">INDEX($L$3:$X$148, ROW()-ROW(L$3)+1, _xlfn.XMATCH('Inputs and summary'!$B$3, Model!L$2:X$2, 0))</f>
        <v>6.0531739232848896</v>
      </c>
    </row>
    <row r="140" spans="3:26" x14ac:dyDescent="0.25">
      <c r="C140" s="34"/>
      <c r="D140" s="34"/>
      <c r="E140" s="34"/>
      <c r="F140" s="34"/>
      <c r="G140" s="34"/>
      <c r="H140" s="34"/>
      <c r="I140" s="34"/>
      <c r="J140" s="115">
        <f t="shared" si="3"/>
        <v>133.65384615384616</v>
      </c>
      <c r="K140" s="106">
        <v>6950</v>
      </c>
      <c r="L140" s="107">
        <v>5.4534662223106984</v>
      </c>
      <c r="M140" s="107">
        <v>5.5116108340125418</v>
      </c>
      <c r="N140" s="107">
        <v>5.5699511683456056</v>
      </c>
      <c r="O140" s="107">
        <v>5.6284853162491206</v>
      </c>
      <c r="P140" s="107">
        <v>5.6872113329553127</v>
      </c>
      <c r="Q140" s="107">
        <v>5.7461272405573318</v>
      </c>
      <c r="R140" s="107">
        <v>5.805231030554161</v>
      </c>
      <c r="S140" s="107">
        <v>5.8645206663676444</v>
      </c>
      <c r="T140" s="107">
        <v>5.9239940858261733</v>
      </c>
      <c r="U140" s="107">
        <v>5.9836492036107032</v>
      </c>
      <c r="V140" s="107">
        <v>6.0434839136583864</v>
      </c>
      <c r="W140" s="107">
        <v>6.1034960915201175</v>
      </c>
      <c r="X140" s="108">
        <v>6.1636835966680472</v>
      </c>
      <c r="Y140" s="109">
        <f>'Inputs and summary'!$B$2</f>
        <v>7.5</v>
      </c>
      <c r="Z140" s="110" cm="1">
        <f t="array" ref="Z140">INDEX($L$3:$X$148, ROW()-ROW(L$3)+1, _xlfn.XMATCH('Inputs and summary'!$B$3, Model!L$2:X$2, 0))</f>
        <v>6.0434839136583864</v>
      </c>
    </row>
    <row r="141" spans="3:26" x14ac:dyDescent="0.25">
      <c r="C141" s="34"/>
      <c r="D141" s="34"/>
      <c r="E141" s="34"/>
      <c r="F141" s="34"/>
      <c r="G141" s="34"/>
      <c r="H141" s="34"/>
      <c r="I141" s="34"/>
      <c r="J141" s="115">
        <f t="shared" si="3"/>
        <v>134.61538461538461</v>
      </c>
      <c r="K141" s="106">
        <v>7000</v>
      </c>
      <c r="L141" s="107">
        <v>5.4473758153036957</v>
      </c>
      <c r="M141" s="107">
        <v>5.505182056593843</v>
      </c>
      <c r="N141" s="107">
        <v>5.5631822667996165</v>
      </c>
      <c r="O141" s="107">
        <v>5.6213745532109769</v>
      </c>
      <c r="P141" s="107">
        <v>5.6797569876520395</v>
      </c>
      <c r="Q141" s="107">
        <v>5.7383276090305007</v>
      </c>
      <c r="R141" s="107">
        <v>5.7970844258642291</v>
      </c>
      <c r="S141" s="107">
        <v>5.856025418780197</v>
      </c>
      <c r="T141" s="107">
        <v>5.9151485429802797</v>
      </c>
      <c r="U141" s="107">
        <v>5.974451730669708</v>
      </c>
      <c r="V141" s="107">
        <v>6.0339328934434029</v>
      </c>
      <c r="W141" s="107">
        <v>6.093589924626599</v>
      </c>
      <c r="X141" s="108">
        <v>6.1534207015657767</v>
      </c>
      <c r="Y141" s="109">
        <f>'Inputs and summary'!$B$2</f>
        <v>7.5</v>
      </c>
      <c r="Z141" s="110" cm="1">
        <f t="array" ref="Z141">INDEX($L$3:$X$148, ROW()-ROW(L$3)+1, _xlfn.XMATCH('Inputs and summary'!$B$3, Model!L$2:X$2, 0))</f>
        <v>6.0339328934434029</v>
      </c>
    </row>
    <row r="142" spans="3:26" x14ac:dyDescent="0.25">
      <c r="C142" s="34"/>
      <c r="D142" s="34"/>
      <c r="E142" s="34"/>
      <c r="F142" s="34"/>
      <c r="G142" s="34"/>
      <c r="H142" s="34"/>
      <c r="I142" s="34"/>
      <c r="J142" s="115">
        <f t="shared" si="3"/>
        <v>135.57692307692307</v>
      </c>
      <c r="K142" s="106">
        <v>7050</v>
      </c>
      <c r="L142" s="107">
        <v>5.441371875737441</v>
      </c>
      <c r="M142" s="107">
        <v>5.4988445743339458</v>
      </c>
      <c r="N142" s="107">
        <v>5.5565095172065053</v>
      </c>
      <c r="O142" s="107">
        <v>5.6143648277291547</v>
      </c>
      <c r="P142" s="107">
        <v>5.6724085940477202</v>
      </c>
      <c r="Q142" s="107">
        <v>5.7306388716109815</v>
      </c>
      <c r="R142" s="107">
        <v>5.7890536856792476</v>
      </c>
      <c r="S142" s="107">
        <v>5.8476510338054153</v>
      </c>
      <c r="T142" s="107">
        <v>5.9064288882832123</v>
      </c>
      <c r="U142" s="107">
        <v>5.9653851985582786</v>
      </c>
      <c r="V142" s="107">
        <v>6.0245178935975208</v>
      </c>
      <c r="W142" s="107">
        <v>6.0838248842130156</v>
      </c>
      <c r="X142" s="108">
        <v>6.1433040653366415</v>
      </c>
      <c r="Y142" s="109">
        <f>'Inputs and summary'!$B$2</f>
        <v>7.5</v>
      </c>
      <c r="Z142" s="110" cm="1">
        <f t="array" ref="Z142">INDEX($L$3:$X$148, ROW()-ROW(L$3)+1, _xlfn.XMATCH('Inputs and summary'!$B$3, Model!L$2:X$2, 0))</f>
        <v>6.0245178935975208</v>
      </c>
    </row>
    <row r="143" spans="3:26" x14ac:dyDescent="0.25">
      <c r="C143" s="34"/>
      <c r="D143" s="34"/>
      <c r="E143" s="34"/>
      <c r="F143" s="34"/>
      <c r="G143" s="34"/>
      <c r="H143" s="34"/>
      <c r="I143" s="34"/>
      <c r="J143" s="115">
        <f t="shared" si="3"/>
        <v>136.53846153846155</v>
      </c>
      <c r="K143" s="106">
        <v>7100</v>
      </c>
      <c r="L143" s="107">
        <v>5.4354525751847858</v>
      </c>
      <c r="M143" s="107">
        <v>5.4925964562217917</v>
      </c>
      <c r="N143" s="107">
        <v>5.5499308852691076</v>
      </c>
      <c r="O143" s="107">
        <v>5.6074540015246495</v>
      </c>
      <c r="P143" s="107">
        <v>5.665163909192243</v>
      </c>
      <c r="Q143" s="107">
        <v>5.7230586799948941</v>
      </c>
      <c r="R143" s="107">
        <v>5.781136355665538</v>
      </c>
      <c r="S143" s="107">
        <v>5.8393949504105489</v>
      </c>
      <c r="T143" s="107">
        <v>5.8978324533406301</v>
      </c>
      <c r="U143" s="107">
        <v>5.9564468308648255</v>
      </c>
      <c r="V143" s="107">
        <v>6.0152360290431126</v>
      </c>
      <c r="W143" s="107">
        <v>6.0741979758938545</v>
      </c>
      <c r="X143" s="108">
        <v>6.1333305836523415</v>
      </c>
      <c r="Y143" s="109">
        <f>'Inputs and summary'!$B$2</f>
        <v>7.5</v>
      </c>
      <c r="Z143" s="110" cm="1">
        <f t="array" ref="Z143">INDEX($L$3:$X$148, ROW()-ROW(L$3)+1, _xlfn.XMATCH('Inputs and summary'!$B$3, Model!L$2:X$2, 0))</f>
        <v>6.0152360290431126</v>
      </c>
    </row>
    <row r="144" spans="3:26" x14ac:dyDescent="0.25">
      <c r="C144" s="34"/>
      <c r="D144" s="34"/>
      <c r="E144" s="34"/>
      <c r="F144" s="34"/>
      <c r="G144" s="34"/>
      <c r="H144" s="34"/>
      <c r="I144" s="34"/>
      <c r="J144" s="115">
        <f t="shared" si="3"/>
        <v>137.5</v>
      </c>
      <c r="K144" s="106">
        <v>7150</v>
      </c>
      <c r="L144" s="107">
        <v>5.429616136409205</v>
      </c>
      <c r="M144" s="107">
        <v>5.4864358253228094</v>
      </c>
      <c r="N144" s="107">
        <v>5.5434443936747027</v>
      </c>
      <c r="O144" s="107">
        <v>5.6006399962326601</v>
      </c>
      <c r="P144" s="107">
        <v>5.6580207530011677</v>
      </c>
      <c r="Q144" s="107">
        <v>5.7155847517169303</v>
      </c>
      <c r="R144" s="107">
        <v>5.7733300503221674</v>
      </c>
      <c r="S144" s="107">
        <v>5.8312546794107849</v>
      </c>
      <c r="T144" s="107">
        <v>5.8893566446421488</v>
      </c>
      <c r="U144" s="107">
        <v>5.9476339291183287</v>
      </c>
      <c r="V144" s="107">
        <v>6.0060844957201098</v>
      </c>
      <c r="W144" s="107">
        <v>6.0647062893982859</v>
      </c>
      <c r="X144" s="108">
        <v>6.123497239416329</v>
      </c>
      <c r="Y144" s="109">
        <f>'Inputs and summary'!$B$2</f>
        <v>7.5</v>
      </c>
      <c r="Z144" s="110" cm="1">
        <f t="array" ref="Z144">INDEX($L$3:$X$148, ROW()-ROW(L$3)+1, _xlfn.XMATCH('Inputs and summary'!$B$3, Model!L$2:X$2, 0))</f>
        <v>6.0060844957201098</v>
      </c>
    </row>
    <row r="145" spans="3:26" x14ac:dyDescent="0.25">
      <c r="C145" s="34"/>
      <c r="D145" s="34"/>
      <c r="E145" s="34"/>
      <c r="F145" s="34"/>
      <c r="G145" s="34"/>
      <c r="H145" s="34"/>
      <c r="I145" s="34"/>
      <c r="J145" s="115">
        <f t="shared" si="3"/>
        <v>138.46153846153845</v>
      </c>
      <c r="K145" s="106">
        <v>7200</v>
      </c>
      <c r="L145" s="107">
        <v>5.4238608315857864</v>
      </c>
      <c r="M145" s="107">
        <v>5.4803608568991162</v>
      </c>
      <c r="N145" s="107">
        <v>5.5370481201135382</v>
      </c>
      <c r="O145" s="107">
        <v>5.5939207913187436</v>
      </c>
      <c r="P145" s="107">
        <v>5.6509770060685565</v>
      </c>
      <c r="Q145" s="107">
        <v>5.7082148678590983</v>
      </c>
      <c r="R145" s="107">
        <v>5.7656324505847545</v>
      </c>
      <c r="S145" s="107">
        <v>5.8232278009673015</v>
      </c>
      <c r="T145" s="107">
        <v>5.8809989409528427</v>
      </c>
      <c r="U145" s="107">
        <v>5.9389438700724728</v>
      </c>
      <c r="V145" s="107">
        <v>5.9970605677620048</v>
      </c>
      <c r="W145" s="107">
        <v>6.0553469956372927</v>
      </c>
      <c r="X145" s="108">
        <v>6.1138010997212842</v>
      </c>
      <c r="Y145" s="109">
        <f>'Inputs and summary'!$B$2</f>
        <v>7.5</v>
      </c>
      <c r="Z145" s="110" cm="1">
        <f t="array" ref="Z145">INDEX($L$3:$X$148, ROW()-ROW(L$3)+1, _xlfn.XMATCH('Inputs and summary'!$B$3, Model!L$2:X$2, 0))</f>
        <v>5.9970605677620048</v>
      </c>
    </row>
    <row r="146" spans="3:26" x14ac:dyDescent="0.25">
      <c r="C146" s="34"/>
      <c r="D146" s="34"/>
      <c r="E146" s="34"/>
      <c r="F146" s="34"/>
      <c r="G146" s="34"/>
      <c r="H146" s="34"/>
      <c r="I146" s="34"/>
      <c r="J146" s="115">
        <f t="shared" si="3"/>
        <v>139.42307692307693</v>
      </c>
      <c r="K146" s="106">
        <v>7250</v>
      </c>
      <c r="L146" s="107">
        <v>5.4181849805958535</v>
      </c>
      <c r="M146" s="107">
        <v>5.4743697766075741</v>
      </c>
      <c r="N146" s="107">
        <v>5.5307401953795647</v>
      </c>
      <c r="O146" s="107">
        <v>5.5872944220812562</v>
      </c>
      <c r="P146" s="107">
        <v>5.6440306075704871</v>
      </c>
      <c r="Q146" s="107">
        <v>5.7009468708544446</v>
      </c>
      <c r="R146" s="107">
        <v>5.7580413015286149</v>
      </c>
      <c r="S146" s="107">
        <v>5.815311962189103</v>
      </c>
      <c r="T146" s="107">
        <v>5.8727568908129779</v>
      </c>
      <c r="U146" s="107">
        <v>5.9303741031025723</v>
      </c>
      <c r="V146" s="107">
        <v>5.988161594789192</v>
      </c>
      <c r="W146" s="107">
        <v>6.0461173438926679</v>
      </c>
      <c r="X146" s="108">
        <v>6.104239312933025</v>
      </c>
      <c r="Y146" s="109">
        <f>'Inputs and summary'!$B$2</f>
        <v>7.5</v>
      </c>
      <c r="Z146" s="110" cm="1">
        <f t="array" ref="Z146">INDEX($L$3:$X$148, ROW()-ROW(L$3)+1, _xlfn.XMATCH('Inputs and summary'!$B$3, Model!L$2:X$2, 0))</f>
        <v>5.988161594789192</v>
      </c>
    </row>
    <row r="147" spans="3:26" x14ac:dyDescent="0.25">
      <c r="C147" s="34"/>
      <c r="D147" s="34"/>
      <c r="E147" s="34"/>
      <c r="F147" s="34"/>
      <c r="G147" s="34"/>
      <c r="H147" s="34"/>
      <c r="I147" s="34"/>
      <c r="J147" s="115">
        <f t="shared" si="3"/>
        <v>140.38461538461539</v>
      </c>
      <c r="K147" s="106">
        <v>7300</v>
      </c>
      <c r="L147" s="107">
        <v>5.4125869493918</v>
      </c>
      <c r="M147" s="107">
        <v>5.4684608587720422</v>
      </c>
      <c r="N147" s="107">
        <v>5.524518801549247</v>
      </c>
      <c r="O147" s="107">
        <v>5.5807589777361324</v>
      </c>
      <c r="P147" s="107">
        <v>5.6371795532549065</v>
      </c>
      <c r="Q147" s="107">
        <v>5.6937786623812627</v>
      </c>
      <c r="R147" s="107">
        <v>5.7505544101666066</v>
      </c>
      <c r="S147" s="107">
        <v>5.8075048748337377</v>
      </c>
      <c r="T147" s="107">
        <v>5.8646281101408784</v>
      </c>
      <c r="U147" s="107">
        <v>5.9219221477098438</v>
      </c>
      <c r="V147" s="107">
        <v>5.9793849993139299</v>
      </c>
      <c r="W147" s="107">
        <v>6.0370146591219775</v>
      </c>
      <c r="X147" s="108">
        <v>6.0948091058948251</v>
      </c>
      <c r="Y147" s="109">
        <f>'Inputs and summary'!$B$2</f>
        <v>7.5</v>
      </c>
      <c r="Z147" s="110" cm="1">
        <f t="array" ref="Z147">INDEX($L$3:$X$148, ROW()-ROW(L$3)+1, _xlfn.XMATCH('Inputs and summary'!$B$3, Model!L$2:X$2, 0))</f>
        <v>5.9793849993139299</v>
      </c>
    </row>
    <row r="148" spans="3:26" ht="15.75" thickBot="1" x14ac:dyDescent="0.3">
      <c r="C148" s="34"/>
      <c r="D148" s="34"/>
      <c r="E148" s="34"/>
      <c r="F148" s="34"/>
      <c r="G148" s="34"/>
      <c r="H148" s="34"/>
      <c r="I148" s="34"/>
      <c r="J148" s="116">
        <f t="shared" si="3"/>
        <v>141.34615384615384</v>
      </c>
      <c r="K148" s="111">
        <v>7350</v>
      </c>
      <c r="L148" s="112">
        <v>5.4070651484286358</v>
      </c>
      <c r="M148" s="112">
        <v>5.4626324247261344</v>
      </c>
      <c r="N148" s="112">
        <v>5.5183821702348848</v>
      </c>
      <c r="O148" s="112">
        <v>5.5743125995798888</v>
      </c>
      <c r="P148" s="112">
        <v>5.6304218935136383</v>
      </c>
      <c r="Q148" s="112">
        <v>5.6867082013434267</v>
      </c>
      <c r="R148" s="112">
        <v>5.7431696433370316</v>
      </c>
      <c r="S148" s="112">
        <v>5.7998043131020784</v>
      </c>
      <c r="T148" s="112">
        <v>5.8566102799339008</v>
      </c>
      <c r="U148" s="112">
        <v>5.9135855911278687</v>
      </c>
      <c r="V148" s="112">
        <v>5.970728274251659</v>
      </c>
      <c r="W148" s="112">
        <v>6.0280363393740224</v>
      </c>
      <c r="X148" s="113">
        <v>6.0855077812462781</v>
      </c>
      <c r="Y148" s="109">
        <f>'Inputs and summary'!$B$2</f>
        <v>7.5</v>
      </c>
      <c r="Z148" s="110" cm="1">
        <f t="array" ref="Z148">INDEX($L$3:$X$148, ROW()-ROW(L$3)+1, _xlfn.XMATCH('Inputs and summary'!$B$3, Model!L$2:X$2, 0))</f>
        <v>5.970728274251659</v>
      </c>
    </row>
    <row r="149" spans="3:26" x14ac:dyDescent="0.25">
      <c r="C149" s="34"/>
      <c r="D149" s="34"/>
      <c r="E149" s="34"/>
      <c r="F149" s="34"/>
      <c r="G149" s="34"/>
      <c r="H149" s="34"/>
      <c r="I149" s="34"/>
    </row>
  </sheetData>
  <sheetProtection sheet="1" objects="1" scenarios="1"/>
  <mergeCells count="1">
    <mergeCell ref="J1:J2"/>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49</vt:i4>
      </vt:variant>
    </vt:vector>
  </HeadingPairs>
  <TitlesOfParts>
    <vt:vector size="53" baseType="lpstr">
      <vt:lpstr>Introduction</vt:lpstr>
      <vt:lpstr>Inputs and summary</vt:lpstr>
      <vt:lpstr>Cost by acreage and interest</vt:lpstr>
      <vt:lpstr>Model</vt:lpstr>
      <vt:lpstr>Acres_applied_per_charge_cycle</vt:lpstr>
      <vt:lpstr>Acres_applied_per_flight</vt:lpstr>
      <vt:lpstr>Acres_applied_per_hour</vt:lpstr>
      <vt:lpstr>Acres_of_lifespan_drone</vt:lpstr>
      <vt:lpstr>Applied_acres_per_year</vt:lpstr>
      <vt:lpstr>Batteries_lifespan</vt:lpstr>
      <vt:lpstr>battery_lifespan</vt:lpstr>
      <vt:lpstr>Battery_salvage_value</vt:lpstr>
      <vt:lpstr>Capital_recovery__total_year</vt:lpstr>
      <vt:lpstr>charge_cycles_a_year</vt:lpstr>
      <vt:lpstr>Charge_cycles_per_year</vt:lpstr>
      <vt:lpstr>Charges_of_lifespan__batteries</vt:lpstr>
      <vt:lpstr>Cleaning_the_drone__hours</vt:lpstr>
      <vt:lpstr>Diesel_price____gallon</vt:lpstr>
      <vt:lpstr>Diesel_use__gallon_hour</vt:lpstr>
      <vt:lpstr>Dish_soap_price____2.64L</vt:lpstr>
      <vt:lpstr>Dish_soap_qtt._L_day</vt:lpstr>
      <vt:lpstr>Drone_maintanance_cost____year_acre</vt:lpstr>
      <vt:lpstr>drone_salvage_value</vt:lpstr>
      <vt:lpstr>drone_use_perc</vt:lpstr>
      <vt:lpstr>Extra_batteries_price</vt:lpstr>
      <vt:lpstr>Flights_per_hour</vt:lpstr>
      <vt:lpstr>Generator_lifespan</vt:lpstr>
      <vt:lpstr>generator_maintenance_cost</vt:lpstr>
      <vt:lpstr>Generator_price</vt:lpstr>
      <vt:lpstr>generator_salvage_value</vt:lpstr>
      <vt:lpstr>generator_use_perc</vt:lpstr>
      <vt:lpstr>Hours_per_day_applying</vt:lpstr>
      <vt:lpstr>Interest_rate</vt:lpstr>
      <vt:lpstr>Labor_cost____hour</vt:lpstr>
      <vt:lpstr>N_of_batteries_included_with_drone</vt:lpstr>
      <vt:lpstr>pump_and_transfer_lifespan</vt:lpstr>
      <vt:lpstr>Pump_and_transfer_system_price</vt:lpstr>
      <vt:lpstr>Pump_maintenance</vt:lpstr>
      <vt:lpstr>pump_maintenance_year</vt:lpstr>
      <vt:lpstr>pump_salvage_value</vt:lpstr>
      <vt:lpstr>pump_use_perc</vt:lpstr>
      <vt:lpstr>Pumping_in_and_mixing__hours</vt:lpstr>
      <vt:lpstr>Recharge_of_a_battery___pumping__hours</vt:lpstr>
      <vt:lpstr>Time_recharging_battery__hours</vt:lpstr>
      <vt:lpstr>Trailer_lifespan</vt:lpstr>
      <vt:lpstr>trailer_maintenance_cost</vt:lpstr>
      <vt:lpstr>Trailer_price</vt:lpstr>
      <vt:lpstr>trailer_salvage_value</vt:lpstr>
      <vt:lpstr>trailer_use_perc</vt:lpstr>
      <vt:lpstr>truck_maintenance_cost</vt:lpstr>
      <vt:lpstr>Truck_price</vt:lpstr>
      <vt:lpstr>truck_salvage_value</vt:lpstr>
      <vt:lpstr>truck_use_perc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Rocha Junior, Adauto</dc:creator>
  <cp:lastModifiedBy>Rocha Junior, Adauto</cp:lastModifiedBy>
  <dcterms:created xsi:type="dcterms:W3CDTF">2024-08-28T20:40:51Z</dcterms:created>
  <dcterms:modified xsi:type="dcterms:W3CDTF">2025-03-04T15:39:48Z</dcterms:modified>
</cp:coreProperties>
</file>