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mailmissouri-my.sharepoint.com/personal/knappv_umsystem_edu/Documents/Documents/ABP pubs/2027 BUDGETS/2-In progress/"/>
    </mc:Choice>
  </mc:AlternateContent>
  <xr:revisionPtr revIDLastSave="40" documentId="8_{551FBC44-E824-4ECC-9F55-1E22D3F1F55A}" xr6:coauthVersionLast="47" xr6:coauthVersionMax="47" xr10:uidLastSave="{7FBC2BFB-1DF4-4638-AB46-D8A1C1D8FA64}"/>
  <bookViews>
    <workbookView xWindow="30885" yWindow="420" windowWidth="20760" windowHeight="13815" tabRatio="708" xr2:uid="{00000000-000D-0000-FFFF-FFFF00000000}"/>
  </bookViews>
  <sheets>
    <sheet name="Introduction" sheetId="23" r:id="rId1"/>
    <sheet name="Inputs" sheetId="5" r:id="rId2"/>
    <sheet name="Cow feed" sheetId="2" r:id="rId3"/>
    <sheet name="Heifer feed" sheetId="4" r:id="rId4"/>
    <sheet name="Heifer" sheetId="22" r:id="rId5"/>
    <sheet name="Dairy" sheetId="20" r:id="rId6"/>
  </sheets>
  <externalReferences>
    <externalReference r:id="rId7"/>
  </externalReferences>
  <definedNames>
    <definedName name="\C">Inputs!$H$2</definedName>
    <definedName name="BudgetActivities">#REF!</definedName>
    <definedName name="CustomActivities">'[1]Activity list'!$W$4:$AA$14</definedName>
    <definedName name="CustomImps">[1]!Table4[Implement]</definedName>
    <definedName name="_xlnm.Print_Area" localSheetId="2">'Cow feed'!$B$2:$I$20,'Cow feed'!#REF!</definedName>
    <definedName name="_xlnm.Print_Area" localSheetId="5">Dairy!$B$2:$L$42,Dairy!$B$45:$N$80,Dairy!$B$82:$O$96</definedName>
    <definedName name="_xlnm.Print_Area" localSheetId="4">Heifer!$B$2:$H$39,Heifer!$B$41:$H$63</definedName>
    <definedName name="_xlnm.Print_Area" localSheetId="3">'Heifer feed'!$B$2:$H$1048576</definedName>
    <definedName name="_xlnm.Print_Area" localSheetId="1">Inputs!$B$2:$H$1048576</definedName>
    <definedName name="_xlnm.Print_Area" localSheetId="0">#REF!</definedName>
    <definedName name="_xlnm.Print_Area">#REF!</definedName>
    <definedName name="ss">#REF!</definedName>
    <definedName name="ww">[1]!Table4[Implement]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4" l="1"/>
  <c r="C15" i="5" l="1"/>
  <c r="V31" i="2"/>
  <c r="V22" i="2"/>
  <c r="V23" i="2"/>
  <c r="V24" i="2"/>
  <c r="V25" i="2"/>
  <c r="V26" i="2"/>
  <c r="V27" i="2"/>
  <c r="V28" i="2"/>
  <c r="V29" i="2"/>
  <c r="V30" i="2"/>
  <c r="V21" i="2"/>
  <c r="V7" i="2"/>
  <c r="V8" i="2"/>
  <c r="V9" i="2"/>
  <c r="V10" i="2"/>
  <c r="V11" i="2"/>
  <c r="V12" i="2"/>
  <c r="V13" i="2"/>
  <c r="V14" i="2"/>
  <c r="V15" i="2"/>
  <c r="V16" i="2" s="1"/>
  <c r="V6" i="2"/>
  <c r="M22" i="2" l="1"/>
  <c r="M23" i="2"/>
  <c r="M24" i="2"/>
  <c r="M25" i="2"/>
  <c r="M26" i="2"/>
  <c r="M27" i="2"/>
  <c r="M28" i="2"/>
  <c r="M29" i="2"/>
  <c r="M30" i="2"/>
  <c r="M21" i="2"/>
  <c r="M31" i="2" s="1"/>
  <c r="M7" i="2"/>
  <c r="M8" i="2"/>
  <c r="M9" i="2"/>
  <c r="M10" i="2"/>
  <c r="M11" i="2"/>
  <c r="M12" i="2"/>
  <c r="M13" i="2"/>
  <c r="M14" i="2"/>
  <c r="M15" i="2"/>
  <c r="M6" i="2"/>
  <c r="M16" i="2" s="1"/>
  <c r="F34" i="20" l="1"/>
  <c r="N92" i="20"/>
  <c r="J93" i="20"/>
  <c r="E16" i="5" l="1"/>
  <c r="E17" i="5"/>
  <c r="AC27" i="5" l="1"/>
  <c r="AD25" i="5"/>
  <c r="AD26" i="5"/>
  <c r="AD24" i="5"/>
  <c r="L21" i="20" l="1"/>
  <c r="L17" i="20" l="1"/>
  <c r="L23" i="20"/>
  <c r="J8" i="20" l="1"/>
  <c r="J7" i="20"/>
  <c r="J15" i="20" l="1"/>
  <c r="F15" i="20"/>
  <c r="C7" i="22" l="1"/>
  <c r="C6" i="22"/>
  <c r="G13" i="22"/>
  <c r="C12" i="22"/>
  <c r="H7" i="22"/>
  <c r="H6" i="22"/>
  <c r="G23" i="22" l="1"/>
  <c r="C23" i="22"/>
  <c r="C15" i="22" l="1"/>
  <c r="C5" i="22"/>
  <c r="H67" i="20"/>
  <c r="F35" i="20" s="1"/>
  <c r="J35" i="20" s="1"/>
  <c r="H5" i="22"/>
  <c r="C8" i="22"/>
  <c r="D43" i="4" l="1"/>
  <c r="B43" i="4"/>
  <c r="D28" i="4"/>
  <c r="B28" i="4"/>
  <c r="F13" i="4"/>
  <c r="D13" i="4"/>
  <c r="B13" i="4"/>
  <c r="J46" i="20" l="1"/>
  <c r="G12" i="22" l="1"/>
  <c r="H13" i="22" s="1"/>
  <c r="C30" i="5"/>
  <c r="C27" i="5"/>
  <c r="H80" i="20" l="1"/>
  <c r="H72" i="20" l="1"/>
  <c r="L89" i="20" s="1"/>
  <c r="N89" i="20" s="1"/>
  <c r="B11" i="4" l="1"/>
  <c r="T36" i="2"/>
  <c r="T37" i="2"/>
  <c r="T38" i="2"/>
  <c r="T39" i="2"/>
  <c r="T40" i="2"/>
  <c r="T41" i="2"/>
  <c r="T42" i="2"/>
  <c r="T43" i="2"/>
  <c r="T44" i="2"/>
  <c r="T35" i="2"/>
  <c r="K36" i="2"/>
  <c r="K37" i="2"/>
  <c r="K38" i="2"/>
  <c r="K39" i="2"/>
  <c r="K40" i="2"/>
  <c r="K41" i="2"/>
  <c r="K42" i="2"/>
  <c r="K43" i="2"/>
  <c r="K44" i="2"/>
  <c r="K35" i="2"/>
  <c r="T22" i="2"/>
  <c r="T23" i="2"/>
  <c r="T24" i="2"/>
  <c r="T25" i="2"/>
  <c r="T26" i="2"/>
  <c r="T27" i="2"/>
  <c r="T28" i="2"/>
  <c r="T29" i="2"/>
  <c r="T30" i="2"/>
  <c r="T21" i="2"/>
  <c r="K22" i="2"/>
  <c r="K23" i="2"/>
  <c r="K24" i="2"/>
  <c r="K25" i="2"/>
  <c r="K26" i="2"/>
  <c r="K27" i="2"/>
  <c r="K28" i="2"/>
  <c r="K29" i="2"/>
  <c r="K30" i="2"/>
  <c r="K21" i="2"/>
  <c r="T7" i="2"/>
  <c r="T8" i="2"/>
  <c r="T9" i="2"/>
  <c r="T10" i="2"/>
  <c r="T11" i="2"/>
  <c r="T12" i="2"/>
  <c r="T13" i="2"/>
  <c r="T14" i="2"/>
  <c r="T15" i="2"/>
  <c r="T6" i="2"/>
  <c r="K7" i="2"/>
  <c r="K8" i="2"/>
  <c r="K9" i="2"/>
  <c r="K10" i="2"/>
  <c r="K11" i="2"/>
  <c r="K12" i="2"/>
  <c r="K13" i="2"/>
  <c r="K14" i="2"/>
  <c r="K15" i="2"/>
  <c r="K6" i="2"/>
  <c r="J55" i="20"/>
  <c r="H55" i="20"/>
  <c r="C6" i="20" s="1"/>
  <c r="J62" i="20"/>
  <c r="J25" i="20" s="1"/>
  <c r="H62" i="20"/>
  <c r="F25" i="20" s="1"/>
  <c r="J94" i="20"/>
  <c r="H77" i="20"/>
  <c r="B82" i="20"/>
  <c r="J73" i="20"/>
  <c r="J60" i="20"/>
  <c r="J50" i="20"/>
  <c r="H50" i="20"/>
  <c r="H52" i="20" s="1"/>
  <c r="H21" i="20" s="1"/>
  <c r="H15" i="22"/>
  <c r="H12" i="22"/>
  <c r="H8" i="22" s="1"/>
  <c r="H57" i="22"/>
  <c r="W44" i="2"/>
  <c r="N44" i="2" s="1"/>
  <c r="W43" i="2"/>
  <c r="N43" i="2" s="1"/>
  <c r="W42" i="2"/>
  <c r="N42" i="2" s="1"/>
  <c r="W41" i="2"/>
  <c r="N41" i="2" s="1"/>
  <c r="W40" i="2"/>
  <c r="N40" i="2" s="1"/>
  <c r="W38" i="2"/>
  <c r="N38" i="2" s="1"/>
  <c r="W37" i="2"/>
  <c r="N37" i="2" s="1"/>
  <c r="W36" i="2"/>
  <c r="N36" i="2" s="1"/>
  <c r="W35" i="2"/>
  <c r="N35" i="2" s="1"/>
  <c r="X6" i="2"/>
  <c r="Y4" i="2"/>
  <c r="X21" i="2"/>
  <c r="Y19" i="2"/>
  <c r="X7" i="2"/>
  <c r="X22" i="2"/>
  <c r="X8" i="2"/>
  <c r="X23" i="2"/>
  <c r="X9" i="2"/>
  <c r="X24" i="2"/>
  <c r="X11" i="2"/>
  <c r="X26" i="2"/>
  <c r="X10" i="2"/>
  <c r="X25" i="2"/>
  <c r="X12" i="2"/>
  <c r="X27" i="2"/>
  <c r="X13" i="2"/>
  <c r="X28" i="2"/>
  <c r="X14" i="2"/>
  <c r="X29" i="2"/>
  <c r="O6" i="2"/>
  <c r="O21" i="2"/>
  <c r="P21" i="2" s="1"/>
  <c r="R21" i="2" s="1"/>
  <c r="G10" i="5"/>
  <c r="O7" i="2"/>
  <c r="O22" i="2"/>
  <c r="P22" i="2" s="1"/>
  <c r="R22" i="2" s="1"/>
  <c r="G6" i="5"/>
  <c r="O8" i="2"/>
  <c r="O23" i="2"/>
  <c r="P23" i="2" s="1"/>
  <c r="R23" i="2" s="1"/>
  <c r="G5" i="5"/>
  <c r="F11" i="4" s="1"/>
  <c r="O9" i="2"/>
  <c r="O24" i="2"/>
  <c r="P24" i="2" s="1"/>
  <c r="R24" i="2" s="1"/>
  <c r="G14" i="5"/>
  <c r="D41" i="4" s="1"/>
  <c r="O10" i="2"/>
  <c r="O25" i="2"/>
  <c r="P25" i="2" s="1"/>
  <c r="R25" i="2" s="1"/>
  <c r="G12" i="5"/>
  <c r="W39" i="2" s="1"/>
  <c r="N39" i="2" s="1"/>
  <c r="O11" i="2"/>
  <c r="O26" i="2"/>
  <c r="P26" i="2" s="1"/>
  <c r="R26" i="2" s="1"/>
  <c r="G20" i="5"/>
  <c r="O12" i="2"/>
  <c r="O27" i="2"/>
  <c r="P27" i="2" s="1"/>
  <c r="R27" i="2" s="1"/>
  <c r="G13" i="5"/>
  <c r="O13" i="2"/>
  <c r="O28" i="2"/>
  <c r="P28" i="2" s="1"/>
  <c r="R28" i="2" s="1"/>
  <c r="G19" i="5"/>
  <c r="H40" i="4" s="1"/>
  <c r="O14" i="2"/>
  <c r="O29" i="2"/>
  <c r="P29" i="2" s="1"/>
  <c r="R29" i="2" s="1"/>
  <c r="G21" i="5"/>
  <c r="O15" i="2"/>
  <c r="O30" i="2"/>
  <c r="P30" i="2" s="1"/>
  <c r="R30" i="2" s="1"/>
  <c r="G17" i="5"/>
  <c r="G15" i="5"/>
  <c r="G8" i="5"/>
  <c r="B9" i="4" s="1"/>
  <c r="G7" i="5"/>
  <c r="F10" i="4" s="1"/>
  <c r="G13" i="4"/>
  <c r="H13" i="4" s="1"/>
  <c r="G9" i="5"/>
  <c r="B38" i="4" s="1"/>
  <c r="G11" i="5"/>
  <c r="B39" i="4" s="1"/>
  <c r="G16" i="5"/>
  <c r="D27" i="4" s="1"/>
  <c r="E20" i="4"/>
  <c r="G20" i="4" s="1"/>
  <c r="F20" i="4"/>
  <c r="H20" i="4" s="1"/>
  <c r="E35" i="4"/>
  <c r="G35" i="4" s="1"/>
  <c r="F35" i="4"/>
  <c r="H35" i="4" s="1"/>
  <c r="X15" i="2"/>
  <c r="X30" i="2"/>
  <c r="G5" i="4"/>
  <c r="E5" i="4"/>
  <c r="B41" i="4"/>
  <c r="B26" i="4"/>
  <c r="B12" i="4"/>
  <c r="B40" i="4"/>
  <c r="B25" i="4"/>
  <c r="E12" i="5"/>
  <c r="E11" i="5"/>
  <c r="E21" i="5"/>
  <c r="E20" i="5"/>
  <c r="E19" i="5"/>
  <c r="E14" i="5"/>
  <c r="E13" i="5"/>
  <c r="E10" i="5"/>
  <c r="E9" i="5"/>
  <c r="E8" i="5"/>
  <c r="E7" i="5"/>
  <c r="E6" i="5"/>
  <c r="E5" i="5"/>
  <c r="H23" i="20" l="1"/>
  <c r="H17" i="20"/>
  <c r="F8" i="20"/>
  <c r="F7" i="20"/>
  <c r="H46" i="20"/>
  <c r="Y27" i="2"/>
  <c r="AA27" i="2" s="1"/>
  <c r="Y30" i="2"/>
  <c r="AA30" i="2" s="1"/>
  <c r="H25" i="4"/>
  <c r="F41" i="4"/>
  <c r="D40" i="4"/>
  <c r="F25" i="4"/>
  <c r="D25" i="4"/>
  <c r="L15" i="20"/>
  <c r="L73" i="20"/>
  <c r="F9" i="20" s="1"/>
  <c r="H9" i="20" s="1"/>
  <c r="F6" i="20"/>
  <c r="H6" i="20" s="1"/>
  <c r="N8" i="20" s="1"/>
  <c r="J10" i="20"/>
  <c r="L10" i="20" s="1"/>
  <c r="C10" i="20"/>
  <c r="H20" i="22"/>
  <c r="H54" i="22"/>
  <c r="H56" i="22"/>
  <c r="H53" i="22"/>
  <c r="H55" i="22" s="1"/>
  <c r="R31" i="2"/>
  <c r="R32" i="2" s="1"/>
  <c r="Y22" i="2"/>
  <c r="AA22" i="2" s="1"/>
  <c r="P15" i="2"/>
  <c r="L44" i="2" s="1"/>
  <c r="P8" i="2"/>
  <c r="Y12" i="2"/>
  <c r="P7" i="2"/>
  <c r="L36" i="2" s="1"/>
  <c r="Y15" i="2"/>
  <c r="P6" i="2"/>
  <c r="Y24" i="2"/>
  <c r="AA24" i="2" s="1"/>
  <c r="Y26" i="2"/>
  <c r="AA26" i="2" s="1"/>
  <c r="F27" i="4"/>
  <c r="H9" i="22"/>
  <c r="H79" i="20"/>
  <c r="Y9" i="2"/>
  <c r="AA9" i="2" s="1"/>
  <c r="Y29" i="2"/>
  <c r="AA29" i="2" s="1"/>
  <c r="P13" i="2"/>
  <c r="Y6" i="2"/>
  <c r="AA6" i="2" s="1"/>
  <c r="D10" i="4"/>
  <c r="P11" i="2"/>
  <c r="H42" i="4"/>
  <c r="Y7" i="2"/>
  <c r="AA7" i="2" s="1"/>
  <c r="H48" i="22"/>
  <c r="F10" i="20"/>
  <c r="H10" i="20" s="1"/>
  <c r="E28" i="4"/>
  <c r="F28" i="4" s="1"/>
  <c r="P10" i="2"/>
  <c r="E43" i="4"/>
  <c r="F43" i="4" s="1"/>
  <c r="Y23" i="2"/>
  <c r="AA23" i="2" s="1"/>
  <c r="Y28" i="2"/>
  <c r="AA28" i="2" s="1"/>
  <c r="D8" i="4"/>
  <c r="F9" i="4"/>
  <c r="D9" i="4"/>
  <c r="H9" i="4"/>
  <c r="D23" i="4"/>
  <c r="F40" i="4"/>
  <c r="D24" i="4"/>
  <c r="H24" i="4"/>
  <c r="H39" i="4"/>
  <c r="F24" i="4"/>
  <c r="B24" i="4"/>
  <c r="F39" i="4"/>
  <c r="D39" i="4"/>
  <c r="B23" i="4"/>
  <c r="F8" i="4"/>
  <c r="H27" i="4"/>
  <c r="H38" i="4"/>
  <c r="Y14" i="2"/>
  <c r="AA14" i="2" s="1"/>
  <c r="Y11" i="2"/>
  <c r="AA11" i="2" s="1"/>
  <c r="P9" i="2"/>
  <c r="R9" i="2" s="1"/>
  <c r="G43" i="4"/>
  <c r="H43" i="4" s="1"/>
  <c r="H10" i="4"/>
  <c r="Y25" i="2"/>
  <c r="AA25" i="2" s="1"/>
  <c r="Y8" i="2"/>
  <c r="AA8" i="2" s="1"/>
  <c r="F42" i="4"/>
  <c r="D38" i="4"/>
  <c r="B10" i="4"/>
  <c r="D42" i="4"/>
  <c r="B42" i="4"/>
  <c r="P12" i="2"/>
  <c r="Y10" i="2"/>
  <c r="AA10" i="2" s="1"/>
  <c r="H58" i="22"/>
  <c r="F23" i="4"/>
  <c r="B27" i="4"/>
  <c r="P14" i="2"/>
  <c r="Y13" i="2"/>
  <c r="AA13" i="2" s="1"/>
  <c r="H47" i="22"/>
  <c r="H49" i="22" s="1"/>
  <c r="F38" i="4"/>
  <c r="H23" i="4"/>
  <c r="H8" i="4"/>
  <c r="Y21" i="2"/>
  <c r="AA21" i="2" s="1"/>
  <c r="H11" i="4"/>
  <c r="L84" i="20"/>
  <c r="N84" i="20" s="1"/>
  <c r="J6" i="20"/>
  <c r="L18" i="20"/>
  <c r="J53" i="20"/>
  <c r="J54" i="20" s="1"/>
  <c r="E7" i="2"/>
  <c r="I7" i="2" s="1"/>
  <c r="L25" i="20"/>
  <c r="L26" i="20"/>
  <c r="L16" i="20"/>
  <c r="H19" i="20"/>
  <c r="L27" i="20"/>
  <c r="J20" i="20"/>
  <c r="L20" i="20" s="1"/>
  <c r="F20" i="20"/>
  <c r="H20" i="20" s="1"/>
  <c r="L19" i="20"/>
  <c r="L87" i="20"/>
  <c r="N87" i="20" s="1"/>
  <c r="L85" i="20"/>
  <c r="N85" i="20" s="1"/>
  <c r="H66" i="20"/>
  <c r="H69" i="20" s="1"/>
  <c r="H63" i="20"/>
  <c r="L91" i="20"/>
  <c r="N91" i="20" s="1"/>
  <c r="L88" i="20"/>
  <c r="N88" i="20" s="1"/>
  <c r="H15" i="20"/>
  <c r="J72" i="20"/>
  <c r="H25" i="20"/>
  <c r="G28" i="4"/>
  <c r="H28" i="4" s="1"/>
  <c r="D12" i="4"/>
  <c r="F26" i="4"/>
  <c r="D26" i="4"/>
  <c r="H26" i="4"/>
  <c r="F12" i="4"/>
  <c r="H41" i="4"/>
  <c r="H12" i="4"/>
  <c r="H27" i="20"/>
  <c r="C7" i="2"/>
  <c r="H7" i="2" s="1"/>
  <c r="H16" i="20"/>
  <c r="H18" i="20"/>
  <c r="H26" i="20"/>
  <c r="H53" i="20"/>
  <c r="H54" i="20" s="1"/>
  <c r="L90" i="20"/>
  <c r="N90" i="20" s="1"/>
  <c r="H51" i="22"/>
  <c r="H50" i="22"/>
  <c r="D11" i="4"/>
  <c r="N10" i="20" l="1"/>
  <c r="N7" i="20"/>
  <c r="N6" i="20"/>
  <c r="N9" i="20"/>
  <c r="J9" i="20"/>
  <c r="L9" i="20" s="1"/>
  <c r="H28" i="20"/>
  <c r="L28" i="20"/>
  <c r="H28" i="22"/>
  <c r="H27" i="22"/>
  <c r="H29" i="22"/>
  <c r="U44" i="2"/>
  <c r="Y44" i="2" s="1"/>
  <c r="AA15" i="2"/>
  <c r="U41" i="2"/>
  <c r="Y41" i="2" s="1"/>
  <c r="AA12" i="2"/>
  <c r="R10" i="2"/>
  <c r="R6" i="2"/>
  <c r="R7" i="2"/>
  <c r="R14" i="2"/>
  <c r="R13" i="2"/>
  <c r="R8" i="2"/>
  <c r="R12" i="2"/>
  <c r="R15" i="2"/>
  <c r="R11" i="2"/>
  <c r="U36" i="2"/>
  <c r="X36" i="2" s="1"/>
  <c r="F11" i="2" s="1"/>
  <c r="L37" i="2"/>
  <c r="C12" i="2" s="1"/>
  <c r="U38" i="2"/>
  <c r="E13" i="2" s="1"/>
  <c r="L35" i="2"/>
  <c r="O35" i="2" s="1"/>
  <c r="D10" i="2" s="1"/>
  <c r="L40" i="2"/>
  <c r="P40" i="2" s="1"/>
  <c r="U40" i="2"/>
  <c r="Y40" i="2" s="1"/>
  <c r="L43" i="2"/>
  <c r="P43" i="2" s="1"/>
  <c r="U43" i="2"/>
  <c r="X43" i="2" s="1"/>
  <c r="F18" i="2" s="1"/>
  <c r="U37" i="2"/>
  <c r="Y37" i="2" s="1"/>
  <c r="U42" i="2"/>
  <c r="E17" i="2" s="1"/>
  <c r="L42" i="2"/>
  <c r="L39" i="2"/>
  <c r="O39" i="2" s="1"/>
  <c r="D14" i="2" s="1"/>
  <c r="U39" i="2"/>
  <c r="U35" i="2"/>
  <c r="Y35" i="2" s="1"/>
  <c r="H59" i="22"/>
  <c r="D29" i="4"/>
  <c r="F44" i="4"/>
  <c r="F29" i="4"/>
  <c r="D44" i="4"/>
  <c r="D14" i="4"/>
  <c r="H44" i="4"/>
  <c r="H14" i="4"/>
  <c r="F14" i="4"/>
  <c r="H29" i="4"/>
  <c r="L38" i="2"/>
  <c r="L41" i="2"/>
  <c r="H35" i="20"/>
  <c r="F11" i="20"/>
  <c r="L6" i="20"/>
  <c r="H11" i="20"/>
  <c r="L94" i="20"/>
  <c r="C19" i="2"/>
  <c r="O44" i="2"/>
  <c r="D19" i="2" s="1"/>
  <c r="P44" i="2"/>
  <c r="O36" i="2"/>
  <c r="P36" i="2"/>
  <c r="C11" i="2"/>
  <c r="J63" i="20"/>
  <c r="AA31" i="2"/>
  <c r="AA32" i="2" s="1"/>
  <c r="L11" i="20" l="1"/>
  <c r="J11" i="20"/>
  <c r="H30" i="22"/>
  <c r="E19" i="2"/>
  <c r="O40" i="2"/>
  <c r="D15" i="2" s="1"/>
  <c r="C15" i="2"/>
  <c r="X44" i="2"/>
  <c r="F19" i="2" s="1"/>
  <c r="X41" i="2"/>
  <c r="F16" i="2" s="1"/>
  <c r="E16" i="2"/>
  <c r="E11" i="2"/>
  <c r="Y36" i="2"/>
  <c r="R16" i="2"/>
  <c r="R17" i="2" s="1"/>
  <c r="P35" i="2"/>
  <c r="Y38" i="2"/>
  <c r="E15" i="2"/>
  <c r="O37" i="2"/>
  <c r="D12" i="2" s="1"/>
  <c r="P37" i="2"/>
  <c r="X40" i="2"/>
  <c r="F15" i="2" s="1"/>
  <c r="C10" i="2"/>
  <c r="X38" i="2"/>
  <c r="F13" i="2" s="1"/>
  <c r="AA16" i="2"/>
  <c r="AA17" i="2" s="1"/>
  <c r="Y43" i="2"/>
  <c r="E18" i="2"/>
  <c r="C18" i="2"/>
  <c r="O43" i="2"/>
  <c r="D18" i="2" s="1"/>
  <c r="E12" i="2"/>
  <c r="Y42" i="2"/>
  <c r="X42" i="2"/>
  <c r="F17" i="2" s="1"/>
  <c r="X35" i="2"/>
  <c r="F10" i="2" s="1"/>
  <c r="O42" i="2"/>
  <c r="D17" i="2" s="1"/>
  <c r="P42" i="2"/>
  <c r="U45" i="2"/>
  <c r="C14" i="2"/>
  <c r="C17" i="2"/>
  <c r="P39" i="2"/>
  <c r="X37" i="2"/>
  <c r="F12" i="2" s="1"/>
  <c r="E10" i="2"/>
  <c r="Y39" i="2"/>
  <c r="E14" i="2"/>
  <c r="X39" i="2"/>
  <c r="F14" i="2" s="1"/>
  <c r="D30" i="4"/>
  <c r="C49" i="4" s="1"/>
  <c r="D45" i="4"/>
  <c r="C50" i="4" s="1"/>
  <c r="D15" i="4"/>
  <c r="C48" i="4" s="1"/>
  <c r="C16" i="2"/>
  <c r="O41" i="2"/>
  <c r="D16" i="2" s="1"/>
  <c r="P41" i="2"/>
  <c r="C13" i="2"/>
  <c r="P38" i="2"/>
  <c r="O38" i="2"/>
  <c r="D13" i="2" s="1"/>
  <c r="L45" i="2"/>
  <c r="L35" i="20"/>
  <c r="D11" i="2"/>
  <c r="Y45" i="2" l="1"/>
  <c r="L86" i="20"/>
  <c r="N86" i="20" s="1"/>
  <c r="X45" i="2"/>
  <c r="P45" i="2"/>
  <c r="F20" i="2"/>
  <c r="D20" i="2"/>
  <c r="O45" i="2"/>
  <c r="C51" i="4"/>
  <c r="H14" i="22" s="1"/>
  <c r="H23" i="22" l="1"/>
  <c r="H24" i="22" s="1"/>
  <c r="J34" i="20"/>
  <c r="G20" i="2"/>
  <c r="I20" i="2" s="1"/>
  <c r="J14" i="20" s="1"/>
  <c r="L14" i="20" l="1"/>
  <c r="H32" i="22"/>
  <c r="H34" i="22"/>
  <c r="H20" i="2"/>
  <c r="F14" i="20" s="1"/>
  <c r="H14" i="20" l="1"/>
  <c r="G38" i="22"/>
  <c r="H35" i="22"/>
  <c r="G39" i="22"/>
  <c r="G37" i="22"/>
  <c r="H36" i="20"/>
  <c r="L36" i="20"/>
  <c r="L93" i="20" l="1"/>
  <c r="F22" i="20" s="1"/>
  <c r="F29" i="20" s="1"/>
  <c r="J95" i="20"/>
  <c r="H34" i="20"/>
  <c r="L34" i="20"/>
  <c r="J22" i="20" l="1"/>
  <c r="H29" i="20"/>
  <c r="L95" i="20"/>
  <c r="H33" i="20"/>
  <c r="H37" i="20" s="1"/>
  <c r="F37" i="20"/>
  <c r="L33" i="20"/>
  <c r="L37" i="20" s="1"/>
  <c r="J37" i="20"/>
  <c r="J29" i="20" l="1"/>
  <c r="L29" i="20" s="1"/>
  <c r="L22" i="20"/>
  <c r="H22" i="20"/>
  <c r="J30" i="20" l="1"/>
  <c r="J41" i="20" s="1"/>
  <c r="L30" i="20"/>
  <c r="L39" i="20" s="1"/>
  <c r="S6" i="20" s="1"/>
  <c r="H30" i="20"/>
  <c r="F30" i="20"/>
  <c r="F41" i="20" s="1"/>
  <c r="L41" i="20" l="1"/>
  <c r="S9" i="20"/>
  <c r="S8" i="20"/>
  <c r="S10" i="20"/>
  <c r="S7" i="20"/>
  <c r="L42" i="20"/>
  <c r="J39" i="20"/>
  <c r="J42" i="20" s="1"/>
  <c r="F39" i="20"/>
  <c r="F42" i="20" s="1"/>
  <c r="H39" i="20"/>
  <c r="H41" i="20"/>
  <c r="P9" i="20" l="1"/>
  <c r="P8" i="20"/>
  <c r="H42" i="20"/>
  <c r="P6" i="20"/>
  <c r="P7" i="20"/>
  <c r="P10"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HornerJ</author>
  </authors>
  <commentList>
    <comment ref="G13" authorId="0" shapeId="0" xr:uid="{00000000-0006-0000-0200-000001000000}">
      <text>
        <r>
          <rPr>
            <sz val="8"/>
            <color indexed="81"/>
            <rFont val="Tahoma"/>
            <family val="2"/>
          </rPr>
          <t>7/12 is % of year on pasture.  .35 represents ave. wt of 350, 2 assumes the calves are using pasture for 2 months during this growth period.</t>
        </r>
      </text>
    </comment>
  </commentList>
</comments>
</file>

<file path=xl/sharedStrings.xml><?xml version="1.0" encoding="utf-8"?>
<sst xmlns="http://schemas.openxmlformats.org/spreadsheetml/2006/main" count="529" uniqueCount="259">
  <si>
    <t>Veterinary, drugs, and supplies</t>
  </si>
  <si>
    <t>Buildings and equipment repairs</t>
  </si>
  <si>
    <t>Value of dairy cow</t>
  </si>
  <si>
    <t>Value of replacement heifer</t>
  </si>
  <si>
    <t>Total value per cow</t>
  </si>
  <si>
    <t xml:space="preserve">   Value/head</t>
  </si>
  <si>
    <t xml:space="preserve">   Salvage value</t>
  </si>
  <si>
    <t xml:space="preserve">   Depreciation</t>
  </si>
  <si>
    <t xml:space="preserve">   Insurance rate</t>
  </si>
  <si>
    <t xml:space="preserve">   Taxes rate</t>
  </si>
  <si>
    <t>Equipment</t>
  </si>
  <si>
    <t>Production level (lbs milk sold)</t>
  </si>
  <si>
    <t>Total</t>
  </si>
  <si>
    <t>Feed</t>
  </si>
  <si>
    <t>Lbs</t>
  </si>
  <si>
    <t>Dollars</t>
  </si>
  <si>
    <t>Building and equipment repairs</t>
  </si>
  <si>
    <t>$/ton</t>
  </si>
  <si>
    <t>Lactating cow inventory</t>
  </si>
  <si>
    <t>head</t>
  </si>
  <si>
    <t>Total cow herd</t>
  </si>
  <si>
    <t>per cow</t>
  </si>
  <si>
    <t>Buildings</t>
  </si>
  <si>
    <t>Percent calf crop</t>
  </si>
  <si>
    <t>Replacement heifers raised = 1 or purchased = 0</t>
  </si>
  <si>
    <t>(birth to 24 months)</t>
  </si>
  <si>
    <t>Total feed cost</t>
  </si>
  <si>
    <t>Culls and death loss</t>
  </si>
  <si>
    <t>Value</t>
  </si>
  <si>
    <t>Interest</t>
  </si>
  <si>
    <t>Days</t>
  </si>
  <si>
    <t>lb/day</t>
  </si>
  <si>
    <t>lb/cow/yr</t>
  </si>
  <si>
    <t xml:space="preserve">Total </t>
  </si>
  <si>
    <t>lbs/cow/yr</t>
  </si>
  <si>
    <t>Lbs DM</t>
  </si>
  <si>
    <t>DM, %</t>
  </si>
  <si>
    <t>Total lbs.</t>
  </si>
  <si>
    <t>Lb/day</t>
  </si>
  <si>
    <t>Birth to 2 months</t>
  </si>
  <si>
    <t>Preweaning ration</t>
  </si>
  <si>
    <t>Beginning/ending weight</t>
  </si>
  <si>
    <t>2 to 3 months</t>
  </si>
  <si>
    <t>Transition ration</t>
  </si>
  <si>
    <t>Early growing ration</t>
  </si>
  <si>
    <t>3 to 6 months</t>
  </si>
  <si>
    <t>Corn silage</t>
  </si>
  <si>
    <t>Alfalfa hay</t>
  </si>
  <si>
    <t>Grass hay</t>
  </si>
  <si>
    <t>Corn gluten feed</t>
  </si>
  <si>
    <t>Soybean meal</t>
  </si>
  <si>
    <t>Dry distillers grain</t>
  </si>
  <si>
    <t>Soybean hulls</t>
  </si>
  <si>
    <t>Whole cotton seed</t>
  </si>
  <si>
    <t>Minerals/vitamins</t>
  </si>
  <si>
    <t>Corn, cracked</t>
  </si>
  <si>
    <t>Growing ration #1</t>
  </si>
  <si>
    <t>Winter feeding</t>
  </si>
  <si>
    <t>Growing ration #2</t>
  </si>
  <si>
    <t>Growing ration #3</t>
  </si>
  <si>
    <t>Mid-summer</t>
  </si>
  <si>
    <t>Milk replacer</t>
  </si>
  <si>
    <t>Calf grower (16%)</t>
  </si>
  <si>
    <t>Pasture</t>
  </si>
  <si>
    <t>Growing ration #4</t>
  </si>
  <si>
    <t>Growing ration #5</t>
  </si>
  <si>
    <t>Growing ration #6</t>
  </si>
  <si>
    <t>Minerals (w/lasalocid)</t>
  </si>
  <si>
    <t xml:space="preserve">  6 to 12 months</t>
  </si>
  <si>
    <t>Milk production (lbs)</t>
  </si>
  <si>
    <t xml:space="preserve">  Birth to 6 months*</t>
  </si>
  <si>
    <t xml:space="preserve">  12 to 24 months**</t>
  </si>
  <si>
    <t>Total (birth to 24 months)</t>
  </si>
  <si>
    <t>Buildings and equipment annual cost x total months</t>
  </si>
  <si>
    <t>$/cow</t>
  </si>
  <si>
    <t>Dry cows - percent of lactating</t>
  </si>
  <si>
    <t>Land</t>
  </si>
  <si>
    <t>cows</t>
  </si>
  <si>
    <t>Corn, ground</t>
  </si>
  <si>
    <t>Quality premium</t>
  </si>
  <si>
    <t>Government payments</t>
  </si>
  <si>
    <t>Labor</t>
  </si>
  <si>
    <t>Building and equipment repair</t>
  </si>
  <si>
    <t>Breeding/genetic charges</t>
  </si>
  <si>
    <t>Depreciation on bldgs. and equipment</t>
  </si>
  <si>
    <t>Interest on land, bldgs., and equipment</t>
  </si>
  <si>
    <t>Interest on heifer calf investment</t>
  </si>
  <si>
    <t>Feed (birth to 24 months of age)</t>
  </si>
  <si>
    <t>Breeding costs for AI services</t>
  </si>
  <si>
    <t>Transportation and marketing</t>
  </si>
  <si>
    <t>Utilities, fuel, oil</t>
  </si>
  <si>
    <t>Depreciation on buildings and equipment</t>
  </si>
  <si>
    <t>Interest on buildings and equipment</t>
  </si>
  <si>
    <t>Insurance and taxes on buildings and equipment</t>
  </si>
  <si>
    <t>Total cost/day per heifer sold</t>
  </si>
  <si>
    <t>Total cost/pound of gain per heifer sold</t>
  </si>
  <si>
    <t>* Value amount adjusted to account for death loss</t>
  </si>
  <si>
    <t>** Value amount adjusted to account for sale of yearling heifers</t>
  </si>
  <si>
    <t xml:space="preserve">    Capital replacement</t>
  </si>
  <si>
    <t>Replacement heifer</t>
  </si>
  <si>
    <t xml:space="preserve">Cull cows </t>
  </si>
  <si>
    <t>Total buildings and equipment investment</t>
  </si>
  <si>
    <t>Livestock --- insurance rate</t>
  </si>
  <si>
    <t xml:space="preserve">   Interest </t>
  </si>
  <si>
    <t>Calf starter (18%) w/med</t>
  </si>
  <si>
    <t>Alfalfa baleage</t>
  </si>
  <si>
    <t>Income</t>
  </si>
  <si>
    <t>Operating costs</t>
  </si>
  <si>
    <t>Total income</t>
  </si>
  <si>
    <t>Total operating costs</t>
  </si>
  <si>
    <t>Ownership costs</t>
  </si>
  <si>
    <t>Total ownership costs</t>
  </si>
  <si>
    <t>Total costs</t>
  </si>
  <si>
    <t>Springer heifer breakeven price per head</t>
  </si>
  <si>
    <t xml:space="preserve"> </t>
  </si>
  <si>
    <t>Interest on breeding stock</t>
  </si>
  <si>
    <t>Operating interest</t>
  </si>
  <si>
    <t>Calf sales: bulls and surplus heifers</t>
  </si>
  <si>
    <t>Developed by:</t>
  </si>
  <si>
    <t>University of Missouri Extension</t>
  </si>
  <si>
    <t>Unit</t>
  </si>
  <si>
    <t>pounds per head</t>
  </si>
  <si>
    <t>Feed requirements for raising a dairy replacement heifer (birth to 6 months)</t>
  </si>
  <si>
    <t>Feed requirements for raising replacement heifer (6 to 12 months)</t>
  </si>
  <si>
    <t>Feed cost per period</t>
  </si>
  <si>
    <t>Total feed costs</t>
  </si>
  <si>
    <t>Average total feed costs</t>
  </si>
  <si>
    <t>Feed requirements for raising replacement heifer (12 to 24 months)</t>
  </si>
  <si>
    <t>Total feed costs for replacement heifer</t>
  </si>
  <si>
    <t>Months to charge interest</t>
  </si>
  <si>
    <t>Daily milk production</t>
  </si>
  <si>
    <t>Milking days per year</t>
  </si>
  <si>
    <t xml:space="preserve">Total production/cow/year </t>
  </si>
  <si>
    <t xml:space="preserve">Total production/year for dairy </t>
  </si>
  <si>
    <t xml:space="preserve">Monthly production for dairy </t>
  </si>
  <si>
    <t>Base price for milk</t>
  </si>
  <si>
    <t>Government DMC payment</t>
  </si>
  <si>
    <t>Milk hauling costs</t>
  </si>
  <si>
    <t>Interest on breeding herd</t>
  </si>
  <si>
    <t>Capital replacement on breeding herd</t>
  </si>
  <si>
    <t xml:space="preserve">   Cull cows sold</t>
  </si>
  <si>
    <t xml:space="preserve">   Death loss and condemned cows</t>
  </si>
  <si>
    <t xml:space="preserve">   Price</t>
  </si>
  <si>
    <t xml:space="preserve">   Weight</t>
  </si>
  <si>
    <t>Heifer replacement rate</t>
  </si>
  <si>
    <t>per cwt.</t>
  </si>
  <si>
    <t xml:space="preserve">Production sold/year </t>
  </si>
  <si>
    <t>Quantity</t>
  </si>
  <si>
    <t>25,000 lbs. milk sold</t>
  </si>
  <si>
    <t>% of calves sold</t>
  </si>
  <si>
    <t>Feed cost assumption</t>
  </si>
  <si>
    <t>Other assumption</t>
  </si>
  <si>
    <t>Milk price</t>
  </si>
  <si>
    <t xml:space="preserve">    Average heifer calf value</t>
  </si>
  <si>
    <t>Milk production level</t>
  </si>
  <si>
    <t>Feed requirements and costs for two levels of milk production per cow per year</t>
  </si>
  <si>
    <t>Lactation diet</t>
  </si>
  <si>
    <t>Dry diet</t>
  </si>
  <si>
    <t>25,000 pound herd</t>
  </si>
  <si>
    <t>Total per cow/year</t>
  </si>
  <si>
    <t>Feed item</t>
  </si>
  <si>
    <t>tons/year</t>
  </si>
  <si>
    <t>waste %</t>
  </si>
  <si>
    <t xml:space="preserve">Conventional Dairy Feed </t>
  </si>
  <si>
    <t>Input Assumptions</t>
  </si>
  <si>
    <t>Spring &amp; fall</t>
  </si>
  <si>
    <t>Replacement Dairy Heifer Budget</t>
  </si>
  <si>
    <t>Income over operating costs</t>
  </si>
  <si>
    <t>Income over total costs</t>
  </si>
  <si>
    <t>Variable cost assumption</t>
  </si>
  <si>
    <t>Building and equipment investment</t>
  </si>
  <si>
    <t>150-cow herd, replacements raised</t>
  </si>
  <si>
    <t>Conventional Dairy Budget</t>
  </si>
  <si>
    <t>Production and cost assumptions</t>
  </si>
  <si>
    <t>Promotion cost</t>
  </si>
  <si>
    <t>Breeding herd assumption</t>
  </si>
  <si>
    <t>Land, building and equipment investment (</t>
  </si>
  <si>
    <t>percent</t>
  </si>
  <si>
    <t>pounds sold</t>
  </si>
  <si>
    <t>$ per cwt.</t>
  </si>
  <si>
    <t>$ per cow</t>
  </si>
  <si>
    <t>$ per head</t>
  </si>
  <si>
    <t>$ per heifer</t>
  </si>
  <si>
    <t>hours</t>
  </si>
  <si>
    <t>Per cow in herd</t>
  </si>
  <si>
    <t>Salvage value</t>
  </si>
  <si>
    <t>Category</t>
  </si>
  <si>
    <t>Price per unit</t>
  </si>
  <si>
    <t>Total investment</t>
  </si>
  <si>
    <t>Total land, building and equipment investment</t>
  </si>
  <si>
    <t>Total breeding herd investment</t>
  </si>
  <si>
    <t>$ per ton</t>
  </si>
  <si>
    <t>$ per bushel</t>
  </si>
  <si>
    <t>$ per AUM</t>
  </si>
  <si>
    <t>$ per pound</t>
  </si>
  <si>
    <t>pound</t>
  </si>
  <si>
    <t>month</t>
  </si>
  <si>
    <t>year</t>
  </si>
  <si>
    <t>acre</t>
  </si>
  <si>
    <t>day</t>
  </si>
  <si>
    <t>Total per heifer sold</t>
  </si>
  <si>
    <t>per heifer</t>
  </si>
  <si>
    <t>Percent sold</t>
  </si>
  <si>
    <t>Sensitivity to milk prices - income over total costs per cwt.</t>
  </si>
  <si>
    <t>per hour</t>
  </si>
  <si>
    <t xml:space="preserve">Labor </t>
  </si>
  <si>
    <t>Utilities</t>
  </si>
  <si>
    <t>Fuel and oil</t>
  </si>
  <si>
    <t xml:space="preserve">    Semen, A.I. services, etc.</t>
  </si>
  <si>
    <t>Interest rate for operating costs and cattle</t>
  </si>
  <si>
    <t>Interest rate for long-term investments</t>
  </si>
  <si>
    <t xml:space="preserve">Bedding </t>
  </si>
  <si>
    <t>Miscellaneous</t>
  </si>
  <si>
    <t>Feed storage</t>
  </si>
  <si>
    <t>Milking parlor</t>
  </si>
  <si>
    <t>Manure storage system</t>
  </si>
  <si>
    <t>total</t>
  </si>
  <si>
    <t>Other</t>
  </si>
  <si>
    <t>Other equipment</t>
  </si>
  <si>
    <t>Custom hire</t>
  </si>
  <si>
    <t>Buildings and improvements</t>
  </si>
  <si>
    <t>Supplies</t>
  </si>
  <si>
    <t>Veterinary</t>
  </si>
  <si>
    <t>Bedding</t>
  </si>
  <si>
    <t>Holstein heifer calf (dairy sire)</t>
  </si>
  <si>
    <t>Holstein heifer calf (beef sire)</t>
  </si>
  <si>
    <t>Holstein bull calf (dairy sire)</t>
  </si>
  <si>
    <t>Holstein bull calf (beef sire)</t>
  </si>
  <si>
    <t xml:space="preserve">    Average bull calf value</t>
  </si>
  <si>
    <t>Milk hauling and promotion</t>
  </si>
  <si>
    <t>hours per cow</t>
  </si>
  <si>
    <t>Dairy Budgets</t>
  </si>
  <si>
    <t>Updated: 10/2026</t>
  </si>
  <si>
    <t>For more information:</t>
  </si>
  <si>
    <t>MU Extension publication G676, Dairy (Confinement) Planning Budget (extension.missouri.edu/publications/g676)</t>
  </si>
  <si>
    <t>22,000 lbs. milk sold</t>
  </si>
  <si>
    <t>22,000 pound herd</t>
  </si>
  <si>
    <t>1. Save a copy of the workbook using a new file name before making changes.</t>
  </si>
  <si>
    <t>2. Begin with the Inputs worksheet. Review and update assumptions around feed costs, milk price and other key inputs.</t>
  </si>
  <si>
    <r>
      <t>3. Review the Cow feed and Heifer feed</t>
    </r>
    <r>
      <rPr>
        <b/>
        <sz val="12"/>
        <color theme="1"/>
        <rFont val="Aptos"/>
        <family val="2"/>
        <scheme val="minor"/>
      </rPr>
      <t xml:space="preserve"> </t>
    </r>
    <r>
      <rPr>
        <sz val="12"/>
        <color theme="1"/>
        <rFont val="Aptos"/>
        <family val="2"/>
        <scheme val="minor"/>
      </rPr>
      <t xml:space="preserve">worksheets to adjust feed requirements and related assumptions. </t>
    </r>
  </si>
  <si>
    <r>
      <t>4. Review the Heifer</t>
    </r>
    <r>
      <rPr>
        <b/>
        <sz val="12"/>
        <color theme="1"/>
        <rFont val="Aptos"/>
        <family val="2"/>
        <scheme val="minor"/>
      </rPr>
      <t xml:space="preserve"> </t>
    </r>
    <r>
      <rPr>
        <sz val="12"/>
        <color theme="1"/>
        <rFont val="Aptos"/>
        <family val="2"/>
        <scheme val="minor"/>
      </rPr>
      <t>worksheet and make adjustments to develop a budget for the dairy replacement heifer enterprise.</t>
    </r>
    <r>
      <rPr>
        <b/>
        <sz val="12"/>
        <color theme="1"/>
        <rFont val="Aptos"/>
        <family val="2"/>
        <scheme val="minor"/>
      </rPr>
      <t xml:space="preserve"> </t>
    </r>
    <r>
      <rPr>
        <sz val="12"/>
        <color theme="1"/>
        <rFont val="Aptos"/>
        <family val="2"/>
        <scheme val="minor"/>
      </rPr>
      <t>Results are reported on a per-heifer-sold basis.</t>
    </r>
  </si>
  <si>
    <t>5. Review the Dairy worksheet and make adjustments to develop a budget for the conventional dairy enterpise. Results are reported on a per-cow or per-cwt. basis.</t>
  </si>
  <si>
    <t>6. Edit only the gray cells within each worksheet. Gray cells are user inputs; white cells contain labels or formulas that calculate results automatically.</t>
  </si>
  <si>
    <t>How to use this workbook:</t>
  </si>
  <si>
    <r>
      <rPr>
        <b/>
        <sz val="12"/>
        <color theme="1"/>
        <rFont val="Aptos"/>
        <family val="2"/>
        <scheme val="minor"/>
      </rPr>
      <t xml:space="preserve">Purpose: </t>
    </r>
    <r>
      <rPr>
        <sz val="12"/>
        <color theme="1"/>
        <rFont val="Aptos"/>
        <family val="2"/>
        <scheme val="minor"/>
      </rPr>
      <t xml:space="preserve">
Use this workbook to develop customized enterprise budgets for a confinement dairy operation or dairy replacement heifers. An enterprise budget estimates the expected costs and returns for a single agricultural enterprise. It can help producers evaluate profitability, compare production alternatives, estimate cash needs and support management decisions. Default assumptions are based on Missouri conditions. Replace assumptions with values that reflect your farm and production practices.</t>
    </r>
  </si>
  <si>
    <t>This workbook is for educational purposes only and the user assumes all risks associated with its use.</t>
  </si>
  <si>
    <t xml:space="preserve">Ryan Milhollin, Scott Poock, Reagan Bluel, Stacey Hamilton </t>
  </si>
  <si>
    <t>70/30</t>
  </si>
  <si>
    <t>MO FMMO price</t>
  </si>
  <si>
    <t>U.S. All-Milk</t>
  </si>
  <si>
    <t>Difference</t>
  </si>
  <si>
    <t>Missouri FMMO reference price = (0.70 × Southeast Order price) + (0.30 × Central Order price)</t>
  </si>
  <si>
    <t>2026 (partial)</t>
  </si>
  <si>
    <t>Professional fees (legal, accounting, DHIA, etc.)</t>
  </si>
  <si>
    <t>Insurance &amp; real estate taxes</t>
  </si>
  <si>
    <t>As fed lb/day</t>
  </si>
  <si>
    <t>DM fed lb/day</t>
  </si>
  <si>
    <t>Alfalfa baleage (as fed, 60% moisture)</t>
  </si>
  <si>
    <t>MU Extension publication G677, Dairy Heifer Planning Budget (extension.missouri.edu/publications/g678)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</si>
</sst>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_);[Red]\(&quot;$&quot;#,##0\)"/>
    <numFmt numFmtId="8" formatCode="&quot;$&quot;#,##0.00_);[Red]\(&quot;$&quot;#,##0.00\)"/>
    <numFmt numFmtId="44" formatCode="_(&quot;$&quot;* #,##0.00_);_(&quot;$&quot;* \(#,##0.00\);_(&quot;$&quot;* &quot;-&quot;??_);_(@_)"/>
    <numFmt numFmtId="43" formatCode="_(* #,##0.00_);_(* \(#,##0.00\);_(* &quot;-&quot;??_);_(@_)"/>
    <numFmt numFmtId="164" formatCode="mm/dd/yy"/>
    <numFmt numFmtId="165" formatCode="#,##0;[Red]\-#,##0"/>
    <numFmt numFmtId="166" formatCode="[$$-409]#,##0.00;[Red]\-[$$-409]#,##0.00"/>
    <numFmt numFmtId="167" formatCode="[$$-409]#,##0;[Red]\-[$$-409]#,##0"/>
    <numFmt numFmtId="168" formatCode="0.0%"/>
    <numFmt numFmtId="169" formatCode="[$$-409]#,##0.00"/>
    <numFmt numFmtId="170" formatCode="0.0%;[Red]\-0.0%"/>
    <numFmt numFmtId="171" formatCode="[$$-409]#,##0"/>
    <numFmt numFmtId="172" formatCode=";;;"/>
    <numFmt numFmtId="173" formatCode="0.0"/>
    <numFmt numFmtId="174" formatCode="&quot;$&quot;#,##0"/>
    <numFmt numFmtId="175" formatCode="&quot;$&quot;#,##0.00"/>
    <numFmt numFmtId="176" formatCode="[$$-409]#,##0.00;[Red][$$-409]#,##0.00"/>
    <numFmt numFmtId="177" formatCode="#,##0.0"/>
    <numFmt numFmtId="178" formatCode="_(&quot;$&quot;* #,##0_);_(&quot;$&quot;* \(#,##0\);_(&quot;$&quot;* &quot;-&quot;??_);_(@_)"/>
    <numFmt numFmtId="179" formatCode="#,##0.00;[Red]#,##0.00"/>
    <numFmt numFmtId="180" formatCode="&quot;$&quot;#,##0.000"/>
  </numFmts>
  <fonts count="67" x14ac:knownFonts="1">
    <font>
      <sz val="12"/>
      <name val="Arial"/>
    </font>
    <font>
      <sz val="11"/>
      <color theme="1"/>
      <name val="Aptos"/>
      <family val="2"/>
      <scheme val="minor"/>
    </font>
    <font>
      <sz val="11"/>
      <color theme="1"/>
      <name val="Aptos"/>
      <family val="2"/>
      <scheme val="minor"/>
    </font>
    <font>
      <sz val="11"/>
      <color theme="1"/>
      <name val="Aptos"/>
      <family val="2"/>
      <scheme val="minor"/>
    </font>
    <font>
      <sz val="12"/>
      <name val="Arial"/>
      <family val="2"/>
    </font>
    <font>
      <sz val="10"/>
      <name val="Arial"/>
      <family val="2"/>
    </font>
    <font>
      <sz val="8"/>
      <color indexed="81"/>
      <name val="Tahoma"/>
      <family val="2"/>
    </font>
    <font>
      <sz val="11"/>
      <name val="Arial"/>
      <family val="2"/>
    </font>
    <font>
      <sz val="11.5"/>
      <name val="Arial"/>
      <family val="2"/>
    </font>
    <font>
      <b/>
      <sz val="10"/>
      <name val="Arial"/>
      <family val="2"/>
    </font>
    <font>
      <u/>
      <sz val="11.5"/>
      <name val="Arial"/>
      <family val="2"/>
    </font>
    <font>
      <b/>
      <sz val="11.5"/>
      <name val="Arial"/>
      <family val="2"/>
    </font>
    <font>
      <sz val="10"/>
      <color indexed="8"/>
      <name val="Arial"/>
      <family val="2"/>
    </font>
    <font>
      <b/>
      <sz val="11"/>
      <color rgb="FF3F3F3F"/>
      <name val="Aptos"/>
      <family val="2"/>
      <scheme val="minor"/>
    </font>
    <font>
      <sz val="11"/>
      <color theme="1"/>
      <name val="Segoe UI Black"/>
      <family val="2"/>
    </font>
    <font>
      <b/>
      <sz val="14"/>
      <color rgb="FFF1B82D"/>
      <name val="Segoe UI Black"/>
      <family val="2"/>
    </font>
    <font>
      <sz val="11"/>
      <color theme="1"/>
      <name val="Segoe UI"/>
      <family val="2"/>
    </font>
    <font>
      <sz val="12"/>
      <name val="Segoe UI"/>
      <family val="2"/>
    </font>
    <font>
      <b/>
      <sz val="12"/>
      <color indexed="10"/>
      <name val="Segoe UI"/>
      <family val="2"/>
    </font>
    <font>
      <sz val="12"/>
      <color indexed="8"/>
      <name val="Segoe UI"/>
      <family val="2"/>
    </font>
    <font>
      <sz val="12"/>
      <color indexed="12"/>
      <name val="Segoe UI"/>
      <family val="2"/>
    </font>
    <font>
      <sz val="12"/>
      <color indexed="14"/>
      <name val="Segoe UI"/>
      <family val="2"/>
    </font>
    <font>
      <sz val="12"/>
      <name val="Aptos"/>
      <family val="2"/>
      <scheme val="minor"/>
    </font>
    <font>
      <b/>
      <sz val="12"/>
      <color theme="1"/>
      <name val="Aptos"/>
      <family val="2"/>
      <scheme val="minor"/>
    </font>
    <font>
      <b/>
      <sz val="12"/>
      <name val="Aptos"/>
      <family val="2"/>
      <scheme val="minor"/>
    </font>
    <font>
      <u/>
      <sz val="12"/>
      <name val="Aptos"/>
      <family val="2"/>
      <scheme val="minor"/>
    </font>
    <font>
      <sz val="12"/>
      <color indexed="9"/>
      <name val="Aptos"/>
      <family val="2"/>
      <scheme val="minor"/>
    </font>
    <font>
      <sz val="12"/>
      <color indexed="8"/>
      <name val="Aptos"/>
      <family val="2"/>
      <scheme val="minor"/>
    </font>
    <font>
      <sz val="11"/>
      <name val="Segoe UI"/>
      <family val="2"/>
    </font>
    <font>
      <b/>
      <sz val="11"/>
      <name val="Segoe UI"/>
      <family val="2"/>
    </font>
    <font>
      <sz val="11"/>
      <color theme="0"/>
      <name val="Segoe UI"/>
      <family val="2"/>
    </font>
    <font>
      <b/>
      <sz val="11"/>
      <color theme="0"/>
      <name val="Segoe UI"/>
      <family val="2"/>
    </font>
    <font>
      <sz val="12"/>
      <color theme="0"/>
      <name val="Segoe UI"/>
      <family val="2"/>
    </font>
    <font>
      <b/>
      <sz val="10"/>
      <name val="Aptos"/>
      <family val="2"/>
      <scheme val="minor"/>
    </font>
    <font>
      <sz val="10"/>
      <name val="Aptos"/>
      <family val="2"/>
      <scheme val="minor"/>
    </font>
    <font>
      <sz val="9"/>
      <name val="Aptos"/>
      <family val="2"/>
      <scheme val="minor"/>
    </font>
    <font>
      <sz val="11"/>
      <name val="Aptos"/>
      <family val="2"/>
      <scheme val="minor"/>
    </font>
    <font>
      <sz val="10"/>
      <color indexed="8"/>
      <name val="Aptos"/>
      <family val="2"/>
      <scheme val="minor"/>
    </font>
    <font>
      <i/>
      <u/>
      <sz val="11"/>
      <color indexed="8"/>
      <name val="Aptos"/>
      <family val="2"/>
      <scheme val="minor"/>
    </font>
    <font>
      <sz val="11"/>
      <color indexed="8"/>
      <name val="Aptos"/>
      <family val="2"/>
      <scheme val="minor"/>
    </font>
    <font>
      <sz val="11"/>
      <color indexed="12"/>
      <name val="Aptos"/>
      <family val="2"/>
      <scheme val="minor"/>
    </font>
    <font>
      <u/>
      <sz val="11"/>
      <name val="Aptos"/>
      <family val="2"/>
      <scheme val="minor"/>
    </font>
    <font>
      <b/>
      <sz val="11"/>
      <name val="Aptos"/>
      <family val="2"/>
      <scheme val="minor"/>
    </font>
    <font>
      <sz val="9"/>
      <color indexed="8"/>
      <name val="Aptos"/>
      <family val="2"/>
      <scheme val="minor"/>
    </font>
    <font>
      <i/>
      <sz val="11"/>
      <name val="Aptos"/>
      <family val="2"/>
      <scheme val="minor"/>
    </font>
    <font>
      <b/>
      <sz val="11"/>
      <color indexed="8"/>
      <name val="Aptos"/>
      <family val="2"/>
      <scheme val="minor"/>
    </font>
    <font>
      <sz val="11"/>
      <color indexed="16"/>
      <name val="Aptos"/>
      <family val="2"/>
      <scheme val="minor"/>
    </font>
    <font>
      <sz val="11"/>
      <color indexed="17"/>
      <name val="Aptos"/>
      <family val="2"/>
      <scheme val="minor"/>
    </font>
    <font>
      <u/>
      <sz val="11"/>
      <color indexed="8"/>
      <name val="Aptos"/>
      <family val="2"/>
      <scheme val="minor"/>
    </font>
    <font>
      <u/>
      <sz val="11"/>
      <color indexed="12"/>
      <name val="Aptos"/>
      <family val="2"/>
      <scheme val="minor"/>
    </font>
    <font>
      <b/>
      <sz val="11"/>
      <color indexed="10"/>
      <name val="Aptos"/>
      <family val="2"/>
      <scheme val="minor"/>
    </font>
    <font>
      <sz val="11"/>
      <color theme="0"/>
      <name val="Aptos"/>
      <family val="2"/>
      <scheme val="minor"/>
    </font>
    <font>
      <sz val="12"/>
      <name val="Arial"/>
      <family val="2"/>
    </font>
    <font>
      <u/>
      <sz val="12"/>
      <color theme="10"/>
      <name val="Arial"/>
      <family val="2"/>
    </font>
    <font>
      <b/>
      <sz val="12"/>
      <color rgb="FF3F3F3F"/>
      <name val="Aptos"/>
      <family val="2"/>
      <scheme val="minor"/>
    </font>
    <font>
      <sz val="12"/>
      <color theme="1"/>
      <name val="Aptos"/>
      <family val="2"/>
      <scheme val="minor"/>
    </font>
    <font>
      <b/>
      <sz val="16"/>
      <color rgb="FFF1B82D"/>
      <name val="Aptos Black"/>
      <family val="2"/>
      <scheme val="major"/>
    </font>
    <font>
      <sz val="12"/>
      <color indexed="16"/>
      <name val="Aptos"/>
      <family val="2"/>
      <scheme val="minor"/>
    </font>
    <font>
      <b/>
      <sz val="12"/>
      <color indexed="10"/>
      <name val="Aptos"/>
      <family val="2"/>
      <scheme val="minor"/>
    </font>
    <font>
      <sz val="16"/>
      <name val="Aptos Black"/>
      <family val="2"/>
      <scheme val="major"/>
    </font>
    <font>
      <u/>
      <sz val="12"/>
      <color theme="10"/>
      <name val="Aptos"/>
      <family val="2"/>
      <scheme val="minor"/>
    </font>
    <font>
      <b/>
      <u/>
      <sz val="12"/>
      <name val="Aptos"/>
      <family val="2"/>
      <scheme val="minor"/>
    </font>
    <font>
      <sz val="11.5"/>
      <name val="Aptos"/>
      <family val="2"/>
      <scheme val="minor"/>
    </font>
    <font>
      <sz val="8"/>
      <name val="Arial"/>
      <family val="2"/>
    </font>
    <font>
      <b/>
      <sz val="12"/>
      <color rgb="FF000000"/>
      <name val="Aptos"/>
      <family val="2"/>
    </font>
    <font>
      <sz val="12"/>
      <name val="Aptos"/>
      <family val="2"/>
    </font>
    <font>
      <sz val="10"/>
      <name val="Segoe UI"/>
      <family val="2"/>
    </font>
  </fonts>
  <fills count="6">
    <fill>
      <patternFill patternType="none"/>
    </fill>
    <fill>
      <patternFill patternType="gray125"/>
    </fill>
    <fill>
      <patternFill patternType="solid">
        <fgColor rgb="FFF2F2F2"/>
      </patternFill>
    </fill>
    <fill>
      <patternFill patternType="solid">
        <fgColor theme="1"/>
        <bgColor indexed="64"/>
      </patternFill>
    </fill>
    <fill>
      <patternFill patternType="solid">
        <fgColor theme="2"/>
        <bgColor indexed="64"/>
      </patternFill>
    </fill>
    <fill>
      <patternFill patternType="solid">
        <fgColor theme="0"/>
        <bgColor indexed="64"/>
      </patternFill>
    </fill>
  </fills>
  <borders count="10">
    <border>
      <left/>
      <right/>
      <top/>
      <bottom/>
      <diagonal/>
    </border>
    <border>
      <left/>
      <right/>
      <top style="thin">
        <color indexed="8"/>
      </top>
      <bottom/>
      <diagonal/>
    </border>
    <border>
      <left/>
      <right/>
      <top/>
      <bottom style="thin">
        <color indexed="64"/>
      </bottom>
      <diagonal/>
    </border>
    <border>
      <left/>
      <right/>
      <top style="thin">
        <color indexed="64"/>
      </top>
      <bottom/>
      <diagonal/>
    </border>
    <border>
      <left/>
      <right/>
      <top style="medium">
        <color indexed="64"/>
      </top>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44" fontId="5" fillId="0" borderId="0" applyFont="0" applyFill="0" applyBorder="0" applyAlignment="0" applyProtection="0"/>
    <xf numFmtId="0" fontId="13" fillId="2" borderId="6" applyNumberFormat="0" applyAlignment="0" applyProtection="0"/>
    <xf numFmtId="0" fontId="3" fillId="0" borderId="0"/>
    <xf numFmtId="0" fontId="2" fillId="0" borderId="0"/>
    <xf numFmtId="9" fontId="52" fillId="0" borderId="0" applyFont="0" applyFill="0" applyBorder="0" applyAlignment="0" applyProtection="0"/>
    <xf numFmtId="0" fontId="53" fillId="0" borderId="0" applyNumberFormat="0" applyFill="0" applyBorder="0" applyAlignment="0" applyProtection="0"/>
  </cellStyleXfs>
  <cellXfs count="339">
    <xf numFmtId="0" fontId="0" fillId="0" borderId="0" xfId="0"/>
    <xf numFmtId="0" fontId="14" fillId="0" borderId="0" xfId="3" applyFont="1"/>
    <xf numFmtId="0" fontId="16" fillId="0" borderId="0" xfId="3" applyFont="1"/>
    <xf numFmtId="168" fontId="17" fillId="0" borderId="0" xfId="0" applyNumberFormat="1" applyFont="1" applyAlignment="1">
      <alignment horizontal="right"/>
    </xf>
    <xf numFmtId="0" fontId="17" fillId="0" borderId="0" xfId="0" applyFont="1"/>
    <xf numFmtId="0" fontId="19" fillId="0" borderId="0" xfId="0" applyFont="1"/>
    <xf numFmtId="164" fontId="20" fillId="0" borderId="0" xfId="0" applyNumberFormat="1" applyFont="1" applyProtection="1">
      <protection locked="0"/>
    </xf>
    <xf numFmtId="173" fontId="22" fillId="4" borderId="2" xfId="0" applyNumberFormat="1" applyFont="1" applyFill="1" applyBorder="1" applyAlignment="1" applyProtection="1">
      <alignment horizontal="right"/>
      <protection locked="0"/>
    </xf>
    <xf numFmtId="9" fontId="22" fillId="4" borderId="2" xfId="0" applyNumberFormat="1" applyFont="1" applyFill="1" applyBorder="1" applyAlignment="1" applyProtection="1">
      <alignment horizontal="right"/>
      <protection locked="0"/>
    </xf>
    <xf numFmtId="0" fontId="22" fillId="4" borderId="2" xfId="0" applyFont="1" applyFill="1" applyBorder="1" applyAlignment="1" applyProtection="1">
      <alignment horizontal="right"/>
      <protection locked="0"/>
    </xf>
    <xf numFmtId="0" fontId="22" fillId="4" borderId="0" xfId="0" applyFont="1" applyFill="1" applyProtection="1">
      <protection locked="0"/>
    </xf>
    <xf numFmtId="2" fontId="22" fillId="4" borderId="2" xfId="0" applyNumberFormat="1" applyFont="1" applyFill="1" applyBorder="1" applyProtection="1">
      <protection locked="0"/>
    </xf>
    <xf numFmtId="3" fontId="36" fillId="4" borderId="0" xfId="0" applyNumberFormat="1" applyFont="1" applyFill="1" applyProtection="1">
      <protection locked="0"/>
    </xf>
    <xf numFmtId="168" fontId="36" fillId="4" borderId="0" xfId="0" applyNumberFormat="1" applyFont="1" applyFill="1" applyProtection="1">
      <protection locked="0"/>
    </xf>
    <xf numFmtId="4" fontId="36" fillId="4" borderId="0" xfId="0" applyNumberFormat="1" applyFont="1" applyFill="1" applyProtection="1">
      <protection locked="0"/>
    </xf>
    <xf numFmtId="2" fontId="36" fillId="4" borderId="0" xfId="0" applyNumberFormat="1" applyFont="1" applyFill="1" applyProtection="1">
      <protection locked="0"/>
    </xf>
    <xf numFmtId="0" fontId="36" fillId="4" borderId="0" xfId="0" applyFont="1" applyFill="1" applyProtection="1">
      <protection locked="0"/>
    </xf>
    <xf numFmtId="14" fontId="17" fillId="0" borderId="0" xfId="0" applyNumberFormat="1" applyFont="1"/>
    <xf numFmtId="0" fontId="55" fillId="0" borderId="0" xfId="3" applyFont="1" applyAlignment="1">
      <alignment horizontal="left" wrapText="1"/>
    </xf>
    <xf numFmtId="0" fontId="23" fillId="0" borderId="0" xfId="3" applyFont="1"/>
    <xf numFmtId="0" fontId="55" fillId="0" borderId="0" xfId="3" applyFont="1"/>
    <xf numFmtId="9" fontId="22" fillId="4" borderId="0" xfId="5" applyFont="1" applyFill="1" applyProtection="1">
      <protection locked="0"/>
    </xf>
    <xf numFmtId="168" fontId="22" fillId="4" borderId="0" xfId="0" applyNumberFormat="1" applyFont="1" applyFill="1" applyProtection="1">
      <protection locked="0"/>
    </xf>
    <xf numFmtId="175" fontId="22" fillId="4" borderId="0" xfId="0" applyNumberFormat="1" applyFont="1" applyFill="1" applyProtection="1">
      <protection locked="0"/>
    </xf>
    <xf numFmtId="173" fontId="22" fillId="4" borderId="0" xfId="0" applyNumberFormat="1" applyFont="1" applyFill="1" applyAlignment="1" applyProtection="1">
      <alignment horizontal="right"/>
      <protection locked="0"/>
    </xf>
    <xf numFmtId="9" fontId="22" fillId="4" borderId="0" xfId="0" applyNumberFormat="1" applyFont="1" applyFill="1" applyAlignment="1" applyProtection="1">
      <alignment horizontal="right"/>
      <protection locked="0"/>
    </xf>
    <xf numFmtId="2" fontId="22" fillId="4" borderId="0" xfId="0" applyNumberFormat="1" applyFont="1" applyFill="1" applyProtection="1">
      <protection locked="0"/>
    </xf>
    <xf numFmtId="3" fontId="22" fillId="4" borderId="0" xfId="0" applyNumberFormat="1" applyFont="1" applyFill="1" applyProtection="1">
      <protection locked="0"/>
    </xf>
    <xf numFmtId="177" fontId="22" fillId="4" borderId="0" xfId="0" applyNumberFormat="1" applyFont="1" applyFill="1" applyProtection="1">
      <protection locked="0"/>
    </xf>
    <xf numFmtId="168" fontId="36" fillId="4" borderId="0" xfId="0" applyNumberFormat="1" applyFont="1" applyFill="1" applyAlignment="1" applyProtection="1">
      <alignment horizontal="center"/>
      <protection locked="0"/>
    </xf>
    <xf numFmtId="0" fontId="36" fillId="4" borderId="0" xfId="0" applyFont="1" applyFill="1" applyAlignment="1" applyProtection="1">
      <alignment horizontal="center"/>
      <protection locked="0"/>
    </xf>
    <xf numFmtId="10" fontId="36" fillId="4" borderId="0" xfId="0" applyNumberFormat="1" applyFont="1" applyFill="1" applyAlignment="1" applyProtection="1">
      <alignment horizontal="center"/>
      <protection locked="0"/>
    </xf>
    <xf numFmtId="173" fontId="36" fillId="4" borderId="2" xfId="0" applyNumberFormat="1" applyFont="1" applyFill="1" applyBorder="1" applyAlignment="1" applyProtection="1">
      <alignment horizontal="right"/>
      <protection locked="0"/>
    </xf>
    <xf numFmtId="175" fontId="36" fillId="4" borderId="0" xfId="0" applyNumberFormat="1" applyFont="1" applyFill="1" applyProtection="1">
      <protection locked="0"/>
    </xf>
    <xf numFmtId="0" fontId="34" fillId="4" borderId="2" xfId="0" applyFont="1" applyFill="1" applyBorder="1" applyProtection="1">
      <protection locked="0"/>
    </xf>
    <xf numFmtId="9" fontId="34" fillId="4" borderId="0" xfId="0" applyNumberFormat="1" applyFont="1" applyFill="1" applyProtection="1">
      <protection locked="0"/>
    </xf>
    <xf numFmtId="9" fontId="34" fillId="4" borderId="2" xfId="0" applyNumberFormat="1" applyFont="1" applyFill="1" applyBorder="1" applyProtection="1">
      <protection locked="0"/>
    </xf>
    <xf numFmtId="0" fontId="60" fillId="0" borderId="0" xfId="6" applyFont="1" applyAlignment="1">
      <alignment horizontal="left" wrapText="1"/>
    </xf>
    <xf numFmtId="0" fontId="17" fillId="3" borderId="8" xfId="0" applyFont="1" applyFill="1" applyBorder="1"/>
    <xf numFmtId="0" fontId="17" fillId="3" borderId="9" xfId="0" applyFont="1" applyFill="1" applyBorder="1"/>
    <xf numFmtId="0" fontId="56" fillId="5" borderId="0" xfId="4" applyFont="1" applyFill="1" applyAlignment="1">
      <alignment horizontal="left"/>
    </xf>
    <xf numFmtId="0" fontId="24" fillId="0" borderId="5" xfId="0" applyFont="1" applyBorder="1"/>
    <xf numFmtId="0" fontId="24" fillId="5" borderId="5" xfId="4" applyFont="1" applyFill="1" applyBorder="1" applyAlignment="1">
      <alignment horizontal="center"/>
    </xf>
    <xf numFmtId="0" fontId="24" fillId="5" borderId="5" xfId="4" applyFont="1" applyFill="1" applyBorder="1" applyAlignment="1">
      <alignment horizontal="left"/>
    </xf>
    <xf numFmtId="0" fontId="22" fillId="0" borderId="0" xfId="0" applyFont="1"/>
    <xf numFmtId="0" fontId="34" fillId="0" borderId="0" xfId="0" applyFont="1"/>
    <xf numFmtId="180" fontId="22" fillId="0" borderId="0" xfId="0" applyNumberFormat="1" applyFont="1"/>
    <xf numFmtId="175" fontId="22" fillId="0" borderId="0" xfId="0" applyNumberFormat="1" applyFont="1"/>
    <xf numFmtId="0" fontId="57" fillId="0" borderId="0" xfId="0" applyFont="1"/>
    <xf numFmtId="4" fontId="22" fillId="0" borderId="0" xfId="0" applyNumberFormat="1" applyFont="1"/>
    <xf numFmtId="0" fontId="58" fillId="0" borderId="0" xfId="0" applyFont="1"/>
    <xf numFmtId="0" fontId="18" fillId="0" borderId="0" xfId="0" applyFont="1"/>
    <xf numFmtId="0" fontId="21" fillId="0" borderId="0" xfId="0" applyFont="1"/>
    <xf numFmtId="0" fontId="22" fillId="0" borderId="0" xfId="0" applyFont="1" applyAlignment="1">
      <alignment horizontal="right"/>
    </xf>
    <xf numFmtId="0" fontId="56" fillId="3" borderId="7" xfId="3" applyFont="1" applyFill="1" applyBorder="1" applyAlignment="1">
      <alignment horizontal="left"/>
    </xf>
    <xf numFmtId="0" fontId="56" fillId="3" borderId="8" xfId="3" applyFont="1" applyFill="1" applyBorder="1" applyAlignment="1">
      <alignment horizontal="left"/>
    </xf>
    <xf numFmtId="0" fontId="22" fillId="3" borderId="8" xfId="0" applyFont="1" applyFill="1" applyBorder="1"/>
    <xf numFmtId="0" fontId="22" fillId="3" borderId="8" xfId="0" applyFont="1" applyFill="1" applyBorder="1" applyAlignment="1">
      <alignment horizontal="right"/>
    </xf>
    <xf numFmtId="0" fontId="22" fillId="3" borderId="9" xfId="0" applyFont="1" applyFill="1" applyBorder="1"/>
    <xf numFmtId="0" fontId="23" fillId="0" borderId="0" xfId="0" applyFont="1"/>
    <xf numFmtId="0" fontId="22" fillId="0" borderId="4" xfId="0" applyFont="1" applyBorder="1"/>
    <xf numFmtId="0" fontId="24" fillId="0" borderId="0" xfId="0" applyFont="1" applyAlignment="1">
      <alignment horizontal="left"/>
    </xf>
    <xf numFmtId="0" fontId="22" fillId="0" borderId="0" xfId="0" applyFont="1" applyAlignment="1">
      <alignment horizontal="left"/>
    </xf>
    <xf numFmtId="0" fontId="22" fillId="0" borderId="2" xfId="0" applyFont="1" applyBorder="1"/>
    <xf numFmtId="0" fontId="22" fillId="0" borderId="2" xfId="0" applyFont="1" applyBorder="1" applyAlignment="1">
      <alignment horizontal="right"/>
    </xf>
    <xf numFmtId="173" fontId="22" fillId="0" borderId="0" xfId="0" applyNumberFormat="1" applyFont="1"/>
    <xf numFmtId="0" fontId="22" fillId="0" borderId="5" xfId="0" applyFont="1" applyBorder="1"/>
    <xf numFmtId="0" fontId="22" fillId="0" borderId="5" xfId="0" applyFont="1" applyBorder="1" applyAlignment="1">
      <alignment horizontal="centerContinuous"/>
    </xf>
    <xf numFmtId="0" fontId="22" fillId="0" borderId="5" xfId="0" applyFont="1" applyBorder="1" applyAlignment="1">
      <alignment horizontal="right"/>
    </xf>
    <xf numFmtId="0" fontId="22" fillId="0" borderId="0" xfId="0" applyFont="1" applyAlignment="1">
      <alignment horizontal="centerContinuous"/>
    </xf>
    <xf numFmtId="2" fontId="22" fillId="0" borderId="0" xfId="0" applyNumberFormat="1" applyFont="1" applyAlignment="1">
      <alignment horizontal="right"/>
    </xf>
    <xf numFmtId="3" fontId="22" fillId="0" borderId="0" xfId="0" applyNumberFormat="1" applyFont="1" applyAlignment="1">
      <alignment horizontal="right"/>
    </xf>
    <xf numFmtId="3" fontId="22" fillId="0" borderId="0" xfId="0" applyNumberFormat="1" applyFont="1"/>
    <xf numFmtId="3" fontId="22" fillId="0" borderId="0" xfId="0" applyNumberFormat="1" applyFont="1" applyAlignment="1">
      <alignment horizontal="centerContinuous"/>
    </xf>
    <xf numFmtId="0" fontId="34" fillId="0" borderId="2" xfId="0" applyFont="1" applyBorder="1"/>
    <xf numFmtId="3" fontId="22" fillId="0" borderId="2" xfId="0" applyNumberFormat="1" applyFont="1" applyBorder="1"/>
    <xf numFmtId="0" fontId="22" fillId="0" borderId="1" xfId="0" applyFont="1" applyBorder="1"/>
    <xf numFmtId="0" fontId="25" fillId="0" borderId="0" xfId="0" applyFont="1"/>
    <xf numFmtId="0" fontId="25" fillId="0" borderId="0" xfId="0" applyFont="1" applyAlignment="1">
      <alignment horizontal="right"/>
    </xf>
    <xf numFmtId="169" fontId="22" fillId="0" borderId="0" xfId="0" quotePrefix="1" applyNumberFormat="1" applyFont="1"/>
    <xf numFmtId="169" fontId="22" fillId="0" borderId="0" xfId="0" applyNumberFormat="1" applyFont="1"/>
    <xf numFmtId="0" fontId="26" fillId="0" borderId="0" xfId="0" applyFont="1"/>
    <xf numFmtId="4" fontId="22" fillId="0" borderId="0" xfId="0" quotePrefix="1" applyNumberFormat="1" applyFont="1"/>
    <xf numFmtId="2" fontId="22" fillId="0" borderId="2" xfId="0" applyNumberFormat="1" applyFont="1" applyBorder="1" applyAlignment="1">
      <alignment horizontal="right"/>
    </xf>
    <xf numFmtId="3" fontId="22" fillId="0" borderId="2" xfId="0" applyNumberFormat="1" applyFont="1" applyBorder="1" applyAlignment="1">
      <alignment horizontal="right"/>
    </xf>
    <xf numFmtId="9" fontId="22" fillId="0" borderId="0" xfId="0" applyNumberFormat="1" applyFont="1" applyAlignment="1">
      <alignment horizontal="right"/>
    </xf>
    <xf numFmtId="2" fontId="22" fillId="0" borderId="0" xfId="0" applyNumberFormat="1" applyFont="1"/>
    <xf numFmtId="169" fontId="22" fillId="0" borderId="2" xfId="0" quotePrefix="1" applyNumberFormat="1" applyFont="1" applyBorder="1"/>
    <xf numFmtId="175" fontId="22" fillId="0" borderId="2" xfId="0" applyNumberFormat="1" applyFont="1" applyBorder="1"/>
    <xf numFmtId="169" fontId="22" fillId="0" borderId="2" xfId="0" applyNumberFormat="1" applyFont="1" applyBorder="1"/>
    <xf numFmtId="1" fontId="22" fillId="0" borderId="0" xfId="0" applyNumberFormat="1" applyFont="1" applyAlignment="1">
      <alignment horizontal="right"/>
    </xf>
    <xf numFmtId="172" fontId="22" fillId="0" borderId="0" xfId="0" applyNumberFormat="1" applyFont="1"/>
    <xf numFmtId="0" fontId="24" fillId="0" borderId="0" xfId="0" applyFont="1"/>
    <xf numFmtId="1" fontId="22" fillId="0" borderId="2" xfId="0" applyNumberFormat="1" applyFont="1" applyBorder="1" applyAlignment="1">
      <alignment horizontal="right"/>
    </xf>
    <xf numFmtId="173" fontId="22" fillId="0" borderId="5" xfId="0" applyNumberFormat="1" applyFont="1" applyBorder="1" applyAlignment="1">
      <alignment horizontal="right"/>
    </xf>
    <xf numFmtId="174" fontId="22" fillId="0" borderId="5" xfId="0" applyNumberFormat="1" applyFont="1" applyBorder="1" applyAlignment="1">
      <alignment horizontal="right"/>
    </xf>
    <xf numFmtId="2" fontId="22" fillId="0" borderId="2" xfId="0" applyNumberFormat="1" applyFont="1" applyBorder="1"/>
    <xf numFmtId="175" fontId="22" fillId="0" borderId="2" xfId="0" applyNumberFormat="1" applyFont="1" applyBorder="1" applyAlignment="1">
      <alignment horizontal="right"/>
    </xf>
    <xf numFmtId="4" fontId="22" fillId="0" borderId="2" xfId="0" applyNumberFormat="1" applyFont="1" applyBorder="1"/>
    <xf numFmtId="173" fontId="22" fillId="3" borderId="8" xfId="0" applyNumberFormat="1" applyFont="1" applyFill="1" applyBorder="1"/>
    <xf numFmtId="175" fontId="22" fillId="0" borderId="0" xfId="0" quotePrefix="1" applyNumberFormat="1" applyFont="1"/>
    <xf numFmtId="0" fontId="32" fillId="0" borderId="0" xfId="0" applyFont="1"/>
    <xf numFmtId="0" fontId="28" fillId="0" borderId="0" xfId="0" applyFont="1"/>
    <xf numFmtId="0" fontId="59" fillId="3" borderId="8" xfId="0" applyFont="1" applyFill="1" applyBorder="1" applyAlignment="1">
      <alignment horizontal="left"/>
    </xf>
    <xf numFmtId="0" fontId="59" fillId="3" borderId="9" xfId="0" applyFont="1" applyFill="1" applyBorder="1" applyAlignment="1">
      <alignment horizontal="left"/>
    </xf>
    <xf numFmtId="0" fontId="24" fillId="0" borderId="1" xfId="0" applyFont="1" applyBorder="1" applyAlignment="1">
      <alignment horizontal="centerContinuous"/>
    </xf>
    <xf numFmtId="0" fontId="24" fillId="0" borderId="5" xfId="0" applyFont="1" applyBorder="1" applyAlignment="1">
      <alignment horizontal="right"/>
    </xf>
    <xf numFmtId="0" fontId="29" fillId="0" borderId="0" xfId="0" applyFont="1"/>
    <xf numFmtId="0" fontId="30" fillId="0" borderId="0" xfId="0" applyFont="1"/>
    <xf numFmtId="0" fontId="22" fillId="0" borderId="1" xfId="0" applyFont="1" applyBorder="1" applyAlignment="1">
      <alignment horizontal="right"/>
    </xf>
    <xf numFmtId="169" fontId="22" fillId="0" borderId="1" xfId="0" applyNumberFormat="1" applyFont="1" applyBorder="1"/>
    <xf numFmtId="0" fontId="28" fillId="0" borderId="1" xfId="0" applyFont="1" applyBorder="1"/>
    <xf numFmtId="0" fontId="28" fillId="3" borderId="8" xfId="0" applyFont="1" applyFill="1" applyBorder="1" applyAlignment="1">
      <alignment horizontal="left"/>
    </xf>
    <xf numFmtId="0" fontId="28" fillId="3" borderId="9" xfId="0" applyFont="1" applyFill="1" applyBorder="1" applyAlignment="1">
      <alignment horizontal="left"/>
    </xf>
    <xf numFmtId="0" fontId="31" fillId="0" borderId="0" xfId="0" applyFont="1"/>
    <xf numFmtId="175" fontId="22" fillId="0" borderId="1" xfId="0" applyNumberFormat="1" applyFont="1" applyBorder="1"/>
    <xf numFmtId="0" fontId="24" fillId="0" borderId="0" xfId="3" applyFont="1" applyAlignment="1">
      <alignment horizontal="left"/>
    </xf>
    <xf numFmtId="0" fontId="22" fillId="0" borderId="3" xfId="0" applyFont="1" applyBorder="1"/>
    <xf numFmtId="169" fontId="22" fillId="0" borderId="3" xfId="0" applyNumberFormat="1" applyFont="1" applyBorder="1"/>
    <xf numFmtId="0" fontId="5" fillId="0" borderId="0" xfId="0" applyFont="1"/>
    <xf numFmtId="0" fontId="7" fillId="0" borderId="0" xfId="0" applyFont="1"/>
    <xf numFmtId="0" fontId="4" fillId="0" borderId="0" xfId="0" applyFont="1"/>
    <xf numFmtId="0" fontId="56" fillId="0" borderId="0" xfId="4" applyFont="1"/>
    <xf numFmtId="0" fontId="35" fillId="0" borderId="0" xfId="0" applyFont="1"/>
    <xf numFmtId="0" fontId="24" fillId="0" borderId="0" xfId="0" applyFont="1" applyAlignment="1">
      <alignment horizontal="right"/>
    </xf>
    <xf numFmtId="0" fontId="8" fillId="0" borderId="0" xfId="0" applyFont="1" applyAlignment="1">
      <alignment horizontal="left" vertical="center" indent="5"/>
    </xf>
    <xf numFmtId="8" fontId="22" fillId="0" borderId="0" xfId="1" applyNumberFormat="1" applyFont="1" applyBorder="1" applyAlignment="1" applyProtection="1"/>
    <xf numFmtId="0" fontId="10" fillId="0" borderId="0" xfId="0" applyFont="1" applyAlignment="1">
      <alignment horizontal="left" vertical="center" indent="5"/>
    </xf>
    <xf numFmtId="0" fontId="11" fillId="0" borderId="0" xfId="0" applyFont="1" applyAlignment="1">
      <alignment horizontal="left" vertical="center" indent="5"/>
    </xf>
    <xf numFmtId="8" fontId="11" fillId="0" borderId="0" xfId="0" applyNumberFormat="1" applyFont="1" applyAlignment="1">
      <alignment horizontal="left" vertical="center" indent="5"/>
    </xf>
    <xf numFmtId="8" fontId="24" fillId="0" borderId="0" xfId="1" applyNumberFormat="1" applyFont="1" applyBorder="1" applyAlignment="1" applyProtection="1"/>
    <xf numFmtId="0" fontId="11" fillId="0" borderId="0" xfId="0" applyFont="1" applyAlignment="1">
      <alignment horizontal="left" vertical="center"/>
    </xf>
    <xf numFmtId="44" fontId="4" fillId="0" borderId="0" xfId="0" applyNumberFormat="1" applyFont="1"/>
    <xf numFmtId="40" fontId="24" fillId="0" borderId="0" xfId="1" applyNumberFormat="1" applyFont="1" applyBorder="1" applyAlignment="1" applyProtection="1"/>
    <xf numFmtId="43" fontId="4" fillId="0" borderId="0" xfId="0" applyNumberFormat="1" applyFont="1"/>
    <xf numFmtId="44" fontId="5" fillId="0" borderId="0" xfId="0" applyNumberFormat="1" applyFont="1"/>
    <xf numFmtId="44" fontId="4" fillId="0" borderId="0" xfId="1" applyFont="1" applyFill="1" applyProtection="1"/>
    <xf numFmtId="8" fontId="22" fillId="0" borderId="0" xfId="1" applyNumberFormat="1" applyFont="1" applyBorder="1" applyAlignment="1" applyProtection="1">
      <alignment vertical="center"/>
    </xf>
    <xf numFmtId="8" fontId="22" fillId="0" borderId="2" xfId="1" applyNumberFormat="1" applyFont="1" applyBorder="1" applyAlignment="1" applyProtection="1">
      <alignment vertical="center"/>
    </xf>
    <xf numFmtId="0" fontId="39" fillId="0" borderId="0" xfId="0" applyFont="1"/>
    <xf numFmtId="0" fontId="36" fillId="0" borderId="0" xfId="0" applyFont="1"/>
    <xf numFmtId="175" fontId="36" fillId="0" borderId="0" xfId="0" applyNumberFormat="1" applyFont="1"/>
    <xf numFmtId="3" fontId="36" fillId="0" borderId="0" xfId="0" applyNumberFormat="1" applyFont="1"/>
    <xf numFmtId="168" fontId="40" fillId="0" borderId="0" xfId="0" applyNumberFormat="1" applyFont="1"/>
    <xf numFmtId="0" fontId="39" fillId="0" borderId="2" xfId="0" applyFont="1" applyBorder="1"/>
    <xf numFmtId="0" fontId="36" fillId="0" borderId="2" xfId="0" applyFont="1" applyBorder="1"/>
    <xf numFmtId="0" fontId="33" fillId="0" borderId="0" xfId="0" applyFont="1"/>
    <xf numFmtId="8" fontId="22" fillId="0" borderId="0" xfId="1" applyNumberFormat="1" applyFont="1" applyFill="1" applyBorder="1" applyProtection="1"/>
    <xf numFmtId="8" fontId="22" fillId="0" borderId="2" xfId="1" applyNumberFormat="1" applyFont="1" applyFill="1" applyBorder="1" applyProtection="1"/>
    <xf numFmtId="8" fontId="22" fillId="0" borderId="0" xfId="1" applyNumberFormat="1" applyFont="1" applyBorder="1" applyProtection="1"/>
    <xf numFmtId="8" fontId="24" fillId="0" borderId="0" xfId="1" applyNumberFormat="1" applyFont="1" applyBorder="1" applyProtection="1"/>
    <xf numFmtId="8" fontId="22" fillId="0" borderId="2" xfId="1" applyNumberFormat="1" applyFont="1" applyBorder="1" applyProtection="1"/>
    <xf numFmtId="0" fontId="42" fillId="0" borderId="0" xfId="0" applyFont="1"/>
    <xf numFmtId="8" fontId="24" fillId="0" borderId="2" xfId="1" applyNumberFormat="1" applyFont="1" applyBorder="1" applyProtection="1"/>
    <xf numFmtId="178" fontId="42" fillId="0" borderId="0" xfId="1" applyNumberFormat="1" applyFont="1" applyBorder="1" applyProtection="1"/>
    <xf numFmtId="0" fontId="41" fillId="0" borderId="0" xfId="0" applyFont="1" applyAlignment="1">
      <alignment horizontal="right"/>
    </xf>
    <xf numFmtId="0" fontId="42" fillId="0" borderId="0" xfId="0" applyFont="1" applyAlignment="1">
      <alignment horizontal="centerContinuous"/>
    </xf>
    <xf numFmtId="3" fontId="45" fillId="0" borderId="0" xfId="0" applyNumberFormat="1" applyFont="1"/>
    <xf numFmtId="3" fontId="39" fillId="0" borderId="0" xfId="0" applyNumberFormat="1" applyFont="1"/>
    <xf numFmtId="165" fontId="39" fillId="0" borderId="0" xfId="0" applyNumberFormat="1" applyFont="1"/>
    <xf numFmtId="2" fontId="40" fillId="0" borderId="0" xfId="0" applyNumberFormat="1" applyFont="1"/>
    <xf numFmtId="2" fontId="36" fillId="0" borderId="0" xfId="0" applyNumberFormat="1" applyFont="1"/>
    <xf numFmtId="0" fontId="40" fillId="0" borderId="0" xfId="0" applyFont="1"/>
    <xf numFmtId="174" fontId="36" fillId="0" borderId="0" xfId="0" applyNumberFormat="1" applyFont="1"/>
    <xf numFmtId="4" fontId="39" fillId="0" borderId="0" xfId="0" applyNumberFormat="1" applyFont="1"/>
    <xf numFmtId="171" fontId="36" fillId="0" borderId="0" xfId="0" applyNumberFormat="1" applyFont="1"/>
    <xf numFmtId="169" fontId="36" fillId="0" borderId="0" xfId="0" applyNumberFormat="1" applyFont="1"/>
    <xf numFmtId="166" fontId="39" fillId="0" borderId="0" xfId="0" applyNumberFormat="1" applyFont="1"/>
    <xf numFmtId="171" fontId="40" fillId="0" borderId="0" xfId="0" applyNumberFormat="1" applyFont="1"/>
    <xf numFmtId="9" fontId="36" fillId="0" borderId="0" xfId="0" applyNumberFormat="1" applyFont="1"/>
    <xf numFmtId="0" fontId="49" fillId="0" borderId="0" xfId="0" applyFont="1" applyAlignment="1">
      <alignment horizontal="right"/>
    </xf>
    <xf numFmtId="169" fontId="47" fillId="0" borderId="0" xfId="0" applyNumberFormat="1" applyFont="1"/>
    <xf numFmtId="3" fontId="40" fillId="0" borderId="0" xfId="0" applyNumberFormat="1" applyFont="1"/>
    <xf numFmtId="0" fontId="50" fillId="0" borderId="0" xfId="0" applyFont="1"/>
    <xf numFmtId="0" fontId="34" fillId="0" borderId="0" xfId="0" applyFont="1" applyAlignment="1">
      <alignment horizontal="right"/>
    </xf>
    <xf numFmtId="175" fontId="34" fillId="0" borderId="0" xfId="0" quotePrefix="1" applyNumberFormat="1" applyFont="1"/>
    <xf numFmtId="175" fontId="37" fillId="0" borderId="0" xfId="0" applyNumberFormat="1" applyFont="1"/>
    <xf numFmtId="0" fontId="37" fillId="0" borderId="0" xfId="0" applyFont="1"/>
    <xf numFmtId="175" fontId="34" fillId="0" borderId="0" xfId="0" applyNumberFormat="1" applyFont="1"/>
    <xf numFmtId="167" fontId="37" fillId="0" borderId="0" xfId="0" applyNumberFormat="1" applyFont="1"/>
    <xf numFmtId="174" fontId="34" fillId="0" borderId="2" xfId="0" applyNumberFormat="1" applyFont="1" applyBorder="1"/>
    <xf numFmtId="175" fontId="34" fillId="0" borderId="2" xfId="0" quotePrefix="1" applyNumberFormat="1" applyFont="1" applyBorder="1"/>
    <xf numFmtId="3" fontId="34" fillId="0" borderId="2" xfId="0" applyNumberFormat="1" applyFont="1" applyBorder="1"/>
    <xf numFmtId="167" fontId="39" fillId="0" borderId="0" xfId="0" applyNumberFormat="1" applyFont="1"/>
    <xf numFmtId="179" fontId="39" fillId="0" borderId="0" xfId="0" applyNumberFormat="1" applyFont="1"/>
    <xf numFmtId="174" fontId="37" fillId="0" borderId="2" xfId="0" applyNumberFormat="1" applyFont="1" applyBorder="1"/>
    <xf numFmtId="176" fontId="39" fillId="0" borderId="0" xfId="0" applyNumberFormat="1" applyFont="1"/>
    <xf numFmtId="167" fontId="27" fillId="0" borderId="0" xfId="0" applyNumberFormat="1" applyFont="1"/>
    <xf numFmtId="0" fontId="34" fillId="0" borderId="2" xfId="0" applyFont="1" applyBorder="1" applyAlignment="1">
      <alignment horizontal="right"/>
    </xf>
    <xf numFmtId="167" fontId="45" fillId="0" borderId="0" xfId="0" applyNumberFormat="1" applyFont="1"/>
    <xf numFmtId="174" fontId="42" fillId="0" borderId="0" xfId="0" applyNumberFormat="1" applyFont="1"/>
    <xf numFmtId="176" fontId="45" fillId="0" borderId="0" xfId="0" applyNumberFormat="1" applyFont="1"/>
    <xf numFmtId="15" fontId="34" fillId="0" borderId="0" xfId="0" quotePrefix="1" applyNumberFormat="1" applyFont="1"/>
    <xf numFmtId="174" fontId="37" fillId="4" borderId="2" xfId="0" applyNumberFormat="1" applyFont="1" applyFill="1" applyBorder="1" applyProtection="1">
      <protection locked="0"/>
    </xf>
    <xf numFmtId="175" fontId="22" fillId="0" borderId="0" xfId="1" applyNumberFormat="1" applyFont="1" applyFill="1" applyBorder="1" applyProtection="1"/>
    <xf numFmtId="168" fontId="22" fillId="4" borderId="0" xfId="0" applyNumberFormat="1" applyFont="1" applyFill="1" applyAlignment="1" applyProtection="1">
      <alignment horizontal="left"/>
      <protection locked="0"/>
    </xf>
    <xf numFmtId="175" fontId="36" fillId="0" borderId="0" xfId="0" applyNumberFormat="1" applyFont="1" applyAlignment="1">
      <alignment horizontal="left"/>
    </xf>
    <xf numFmtId="0" fontId="36" fillId="0" borderId="2" xfId="0" applyFont="1" applyBorder="1" applyAlignment="1">
      <alignment horizontal="right"/>
    </xf>
    <xf numFmtId="8" fontId="22" fillId="4" borderId="0" xfId="0" applyNumberFormat="1" applyFont="1" applyFill="1" applyProtection="1">
      <protection locked="0"/>
    </xf>
    <xf numFmtId="168" fontId="22" fillId="0" borderId="0" xfId="0" applyNumberFormat="1" applyFont="1" applyAlignment="1">
      <alignment horizontal="right"/>
    </xf>
    <xf numFmtId="0" fontId="24" fillId="0" borderId="0" xfId="0" applyFont="1" applyAlignment="1">
      <alignment horizontal="right" wrapText="1"/>
    </xf>
    <xf numFmtId="0" fontId="61" fillId="0" borderId="0" xfId="0" applyFont="1" applyAlignment="1">
      <alignment horizontal="left" wrapText="1"/>
    </xf>
    <xf numFmtId="0" fontId="60" fillId="0" borderId="0" xfId="6" applyFont="1"/>
    <xf numFmtId="0" fontId="62" fillId="0" borderId="0" xfId="0" applyFont="1" applyAlignment="1">
      <alignment horizontal="left" vertical="center"/>
    </xf>
    <xf numFmtId="43" fontId="22" fillId="0" borderId="0" xfId="0" applyNumberFormat="1" applyFont="1"/>
    <xf numFmtId="44" fontId="22" fillId="0" borderId="0" xfId="0" applyNumberFormat="1" applyFont="1"/>
    <xf numFmtId="2" fontId="17" fillId="0" borderId="0" xfId="0" applyNumberFormat="1" applyFont="1"/>
    <xf numFmtId="174" fontId="37" fillId="4" borderId="0" xfId="0" applyNumberFormat="1" applyFont="1" applyFill="1" applyProtection="1">
      <protection locked="0"/>
    </xf>
    <xf numFmtId="2" fontId="37" fillId="0" borderId="0" xfId="0" applyNumberFormat="1" applyFont="1" applyAlignment="1">
      <alignment horizontal="center"/>
    </xf>
    <xf numFmtId="0" fontId="36" fillId="5" borderId="0" xfId="0" applyFont="1" applyFill="1"/>
    <xf numFmtId="0" fontId="39" fillId="5" borderId="0" xfId="0" applyFont="1" applyFill="1"/>
    <xf numFmtId="0" fontId="53" fillId="0" borderId="0" xfId="6" applyAlignment="1">
      <alignment horizontal="left" vertical="center"/>
    </xf>
    <xf numFmtId="8" fontId="4" fillId="0" borderId="0" xfId="0" applyNumberFormat="1" applyFont="1"/>
    <xf numFmtId="0" fontId="56" fillId="3" borderId="7" xfId="3" applyFont="1" applyFill="1" applyBorder="1" applyAlignment="1">
      <alignment horizontal="center"/>
    </xf>
    <xf numFmtId="0" fontId="64" fillId="0" borderId="0" xfId="0" applyFont="1" applyAlignment="1">
      <alignment vertical="top"/>
    </xf>
    <xf numFmtId="0" fontId="14" fillId="3" borderId="7" xfId="3" applyFont="1" applyFill="1" applyBorder="1"/>
    <xf numFmtId="0" fontId="56" fillId="3" borderId="9" xfId="3" applyFont="1" applyFill="1" applyBorder="1"/>
    <xf numFmtId="0" fontId="55" fillId="0" borderId="0" xfId="3" applyFont="1" applyAlignment="1">
      <alignment horizontal="right"/>
    </xf>
    <xf numFmtId="0" fontId="55" fillId="5" borderId="0" xfId="0" applyFont="1" applyFill="1" applyAlignment="1">
      <alignment vertical="top" wrapText="1"/>
    </xf>
    <xf numFmtId="0" fontId="54" fillId="0" borderId="0" xfId="2" applyFont="1" applyFill="1" applyBorder="1" applyAlignment="1">
      <alignment wrapText="1"/>
    </xf>
    <xf numFmtId="0" fontId="1" fillId="0" borderId="0" xfId="3" applyFont="1"/>
    <xf numFmtId="168" fontId="25" fillId="0" borderId="0" xfId="0" applyNumberFormat="1" applyFont="1" applyAlignment="1">
      <alignment horizontal="left"/>
    </xf>
    <xf numFmtId="0" fontId="22" fillId="0" borderId="0" xfId="0" applyFont="1" applyAlignment="1">
      <alignment vertical="center"/>
    </xf>
    <xf numFmtId="0" fontId="24" fillId="5" borderId="5" xfId="4" applyFont="1" applyFill="1" applyBorder="1" applyAlignment="1">
      <alignment horizontal="right"/>
    </xf>
    <xf numFmtId="173" fontId="22" fillId="4" borderId="0" xfId="0" applyNumberFormat="1" applyFont="1" applyFill="1" applyAlignment="1">
      <alignment horizontal="right"/>
    </xf>
    <xf numFmtId="173" fontId="22" fillId="4" borderId="2" xfId="0" applyNumberFormat="1" applyFont="1" applyFill="1" applyBorder="1" applyAlignment="1">
      <alignment horizontal="right"/>
    </xf>
    <xf numFmtId="0" fontId="23" fillId="5" borderId="0" xfId="0" applyFont="1" applyFill="1" applyAlignment="1">
      <alignment vertical="top" wrapText="1"/>
    </xf>
    <xf numFmtId="0" fontId="54" fillId="2" borderId="6" xfId="2" applyFont="1"/>
    <xf numFmtId="0" fontId="65" fillId="0" borderId="0" xfId="0" applyFont="1"/>
    <xf numFmtId="175" fontId="66" fillId="0" borderId="0" xfId="0" applyNumberFormat="1" applyFont="1"/>
    <xf numFmtId="175" fontId="17" fillId="0" borderId="0" xfId="0" applyNumberFormat="1" applyFont="1"/>
    <xf numFmtId="0" fontId="33" fillId="0" borderId="0" xfId="0" applyFont="1" applyAlignment="1">
      <alignment horizontal="right"/>
    </xf>
    <xf numFmtId="2" fontId="37" fillId="0" borderId="2" xfId="0" applyNumberFormat="1" applyFont="1" applyBorder="1" applyAlignment="1">
      <alignment horizontal="center"/>
    </xf>
    <xf numFmtId="0" fontId="34" fillId="4" borderId="0" xfId="0" applyFont="1" applyFill="1" applyProtection="1">
      <protection locked="0"/>
    </xf>
    <xf numFmtId="169" fontId="17" fillId="0" borderId="0" xfId="0" applyNumberFormat="1" applyFont="1"/>
    <xf numFmtId="2" fontId="24" fillId="0" borderId="0" xfId="0" applyNumberFormat="1" applyFont="1"/>
    <xf numFmtId="4" fontId="22" fillId="0" borderId="0" xfId="0" applyNumberFormat="1" applyFont="1" applyAlignment="1">
      <alignment horizontal="center"/>
    </xf>
    <xf numFmtId="180" fontId="22" fillId="4" borderId="0" xfId="0" applyNumberFormat="1" applyFont="1" applyFill="1" applyProtection="1">
      <protection locked="0"/>
    </xf>
    <xf numFmtId="173" fontId="22" fillId="0" borderId="0" xfId="0" applyNumberFormat="1" applyFont="1" applyAlignment="1">
      <alignment horizontal="right"/>
    </xf>
    <xf numFmtId="173" fontId="22" fillId="0" borderId="2" xfId="0" applyNumberFormat="1" applyFont="1" applyBorder="1" applyAlignment="1">
      <alignment horizontal="right"/>
    </xf>
    <xf numFmtId="0" fontId="35" fillId="0" borderId="0" xfId="0" applyFont="1" applyAlignment="1">
      <alignment wrapText="1"/>
    </xf>
    <xf numFmtId="0" fontId="24" fillId="0" borderId="5" xfId="0" applyFont="1" applyBorder="1" applyAlignment="1">
      <alignment horizontal="left" wrapText="1"/>
    </xf>
    <xf numFmtId="0" fontId="24" fillId="0" borderId="5" xfId="0" applyFont="1" applyBorder="1" applyAlignment="1">
      <alignment horizontal="left"/>
    </xf>
    <xf numFmtId="0" fontId="24" fillId="0" borderId="5" xfId="0" applyFont="1" applyBorder="1" applyAlignment="1">
      <alignment horizontal="right" wrapText="1"/>
    </xf>
    <xf numFmtId="0" fontId="22" fillId="0" borderId="0" xfId="0" applyFont="1" applyAlignment="1">
      <alignment horizontal="left" vertical="center"/>
    </xf>
    <xf numFmtId="0" fontId="34" fillId="0" borderId="0" xfId="0" applyFont="1" applyAlignment="1">
      <alignment horizontal="left"/>
    </xf>
    <xf numFmtId="8" fontId="22" fillId="0" borderId="0" xfId="0" applyNumberFormat="1" applyFont="1"/>
    <xf numFmtId="8" fontId="22" fillId="0" borderId="2" xfId="0" applyNumberFormat="1" applyFont="1" applyBorder="1"/>
    <xf numFmtId="10" fontId="22" fillId="0" borderId="0" xfId="0" applyNumberFormat="1" applyFont="1"/>
    <xf numFmtId="2" fontId="24" fillId="5" borderId="0" xfId="3" applyNumberFormat="1" applyFont="1" applyFill="1" applyAlignment="1">
      <alignment horizontal="left"/>
    </xf>
    <xf numFmtId="0" fontId="42" fillId="0" borderId="0" xfId="0" quotePrefix="1" applyFont="1"/>
    <xf numFmtId="2" fontId="24" fillId="5" borderId="2" xfId="3" applyNumberFormat="1" applyFont="1" applyFill="1" applyBorder="1" applyAlignment="1">
      <alignment horizontal="left"/>
    </xf>
    <xf numFmtId="0" fontId="42" fillId="0" borderId="2" xfId="0" applyFont="1" applyBorder="1"/>
    <xf numFmtId="40" fontId="22" fillId="0" borderId="0" xfId="0" applyNumberFormat="1" applyFont="1"/>
    <xf numFmtId="0" fontId="22" fillId="0" borderId="2" xfId="0" applyFont="1" applyBorder="1" applyAlignment="1">
      <alignment horizontal="left" vertical="center"/>
    </xf>
    <xf numFmtId="0" fontId="5" fillId="0" borderId="2" xfId="0" applyFont="1" applyBorder="1"/>
    <xf numFmtId="0" fontId="12" fillId="0" borderId="0" xfId="0" applyFont="1"/>
    <xf numFmtId="0" fontId="39" fillId="0" borderId="5" xfId="0" applyFont="1" applyBorder="1"/>
    <xf numFmtId="0" fontId="36" fillId="0" borderId="5" xfId="0" applyFont="1" applyBorder="1" applyAlignment="1">
      <alignment horizontal="right"/>
    </xf>
    <xf numFmtId="0" fontId="36" fillId="0" borderId="5" xfId="0" applyFont="1" applyBorder="1" applyAlignment="1">
      <alignment horizontal="center"/>
    </xf>
    <xf numFmtId="0" fontId="36" fillId="0" borderId="5" xfId="0" applyFont="1" applyBorder="1" applyAlignment="1">
      <alignment horizontal="left"/>
    </xf>
    <xf numFmtId="0" fontId="43" fillId="0" borderId="2" xfId="0" applyFont="1" applyBorder="1"/>
    <xf numFmtId="173" fontId="40" fillId="0" borderId="2" xfId="0" applyNumberFormat="1" applyFont="1" applyBorder="1" applyAlignment="1">
      <alignment horizontal="right"/>
    </xf>
    <xf numFmtId="0" fontId="39" fillId="0" borderId="3" xfId="0" applyFont="1" applyBorder="1"/>
    <xf numFmtId="0" fontId="36" fillId="0" borderId="3" xfId="0" applyFont="1" applyBorder="1"/>
    <xf numFmtId="0" fontId="43" fillId="0" borderId="0" xfId="0" applyFont="1"/>
    <xf numFmtId="168" fontId="35" fillId="0" borderId="0" xfId="0" applyNumberFormat="1" applyFont="1"/>
    <xf numFmtId="175" fontId="39" fillId="0" borderId="0" xfId="0" applyNumberFormat="1" applyFont="1"/>
    <xf numFmtId="168" fontId="40" fillId="0" borderId="0" xfId="0" applyNumberFormat="1" applyFont="1" applyAlignment="1">
      <alignment horizontal="center"/>
    </xf>
    <xf numFmtId="0" fontId="36" fillId="0" borderId="0" xfId="0" applyFont="1" applyAlignment="1">
      <alignment horizontal="center"/>
    </xf>
    <xf numFmtId="168" fontId="36" fillId="0" borderId="0" xfId="0" applyNumberFormat="1" applyFont="1" applyAlignment="1">
      <alignment horizontal="center"/>
    </xf>
    <xf numFmtId="175" fontId="39" fillId="0" borderId="2" xfId="0" applyNumberFormat="1" applyFont="1" applyBorder="1"/>
    <xf numFmtId="0" fontId="39" fillId="0" borderId="0" xfId="0" applyFont="1" applyAlignment="1">
      <alignment horizontal="right"/>
    </xf>
    <xf numFmtId="0" fontId="39" fillId="0" borderId="2" xfId="0" applyFont="1" applyBorder="1" applyAlignment="1">
      <alignment horizontal="right"/>
    </xf>
    <xf numFmtId="0" fontId="9" fillId="0" borderId="0" xfId="0" applyFont="1"/>
    <xf numFmtId="15" fontId="5" fillId="0" borderId="0" xfId="0" quotePrefix="1" applyNumberFormat="1" applyFont="1"/>
    <xf numFmtId="8" fontId="24" fillId="0" borderId="0" xfId="0" applyNumberFormat="1" applyFont="1"/>
    <xf numFmtId="0" fontId="24" fillId="0" borderId="2" xfId="0" applyFont="1" applyBorder="1"/>
    <xf numFmtId="1" fontId="36" fillId="0" borderId="0" xfId="0" applyNumberFormat="1" applyFont="1"/>
    <xf numFmtId="0" fontId="36" fillId="0" borderId="0" xfId="0" applyFont="1" applyAlignment="1">
      <alignment horizontal="left" vertical="center"/>
    </xf>
    <xf numFmtId="14" fontId="44" fillId="0" borderId="0" xfId="0" applyNumberFormat="1" applyFont="1" applyAlignment="1">
      <alignment horizontal="left" vertical="center"/>
    </xf>
    <xf numFmtId="14" fontId="36" fillId="0" borderId="0" xfId="0" quotePrefix="1" applyNumberFormat="1" applyFont="1" applyAlignment="1">
      <alignment horizontal="right"/>
    </xf>
    <xf numFmtId="0" fontId="38" fillId="0" borderId="0" xfId="0" applyFont="1"/>
    <xf numFmtId="0" fontId="42" fillId="0" borderId="0" xfId="0" applyFont="1" applyAlignment="1">
      <alignment horizontal="center"/>
    </xf>
    <xf numFmtId="0" fontId="36" fillId="0" borderId="5" xfId="0" applyFont="1" applyBorder="1"/>
    <xf numFmtId="3" fontId="39" fillId="0" borderId="5" xfId="0" applyNumberFormat="1" applyFont="1" applyBorder="1" applyAlignment="1">
      <alignment horizontal="right"/>
    </xf>
    <xf numFmtId="0" fontId="35" fillId="0" borderId="0" xfId="0" applyFont="1" applyAlignment="1">
      <alignment horizontal="left"/>
    </xf>
    <xf numFmtId="0" fontId="46" fillId="0" borderId="0" xfId="0" applyFont="1"/>
    <xf numFmtId="4" fontId="36" fillId="0" borderId="0" xfId="0" applyNumberFormat="1" applyFont="1"/>
    <xf numFmtId="175" fontId="39" fillId="0" borderId="0" xfId="0" quotePrefix="1" applyNumberFormat="1" applyFont="1"/>
    <xf numFmtId="168" fontId="36" fillId="0" borderId="0" xfId="0" applyNumberFormat="1" applyFont="1"/>
    <xf numFmtId="170" fontId="39" fillId="0" borderId="5" xfId="0" applyNumberFormat="1" applyFont="1" applyBorder="1"/>
    <xf numFmtId="9" fontId="36" fillId="5" borderId="0" xfId="0" applyNumberFormat="1" applyFont="1" applyFill="1"/>
    <xf numFmtId="9" fontId="51" fillId="5" borderId="0" xfId="0" applyNumberFormat="1" applyFont="1" applyFill="1"/>
    <xf numFmtId="0" fontId="51" fillId="0" borderId="0" xfId="0" applyFont="1"/>
    <xf numFmtId="168" fontId="51" fillId="0" borderId="0" xfId="0" applyNumberFormat="1" applyFont="1"/>
    <xf numFmtId="0" fontId="48" fillId="0" borderId="0" xfId="0" applyFont="1" applyAlignment="1">
      <alignment horizontal="right"/>
    </xf>
    <xf numFmtId="6" fontId="39" fillId="0" borderId="0" xfId="0" applyNumberFormat="1" applyFont="1"/>
    <xf numFmtId="0" fontId="35" fillId="0" borderId="2" xfId="0" applyFont="1" applyBorder="1"/>
    <xf numFmtId="168" fontId="36" fillId="0" borderId="2" xfId="0" applyNumberFormat="1" applyFont="1" applyBorder="1"/>
    <xf numFmtId="172" fontId="45" fillId="0" borderId="2" xfId="0" applyNumberFormat="1" applyFont="1" applyBorder="1"/>
    <xf numFmtId="0" fontId="37" fillId="0" borderId="2" xfId="0" applyFont="1" applyBorder="1"/>
    <xf numFmtId="0" fontId="37" fillId="0" borderId="2" xfId="0" applyFont="1" applyBorder="1" applyAlignment="1">
      <alignment horizontal="center" wrapText="1"/>
    </xf>
    <xf numFmtId="0" fontId="34" fillId="0" borderId="2" xfId="0" applyFont="1" applyBorder="1" applyAlignment="1">
      <alignment horizontal="center"/>
    </xf>
    <xf numFmtId="0" fontId="45" fillId="0" borderId="0" xfId="0" applyFont="1"/>
    <xf numFmtId="174" fontId="34" fillId="0" borderId="0" xfId="0" applyNumberFormat="1" applyFont="1"/>
    <xf numFmtId="3" fontId="34" fillId="0" borderId="0" xfId="0" applyNumberFormat="1" applyFont="1"/>
    <xf numFmtId="0" fontId="37" fillId="0" borderId="3" xfId="0" applyFont="1" applyBorder="1"/>
    <xf numFmtId="0" fontId="34" fillId="0" borderId="3" xfId="0" applyFont="1" applyBorder="1"/>
    <xf numFmtId="3" fontId="34" fillId="0" borderId="3" xfId="0" applyNumberFormat="1" applyFont="1" applyBorder="1"/>
    <xf numFmtId="174" fontId="37" fillId="0" borderId="3" xfId="0" applyNumberFormat="1" applyFont="1" applyBorder="1"/>
    <xf numFmtId="174" fontId="34" fillId="0" borderId="3" xfId="0" applyNumberFormat="1" applyFont="1" applyBorder="1"/>
    <xf numFmtId="174" fontId="37" fillId="0" borderId="0" xfId="0" applyNumberFormat="1" applyFont="1"/>
    <xf numFmtId="8" fontId="22" fillId="4" borderId="0" xfId="1" applyNumberFormat="1" applyFont="1" applyFill="1" applyBorder="1" applyProtection="1">
      <protection locked="0"/>
    </xf>
    <xf numFmtId="8" fontId="22" fillId="4" borderId="2" xfId="1" applyNumberFormat="1" applyFont="1" applyFill="1" applyBorder="1" applyProtection="1">
      <protection locked="0"/>
    </xf>
    <xf numFmtId="8" fontId="34" fillId="0" borderId="0" xfId="0" applyNumberFormat="1" applyFont="1"/>
    <xf numFmtId="175" fontId="24" fillId="0" borderId="2" xfId="1" applyNumberFormat="1" applyFont="1" applyBorder="1" applyProtection="1"/>
    <xf numFmtId="2" fontId="24" fillId="5" borderId="3" xfId="3" applyNumberFormat="1" applyFont="1" applyFill="1" applyBorder="1" applyAlignment="1">
      <alignment horizontal="left"/>
    </xf>
    <xf numFmtId="0" fontId="24" fillId="0" borderId="3" xfId="0" quotePrefix="1" applyFont="1" applyBorder="1"/>
    <xf numFmtId="175" fontId="24" fillId="0" borderId="3" xfId="1" applyNumberFormat="1" applyFont="1" applyBorder="1" applyProtection="1"/>
    <xf numFmtId="8" fontId="22" fillId="0" borderId="3" xfId="0" applyNumberFormat="1" applyFont="1" applyBorder="1"/>
    <xf numFmtId="175" fontId="36" fillId="0" borderId="2" xfId="0" applyNumberFormat="1" applyFont="1" applyBorder="1"/>
    <xf numFmtId="175" fontId="24" fillId="0" borderId="0" xfId="1" applyNumberFormat="1" applyFont="1" applyBorder="1" applyAlignment="1" applyProtection="1"/>
    <xf numFmtId="175" fontId="24" fillId="0" borderId="2" xfId="1" applyNumberFormat="1" applyFont="1" applyBorder="1" applyAlignment="1" applyProtection="1"/>
    <xf numFmtId="38" fontId="36" fillId="0" borderId="0" xfId="0" applyNumberFormat="1" applyFont="1"/>
    <xf numFmtId="0" fontId="15" fillId="3" borderId="7" xfId="3" applyFont="1" applyFill="1" applyBorder="1"/>
    <xf numFmtId="0" fontId="15" fillId="3" borderId="9" xfId="3" applyFont="1" applyFill="1" applyBorder="1"/>
    <xf numFmtId="0" fontId="55" fillId="0" borderId="0" xfId="3" applyFont="1" applyAlignment="1">
      <alignment horizontal="left" wrapText="1"/>
    </xf>
    <xf numFmtId="0" fontId="56" fillId="3" borderId="7" xfId="4" applyFont="1" applyFill="1" applyBorder="1" applyAlignment="1">
      <alignment horizontal="left"/>
    </xf>
    <xf numFmtId="0" fontId="56" fillId="3" borderId="8" xfId="4" applyFont="1" applyFill="1" applyBorder="1" applyAlignment="1">
      <alignment horizontal="left"/>
    </xf>
    <xf numFmtId="0" fontId="56" fillId="3" borderId="9" xfId="4" applyFont="1" applyFill="1" applyBorder="1" applyAlignment="1">
      <alignment horizontal="left"/>
    </xf>
    <xf numFmtId="0" fontId="56" fillId="3" borderId="7" xfId="3" applyFont="1" applyFill="1" applyBorder="1" applyAlignment="1">
      <alignment horizontal="left"/>
    </xf>
    <xf numFmtId="0" fontId="56" fillId="3" borderId="8" xfId="3" applyFont="1" applyFill="1" applyBorder="1" applyAlignment="1">
      <alignment horizontal="left"/>
    </xf>
    <xf numFmtId="0" fontId="22" fillId="0" borderId="2" xfId="0" applyFont="1" applyBorder="1" applyAlignment="1">
      <alignment horizontal="center"/>
    </xf>
    <xf numFmtId="0" fontId="56" fillId="3" borderId="0" xfId="4" applyFont="1" applyFill="1" applyAlignment="1">
      <alignment horizontal="center"/>
    </xf>
    <xf numFmtId="0" fontId="34" fillId="0" borderId="0" xfId="0" applyFont="1" applyAlignment="1">
      <alignment horizontal="left"/>
    </xf>
    <xf numFmtId="0" fontId="22" fillId="0" borderId="0" xfId="0" applyFont="1" applyAlignment="1">
      <alignment horizontal="center"/>
    </xf>
    <xf numFmtId="0" fontId="36" fillId="0" borderId="0" xfId="0" applyFont="1" applyAlignment="1">
      <alignment horizontal="left"/>
    </xf>
    <xf numFmtId="0" fontId="24" fillId="0" borderId="0" xfId="0" applyFont="1" applyAlignment="1">
      <alignment horizontal="center"/>
    </xf>
  </cellXfs>
  <cellStyles count="7">
    <cellStyle name="Currency" xfId="1" builtinId="4"/>
    <cellStyle name="Hyperlink" xfId="6" builtinId="8"/>
    <cellStyle name="Normal" xfId="0" builtinId="0"/>
    <cellStyle name="Normal 2" xfId="3" xr:uid="{368DDACE-A47A-47AA-862D-438951CE1C51}"/>
    <cellStyle name="Normal 2 2" xfId="4" xr:uid="{ABE08F3F-4521-40E7-A93A-154CB8B26BED}"/>
    <cellStyle name="Output" xfId="2" builtinId="21"/>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5919108</xdr:colOff>
      <xdr:row>3</xdr:row>
      <xdr:rowOff>197304</xdr:rowOff>
    </xdr:from>
    <xdr:to>
      <xdr:col>2</xdr:col>
      <xdr:colOff>7935843</xdr:colOff>
      <xdr:row>6</xdr:row>
      <xdr:rowOff>200129</xdr:rowOff>
    </xdr:to>
    <xdr:pic>
      <xdr:nvPicPr>
        <xdr:cNvPr id="3" name="Picture 2" descr="University of Missouri Extension">
          <a:extLst>
            <a:ext uri="{FF2B5EF4-FFF2-40B4-BE49-F238E27FC236}">
              <a16:creationId xmlns:a16="http://schemas.microsoft.com/office/drawing/2014/main" id="{D3487BE7-D8CB-48E6-BF1A-EAFB3D138E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60054" y="904875"/>
          <a:ext cx="2016735" cy="6355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ilhollinr/Box%20Sync/Crops/Industrial%20Hemp%20-%20MASBDA%20-%202019/Resources%20-%20Proprietary/Budgets/2020%20Industrial%20Hemp%20Budget%20FINAL.xlsx" TargetMode="External"/><Relationship Id="rId1" Type="http://schemas.openxmlformats.org/officeDocument/2006/relationships/externalLinkPath" Target="/Users/milhollinr/Box%20Sync/Crops/Industrial%20Hemp%20-%20MASBDA%20-%202019/Resources%20-%20Proprietary/Budgets/2020%20Industrial%20Hemp%20Budget%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ctivity list"/>
      <sheetName val="Introduction"/>
      <sheetName val="Hemp for Fiber"/>
      <sheetName val="Hemp for Grain"/>
      <sheetName val="Hemp for Fiber &amp; Grain"/>
      <sheetName val="Hemp for CBD"/>
      <sheetName val="Notes"/>
      <sheetName val="2020 Industrial Hemp Budget FIN"/>
    </sheetNames>
    <sheetDataSet>
      <sheetData sheetId="0">
        <row r="4">
          <cell r="W4" t="str">
            <v>Implement</v>
          </cell>
          <cell r="X4" t="str">
            <v>Cost/unit</v>
          </cell>
          <cell r="Y4" t="str">
            <v>Unit</v>
          </cell>
          <cell r="Z4" t="str">
            <v>Hours/acre</v>
          </cell>
          <cell r="AA4" t="str">
            <v>Something Else</v>
          </cell>
        </row>
        <row r="5">
          <cell r="W5" t="str">
            <v>Moving Large Square Bales</v>
          </cell>
          <cell r="X5">
            <v>0.23</v>
          </cell>
          <cell r="Y5" t="str">
            <v>$/bale/loaded mile</v>
          </cell>
        </row>
        <row r="6">
          <cell r="W6" t="str">
            <v>Hauling Hay</v>
          </cell>
          <cell r="X6">
            <v>55</v>
          </cell>
        </row>
        <row r="7">
          <cell r="W7" t="str">
            <v>Fertilizer application</v>
          </cell>
          <cell r="X7">
            <v>6.75</v>
          </cell>
          <cell r="Y7" t="str">
            <v>acre</v>
          </cell>
        </row>
        <row r="8">
          <cell r="W8" t="str">
            <v>Drying Plant</v>
          </cell>
          <cell r="X8">
            <v>1</v>
          </cell>
        </row>
        <row r="9">
          <cell r="W9" t="str">
            <v>Hauling Grain to bin</v>
          </cell>
          <cell r="X9">
            <v>0.25</v>
          </cell>
          <cell r="Y9" t="str">
            <v>cwt hauled</v>
          </cell>
        </row>
        <row r="10">
          <cell r="W10" t="str">
            <v>Grain Drying</v>
          </cell>
          <cell r="X10">
            <v>0.12</v>
          </cell>
          <cell r="Y10" t="str">
            <v>cwt dried/% moisture</v>
          </cell>
        </row>
        <row r="11">
          <cell r="W11" t="str">
            <v>Hauling grain to market</v>
          </cell>
          <cell r="X11">
            <v>0.45</v>
          </cell>
          <cell r="Y11" t="str">
            <v>cwt hauled</v>
          </cell>
        </row>
        <row r="12">
          <cell r="W12" t="str">
            <v>Hauling hemp for CBD to processor</v>
          </cell>
          <cell r="X12">
            <v>0.2</v>
          </cell>
          <cell r="Y12" t="str">
            <v>$/cwt/loaded mile</v>
          </cell>
        </row>
        <row r="13">
          <cell r="W13" t="str">
            <v>Seed cleaning</v>
          </cell>
          <cell r="X13">
            <v>0.04</v>
          </cell>
          <cell r="Y13" t="str">
            <v>pound cleaned</v>
          </cell>
        </row>
        <row r="14">
          <cell r="W14" t="str">
            <v>Large Square bales</v>
          </cell>
          <cell r="X14">
            <v>17</v>
          </cell>
          <cell r="Y14" t="str">
            <v>one ton bale</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Aptos Black"/>
        <a:ea typeface=""/>
        <a:cs typeface=""/>
      </a:majorFont>
      <a:minorFont>
        <a:latin typeface="Apto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xtension.missouri.edu/publications/g676" TargetMode="External"/><Relationship Id="rId1" Type="http://schemas.openxmlformats.org/officeDocument/2006/relationships/hyperlink" Target="https://extension.missouri.edu/publications/g678"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4C9F6-01FE-455C-AA5B-6487F3D18062}">
  <dimension ref="A1:E26"/>
  <sheetViews>
    <sheetView showGridLines="0" tabSelected="1" zoomScale="89" zoomScaleNormal="89" workbookViewId="0"/>
  </sheetViews>
  <sheetFormatPr defaultColWidth="0" defaultRowHeight="16.5" zeroHeight="1" x14ac:dyDescent="0.3"/>
  <cols>
    <col min="1" max="1" width="3.33203125" style="1" customWidth="1"/>
    <col min="2" max="2" width="8.77734375" style="1" customWidth="1"/>
    <col min="3" max="3" width="100.77734375" style="1" customWidth="1"/>
    <col min="4" max="4" width="8.77734375" style="1" customWidth="1"/>
    <col min="5" max="5" width="3.33203125" style="1" customWidth="1"/>
    <col min="6" max="16384" width="8.88671875" style="1" hidden="1"/>
  </cols>
  <sheetData>
    <row r="1" spans="2:4" ht="17.25" customHeight="1" thickBot="1" x14ac:dyDescent="0.35"/>
    <row r="2" spans="2:4" ht="21.75" customHeight="1" thickBot="1" x14ac:dyDescent="0.4">
      <c r="B2" s="215"/>
      <c r="C2" s="213" t="s">
        <v>231</v>
      </c>
      <c r="D2" s="216"/>
    </row>
    <row r="3" spans="2:4" ht="16.5" customHeight="1" x14ac:dyDescent="0.3">
      <c r="C3" s="20"/>
      <c r="D3" s="217" t="s">
        <v>232</v>
      </c>
    </row>
    <row r="4" spans="2:4" ht="16.5" customHeight="1" x14ac:dyDescent="0.3">
      <c r="C4" s="2"/>
      <c r="D4" s="2"/>
    </row>
    <row r="5" spans="2:4" ht="16.5" customHeight="1" x14ac:dyDescent="0.3">
      <c r="C5" s="19" t="s">
        <v>118</v>
      </c>
      <c r="D5" s="2"/>
    </row>
    <row r="6" spans="2:4" ht="16.5" customHeight="1" x14ac:dyDescent="0.3">
      <c r="C6" s="19" t="s">
        <v>246</v>
      </c>
      <c r="D6" s="2"/>
    </row>
    <row r="7" spans="2:4" ht="16.5" customHeight="1" x14ac:dyDescent="0.3">
      <c r="C7" s="19" t="s">
        <v>119</v>
      </c>
      <c r="D7" s="2"/>
    </row>
    <row r="8" spans="2:4" ht="16.5" customHeight="1" x14ac:dyDescent="0.3">
      <c r="C8" s="19"/>
      <c r="D8" s="2"/>
    </row>
    <row r="9" spans="2:4" ht="16.5" customHeight="1" x14ac:dyDescent="0.3">
      <c r="C9" s="20"/>
      <c r="D9" s="2"/>
    </row>
    <row r="10" spans="2:4" ht="78.75" customHeight="1" x14ac:dyDescent="0.3">
      <c r="C10" s="327" t="s">
        <v>244</v>
      </c>
      <c r="D10" s="327"/>
    </row>
    <row r="11" spans="2:4" ht="16.5" customHeight="1" x14ac:dyDescent="0.3">
      <c r="C11" s="18"/>
      <c r="D11" s="18"/>
    </row>
    <row r="12" spans="2:4" ht="16.5" customHeight="1" x14ac:dyDescent="0.3">
      <c r="C12" s="226" t="s">
        <v>243</v>
      </c>
      <c r="D12" s="18"/>
    </row>
    <row r="13" spans="2:4" ht="16.5" customHeight="1" x14ac:dyDescent="0.3">
      <c r="C13" s="218" t="s">
        <v>237</v>
      </c>
      <c r="D13" s="18"/>
    </row>
    <row r="14" spans="2:4" ht="16.5" customHeight="1" x14ac:dyDescent="0.3">
      <c r="C14" s="218" t="s">
        <v>238</v>
      </c>
      <c r="D14" s="18"/>
    </row>
    <row r="15" spans="2:4" ht="16.5" customHeight="1" x14ac:dyDescent="0.3">
      <c r="C15" s="218" t="s">
        <v>239</v>
      </c>
      <c r="D15" s="18"/>
    </row>
    <row r="16" spans="2:4" ht="33" customHeight="1" x14ac:dyDescent="0.3">
      <c r="C16" s="218" t="s">
        <v>240</v>
      </c>
      <c r="D16" s="18"/>
    </row>
    <row r="17" spans="2:4" ht="33" customHeight="1" x14ac:dyDescent="0.3">
      <c r="C17" s="218" t="s">
        <v>241</v>
      </c>
      <c r="D17" s="18"/>
    </row>
    <row r="18" spans="2:4" ht="33" customHeight="1" x14ac:dyDescent="0.3">
      <c r="C18" s="218" t="s">
        <v>242</v>
      </c>
      <c r="D18" s="18"/>
    </row>
    <row r="19" spans="2:4" ht="16.5" customHeight="1" x14ac:dyDescent="0.3">
      <c r="C19" s="18"/>
      <c r="D19" s="18"/>
    </row>
    <row r="20" spans="2:4" ht="16.5" customHeight="1" x14ac:dyDescent="0.3">
      <c r="C20" s="214" t="s">
        <v>233</v>
      </c>
      <c r="D20" s="18"/>
    </row>
    <row r="21" spans="2:4" ht="16.5" customHeight="1" x14ac:dyDescent="0.3">
      <c r="C21" s="37" t="s">
        <v>234</v>
      </c>
    </row>
    <row r="22" spans="2:4" ht="16.5" customHeight="1" x14ac:dyDescent="0.3">
      <c r="C22" s="37" t="s">
        <v>258</v>
      </c>
    </row>
    <row r="23" spans="2:4" ht="16.5" customHeight="1" x14ac:dyDescent="0.3">
      <c r="C23" s="220"/>
      <c r="D23" s="2"/>
    </row>
    <row r="24" spans="2:4" ht="16.5" customHeight="1" x14ac:dyDescent="0.3">
      <c r="C24" s="227" t="s">
        <v>245</v>
      </c>
      <c r="D24" s="219"/>
    </row>
    <row r="25" spans="2:4" ht="15.75" customHeight="1" thickBot="1" x14ac:dyDescent="0.35">
      <c r="C25" s="2"/>
      <c r="D25" s="2"/>
    </row>
    <row r="26" spans="2:4" ht="21.75" customHeight="1" thickBot="1" x14ac:dyDescent="0.4">
      <c r="B26" s="215"/>
      <c r="C26" s="325"/>
      <c r="D26" s="326"/>
    </row>
  </sheetData>
  <sheetProtection sheet="1" objects="1" scenarios="1"/>
  <mergeCells count="2">
    <mergeCell ref="C26:D26"/>
    <mergeCell ref="C10:D10"/>
  </mergeCells>
  <hyperlinks>
    <hyperlink ref="C22" r:id="rId1" display="Dairy Heifer Planning Budget" xr:uid="{8ED01DDB-D6B0-41F3-847F-D5C22AF8A90E}"/>
    <hyperlink ref="C21" r:id="rId2" display="Dairy (Confinement) Planning Budget" xr:uid="{F82CB577-1C68-4E3D-BE11-38477AD51BD3}"/>
  </hyperlinks>
  <pageMargins left="0.7" right="0.7" top="0.75" bottom="0.75" header="0.3" footer="0.3"/>
  <pageSetup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42"/>
  <sheetViews>
    <sheetView showGridLines="0" showOutlineSymbols="0" zoomScale="180" zoomScaleNormal="180" zoomScaleSheetLayoutView="120" workbookViewId="0">
      <selection activeCell="I14" sqref="I14"/>
    </sheetView>
  </sheetViews>
  <sheetFormatPr defaultColWidth="0" defaultRowHeight="13.5" customHeight="1" zeroHeight="1" x14ac:dyDescent="0.3"/>
  <cols>
    <col min="1" max="1" width="3.33203125" style="4" customWidth="1"/>
    <col min="2" max="2" width="33.6640625" style="4" customWidth="1"/>
    <col min="3" max="3" width="10.109375" style="4" customWidth="1"/>
    <col min="4" max="4" width="9.44140625" style="4" customWidth="1"/>
    <col min="5" max="5" width="8.5546875" style="4" customWidth="1"/>
    <col min="6" max="6" width="10.88671875" style="4" customWidth="1"/>
    <col min="7" max="7" width="8.5546875" style="4" customWidth="1"/>
    <col min="8" max="8" width="10.77734375" style="4" customWidth="1"/>
    <col min="9" max="9" width="3.33203125" style="4" customWidth="1"/>
    <col min="10" max="11" width="8.6640625" style="4" hidden="1" customWidth="1"/>
    <col min="12" max="13" width="8.88671875" style="4" hidden="1" customWidth="1"/>
    <col min="14" max="14" width="11.33203125" style="4" hidden="1" customWidth="1"/>
    <col min="15" max="21" width="8.88671875" style="4" hidden="1" customWidth="1"/>
    <col min="22" max="22" width="9.6640625" style="4" hidden="1" customWidth="1"/>
    <col min="23" max="26" width="8.88671875" style="4" hidden="1" customWidth="1"/>
    <col min="27" max="27" width="10.109375" style="4" hidden="1" customWidth="1"/>
    <col min="28" max="69" width="8.88671875" style="4" hidden="1" customWidth="1"/>
    <col min="70" max="16384" width="8.6640625" style="4" hidden="1"/>
  </cols>
  <sheetData>
    <row r="1" spans="2:19" ht="13.5" customHeight="1" thickBot="1" x14ac:dyDescent="0.35"/>
    <row r="2" spans="2:19" ht="21.75" customHeight="1" thickBot="1" x14ac:dyDescent="0.4">
      <c r="B2" s="328" t="s">
        <v>164</v>
      </c>
      <c r="C2" s="329"/>
      <c r="D2" s="330"/>
      <c r="E2" s="38"/>
      <c r="F2" s="38"/>
      <c r="G2" s="38"/>
      <c r="H2" s="39"/>
    </row>
    <row r="3" spans="2:19" ht="16.5" customHeight="1" x14ac:dyDescent="0.35">
      <c r="B3" s="40"/>
      <c r="C3" s="40"/>
      <c r="D3" s="40"/>
    </row>
    <row r="4" spans="2:19" ht="15.95" customHeight="1" x14ac:dyDescent="0.3">
      <c r="B4" s="41" t="s">
        <v>150</v>
      </c>
      <c r="C4" s="223" t="s">
        <v>28</v>
      </c>
      <c r="D4" s="43" t="s">
        <v>120</v>
      </c>
      <c r="E4" s="223" t="s">
        <v>28</v>
      </c>
      <c r="F4" s="43" t="s">
        <v>120</v>
      </c>
      <c r="G4" s="223" t="s">
        <v>28</v>
      </c>
      <c r="H4" s="43" t="s">
        <v>120</v>
      </c>
      <c r="I4" s="206"/>
      <c r="J4" s="3"/>
      <c r="K4" s="221"/>
      <c r="L4" s="199"/>
      <c r="M4" s="199"/>
      <c r="N4" s="199"/>
      <c r="O4" s="44"/>
      <c r="P4" s="44"/>
      <c r="Q4" s="44"/>
      <c r="R4" s="44"/>
      <c r="S4" s="44"/>
    </row>
    <row r="5" spans="2:19" ht="15.95" customHeight="1" x14ac:dyDescent="0.3">
      <c r="B5" s="44" t="s">
        <v>47</v>
      </c>
      <c r="C5" s="23">
        <v>275</v>
      </c>
      <c r="D5" s="45" t="s">
        <v>191</v>
      </c>
      <c r="E5" s="46">
        <f>C5/2000</f>
        <v>0.13750000000000001</v>
      </c>
      <c r="F5" s="45" t="s">
        <v>194</v>
      </c>
      <c r="G5" s="47">
        <f t="shared" ref="G5:G10" si="0">C5/20</f>
        <v>13.75</v>
      </c>
      <c r="H5" s="45" t="s">
        <v>179</v>
      </c>
      <c r="K5" s="44"/>
      <c r="L5" s="44"/>
      <c r="M5" s="44"/>
      <c r="N5" s="44"/>
      <c r="O5" s="202"/>
      <c r="P5" s="44"/>
      <c r="Q5" s="44"/>
      <c r="R5" s="44"/>
      <c r="S5" s="44"/>
    </row>
    <row r="6" spans="2:19" ht="15.95" customHeight="1" x14ac:dyDescent="0.3">
      <c r="B6" s="44" t="s">
        <v>257</v>
      </c>
      <c r="C6" s="23">
        <v>96</v>
      </c>
      <c r="D6" s="45" t="s">
        <v>191</v>
      </c>
      <c r="E6" s="46">
        <f t="shared" ref="E6:E21" si="1">C6/2000</f>
        <v>4.8000000000000001E-2</v>
      </c>
      <c r="F6" s="45" t="s">
        <v>194</v>
      </c>
      <c r="G6" s="47">
        <f t="shared" si="0"/>
        <v>4.8</v>
      </c>
      <c r="H6" s="45" t="s">
        <v>179</v>
      </c>
      <c r="I6" s="234"/>
      <c r="K6" s="44"/>
      <c r="L6" s="44"/>
      <c r="M6" s="44"/>
      <c r="N6" s="44"/>
      <c r="O6" s="44"/>
      <c r="P6" s="44"/>
      <c r="Q6" s="44"/>
      <c r="R6" s="44"/>
      <c r="S6" s="44"/>
    </row>
    <row r="7" spans="2:19" ht="15.95" customHeight="1" x14ac:dyDescent="0.3">
      <c r="B7" s="44" t="s">
        <v>62</v>
      </c>
      <c r="C7" s="23">
        <v>475</v>
      </c>
      <c r="D7" s="45" t="s">
        <v>191</v>
      </c>
      <c r="E7" s="46">
        <f t="shared" si="1"/>
        <v>0.23749999999999999</v>
      </c>
      <c r="F7" s="45" t="s">
        <v>194</v>
      </c>
      <c r="G7" s="47">
        <f t="shared" si="0"/>
        <v>23.75</v>
      </c>
      <c r="H7" s="45" t="s">
        <v>179</v>
      </c>
      <c r="I7" s="234"/>
      <c r="K7" s="44"/>
      <c r="L7" s="44"/>
      <c r="M7" s="44"/>
      <c r="N7" s="44"/>
      <c r="O7" s="44"/>
      <c r="P7" s="44"/>
      <c r="Q7" s="44"/>
      <c r="R7" s="44"/>
      <c r="S7" s="44"/>
    </row>
    <row r="8" spans="2:19" ht="15.95" customHeight="1" x14ac:dyDescent="0.3">
      <c r="B8" s="44" t="s">
        <v>104</v>
      </c>
      <c r="C8" s="23">
        <v>575</v>
      </c>
      <c r="D8" s="45" t="s">
        <v>191</v>
      </c>
      <c r="E8" s="46">
        <f t="shared" si="1"/>
        <v>0.28749999999999998</v>
      </c>
      <c r="F8" s="45" t="s">
        <v>194</v>
      </c>
      <c r="G8" s="47">
        <f t="shared" si="0"/>
        <v>28.75</v>
      </c>
      <c r="H8" s="45" t="s">
        <v>179</v>
      </c>
      <c r="I8" s="234"/>
      <c r="K8" s="44"/>
      <c r="L8" s="44"/>
      <c r="M8" s="44"/>
      <c r="N8" s="44"/>
      <c r="O8" s="44"/>
      <c r="P8" s="44"/>
      <c r="Q8" s="44"/>
      <c r="R8" s="44"/>
      <c r="S8" s="44"/>
    </row>
    <row r="9" spans="2:19" ht="15.95" customHeight="1" x14ac:dyDescent="0.3">
      <c r="B9" s="44" t="s">
        <v>49</v>
      </c>
      <c r="C9" s="23">
        <v>225</v>
      </c>
      <c r="D9" s="45" t="s">
        <v>191</v>
      </c>
      <c r="E9" s="46">
        <f t="shared" si="1"/>
        <v>0.1125</v>
      </c>
      <c r="F9" s="45" t="s">
        <v>194</v>
      </c>
      <c r="G9" s="47">
        <f t="shared" si="0"/>
        <v>11.25</v>
      </c>
      <c r="H9" s="45" t="s">
        <v>179</v>
      </c>
      <c r="I9" s="234"/>
      <c r="K9" s="44"/>
      <c r="L9" s="44"/>
      <c r="M9" s="44"/>
      <c r="N9" s="44"/>
      <c r="O9" s="202"/>
      <c r="P9" s="44"/>
      <c r="Q9" s="44"/>
      <c r="R9" s="44"/>
      <c r="S9" s="44"/>
    </row>
    <row r="10" spans="2:19" ht="15.95" customHeight="1" x14ac:dyDescent="0.3">
      <c r="B10" s="44" t="s">
        <v>46</v>
      </c>
      <c r="C10" s="23">
        <v>48</v>
      </c>
      <c r="D10" s="45" t="s">
        <v>191</v>
      </c>
      <c r="E10" s="46">
        <f t="shared" si="1"/>
        <v>2.4E-2</v>
      </c>
      <c r="F10" s="45" t="s">
        <v>194</v>
      </c>
      <c r="G10" s="47">
        <f t="shared" si="0"/>
        <v>2.4</v>
      </c>
      <c r="H10" s="45" t="s">
        <v>179</v>
      </c>
      <c r="I10" s="234"/>
      <c r="K10" s="44"/>
      <c r="L10" s="44"/>
      <c r="M10" s="44"/>
      <c r="N10" s="44"/>
      <c r="O10" s="44"/>
      <c r="P10" s="44"/>
      <c r="Q10" s="44"/>
      <c r="R10" s="44"/>
      <c r="S10" s="44"/>
    </row>
    <row r="11" spans="2:19" ht="15.95" customHeight="1" x14ac:dyDescent="0.3">
      <c r="B11" s="44" t="s">
        <v>55</v>
      </c>
      <c r="C11" s="23">
        <v>6.4</v>
      </c>
      <c r="D11" s="45" t="s">
        <v>192</v>
      </c>
      <c r="E11" s="46">
        <f>C11/56</f>
        <v>0.1142857142857143</v>
      </c>
      <c r="F11" s="45" t="s">
        <v>194</v>
      </c>
      <c r="G11" s="47">
        <f>C11/56*100</f>
        <v>11.428571428571429</v>
      </c>
      <c r="H11" s="45" t="s">
        <v>179</v>
      </c>
      <c r="I11" s="234"/>
      <c r="K11" s="44"/>
      <c r="L11" s="44"/>
      <c r="M11" s="44"/>
      <c r="N11" s="44"/>
      <c r="O11" s="44"/>
      <c r="P11" s="44"/>
      <c r="Q11" s="44"/>
      <c r="R11" s="44"/>
      <c r="S11" s="44"/>
    </row>
    <row r="12" spans="2:19" ht="15.95" customHeight="1" x14ac:dyDescent="0.3">
      <c r="B12" s="44" t="s">
        <v>78</v>
      </c>
      <c r="C12" s="23">
        <v>6.27</v>
      </c>
      <c r="D12" s="45" t="s">
        <v>192</v>
      </c>
      <c r="E12" s="46">
        <f>C12/56</f>
        <v>0.11196428571428571</v>
      </c>
      <c r="F12" s="45" t="s">
        <v>194</v>
      </c>
      <c r="G12" s="47">
        <f>C12/56*100</f>
        <v>11.196428571428571</v>
      </c>
      <c r="H12" s="45" t="s">
        <v>179</v>
      </c>
      <c r="I12" s="234"/>
      <c r="K12" s="44"/>
      <c r="L12" s="44"/>
      <c r="M12" s="44"/>
      <c r="N12" s="44"/>
      <c r="O12" s="44"/>
      <c r="P12" s="44"/>
      <c r="Q12" s="44"/>
      <c r="R12" s="44"/>
      <c r="S12" s="44"/>
    </row>
    <row r="13" spans="2:19" ht="15.95" customHeight="1" x14ac:dyDescent="0.3">
      <c r="B13" s="44" t="s">
        <v>51</v>
      </c>
      <c r="C13" s="23">
        <v>190</v>
      </c>
      <c r="D13" s="45" t="s">
        <v>191</v>
      </c>
      <c r="E13" s="46">
        <f t="shared" si="1"/>
        <v>9.5000000000000001E-2</v>
      </c>
      <c r="F13" s="45" t="s">
        <v>194</v>
      </c>
      <c r="G13" s="47">
        <f t="shared" ref="G13:G17" si="2">C13/20</f>
        <v>9.5</v>
      </c>
      <c r="H13" s="45" t="s">
        <v>179</v>
      </c>
      <c r="I13" s="234"/>
      <c r="K13" s="222"/>
      <c r="L13" s="44"/>
      <c r="M13" s="44"/>
      <c r="N13" s="44"/>
      <c r="O13" s="202"/>
      <c r="P13" s="44"/>
      <c r="Q13" s="44"/>
      <c r="R13" s="44"/>
      <c r="S13" s="44"/>
    </row>
    <row r="14" spans="2:19" ht="15.95" customHeight="1" x14ac:dyDescent="0.3">
      <c r="B14" s="44" t="s">
        <v>48</v>
      </c>
      <c r="C14" s="23">
        <v>110</v>
      </c>
      <c r="D14" s="45" t="s">
        <v>191</v>
      </c>
      <c r="E14" s="46">
        <f t="shared" si="1"/>
        <v>5.5E-2</v>
      </c>
      <c r="F14" s="45" t="s">
        <v>194</v>
      </c>
      <c r="G14" s="47">
        <f t="shared" si="2"/>
        <v>5.5</v>
      </c>
      <c r="H14" s="45" t="s">
        <v>179</v>
      </c>
      <c r="K14" s="44"/>
      <c r="L14" s="44"/>
      <c r="M14" s="44"/>
      <c r="N14" s="44"/>
      <c r="O14" s="202"/>
      <c r="P14" s="44"/>
      <c r="Q14" s="44"/>
      <c r="R14" s="44"/>
      <c r="S14" s="44"/>
    </row>
    <row r="15" spans="2:19" ht="15.95" customHeight="1" x14ac:dyDescent="0.3">
      <c r="B15" s="44" t="s">
        <v>61</v>
      </c>
      <c r="C15" s="47">
        <f>E15*2000</f>
        <v>3400</v>
      </c>
      <c r="D15" s="45" t="s">
        <v>191</v>
      </c>
      <c r="E15" s="237">
        <v>1.7</v>
      </c>
      <c r="F15" s="45" t="s">
        <v>194</v>
      </c>
      <c r="G15" s="47">
        <f t="shared" si="2"/>
        <v>170</v>
      </c>
      <c r="H15" s="45" t="s">
        <v>179</v>
      </c>
      <c r="I15" s="234"/>
      <c r="K15" s="44"/>
      <c r="L15" s="44"/>
      <c r="M15" s="202"/>
      <c r="N15" s="44"/>
      <c r="O15" s="44"/>
      <c r="P15" s="44"/>
      <c r="Q15" s="44"/>
      <c r="R15" s="44"/>
      <c r="S15" s="44"/>
    </row>
    <row r="16" spans="2:19" ht="15.95" customHeight="1" x14ac:dyDescent="0.3">
      <c r="B16" s="44" t="s">
        <v>67</v>
      </c>
      <c r="C16" s="23">
        <v>1000</v>
      </c>
      <c r="D16" s="45" t="s">
        <v>191</v>
      </c>
      <c r="E16" s="46">
        <f t="shared" si="1"/>
        <v>0.5</v>
      </c>
      <c r="F16" s="45" t="s">
        <v>194</v>
      </c>
      <c r="G16" s="47">
        <f t="shared" si="2"/>
        <v>50</v>
      </c>
      <c r="H16" s="45" t="s">
        <v>179</v>
      </c>
      <c r="I16" s="234"/>
      <c r="K16" s="44"/>
      <c r="L16" s="44"/>
      <c r="M16" s="44"/>
      <c r="N16" s="44"/>
      <c r="O16" s="44"/>
      <c r="P16" s="44"/>
      <c r="Q16" s="44"/>
      <c r="R16" s="44"/>
      <c r="S16" s="44"/>
    </row>
    <row r="17" spans="2:30" ht="15.95" customHeight="1" x14ac:dyDescent="0.3">
      <c r="B17" s="44" t="s">
        <v>54</v>
      </c>
      <c r="C17" s="23">
        <v>2000</v>
      </c>
      <c r="D17" s="45" t="s">
        <v>191</v>
      </c>
      <c r="E17" s="46">
        <f t="shared" si="1"/>
        <v>1</v>
      </c>
      <c r="F17" s="45" t="s">
        <v>194</v>
      </c>
      <c r="G17" s="47">
        <f t="shared" si="2"/>
        <v>100</v>
      </c>
      <c r="H17" s="45" t="s">
        <v>179</v>
      </c>
      <c r="I17" s="234"/>
      <c r="K17" s="44"/>
      <c r="L17" s="44"/>
      <c r="M17" s="44"/>
      <c r="N17" s="44"/>
      <c r="O17" s="44"/>
      <c r="P17" s="44"/>
      <c r="Q17" s="44"/>
      <c r="R17" s="44"/>
      <c r="S17" s="44"/>
    </row>
    <row r="18" spans="2:30" ht="15.95" customHeight="1" x14ac:dyDescent="0.3">
      <c r="B18" s="44" t="s">
        <v>63</v>
      </c>
      <c r="C18" s="23">
        <v>30</v>
      </c>
      <c r="D18" s="45" t="s">
        <v>193</v>
      </c>
      <c r="E18" s="46"/>
      <c r="F18" s="45"/>
      <c r="G18" s="47"/>
      <c r="H18" s="45"/>
      <c r="I18" s="234"/>
      <c r="K18" s="44"/>
      <c r="L18" s="44"/>
      <c r="M18" s="44"/>
      <c r="N18" s="44"/>
      <c r="O18" s="44"/>
      <c r="P18" s="44"/>
      <c r="Q18" s="44"/>
      <c r="R18" s="44"/>
      <c r="S18" s="44"/>
    </row>
    <row r="19" spans="2:30" ht="15.95" customHeight="1" x14ac:dyDescent="0.3">
      <c r="B19" s="44" t="s">
        <v>52</v>
      </c>
      <c r="C19" s="23">
        <v>145</v>
      </c>
      <c r="D19" s="45" t="s">
        <v>191</v>
      </c>
      <c r="E19" s="46">
        <f t="shared" si="1"/>
        <v>7.2499999999999995E-2</v>
      </c>
      <c r="F19" s="45" t="s">
        <v>194</v>
      </c>
      <c r="G19" s="47">
        <f t="shared" ref="G19:G21" si="3">C19/20</f>
        <v>7.25</v>
      </c>
      <c r="H19" s="45" t="s">
        <v>179</v>
      </c>
      <c r="I19" s="234"/>
      <c r="K19" s="44"/>
      <c r="L19" s="44"/>
      <c r="M19" s="44"/>
      <c r="N19" s="44"/>
      <c r="O19" s="202"/>
      <c r="P19" s="44"/>
      <c r="Q19" s="44"/>
      <c r="R19" s="44"/>
      <c r="S19" s="44"/>
    </row>
    <row r="20" spans="2:30" ht="15.95" customHeight="1" x14ac:dyDescent="0.3">
      <c r="B20" s="44" t="s">
        <v>50</v>
      </c>
      <c r="C20" s="23">
        <v>385</v>
      </c>
      <c r="D20" s="45" t="s">
        <v>191</v>
      </c>
      <c r="E20" s="46">
        <f t="shared" si="1"/>
        <v>0.1925</v>
      </c>
      <c r="F20" s="45" t="s">
        <v>194</v>
      </c>
      <c r="G20" s="47">
        <f t="shared" si="3"/>
        <v>19.25</v>
      </c>
      <c r="H20" s="45" t="s">
        <v>179</v>
      </c>
      <c r="K20" s="228"/>
      <c r="L20" s="44"/>
      <c r="M20" s="44"/>
      <c r="N20" s="44"/>
      <c r="O20" s="202"/>
      <c r="P20" s="44"/>
      <c r="Q20" s="44"/>
      <c r="R20" s="44"/>
      <c r="S20" s="44"/>
    </row>
    <row r="21" spans="2:30" ht="15.95" customHeight="1" x14ac:dyDescent="0.3">
      <c r="B21" s="44" t="s">
        <v>53</v>
      </c>
      <c r="C21" s="23">
        <v>375</v>
      </c>
      <c r="D21" s="45" t="s">
        <v>191</v>
      </c>
      <c r="E21" s="46">
        <f t="shared" si="1"/>
        <v>0.1875</v>
      </c>
      <c r="F21" s="45" t="s">
        <v>194</v>
      </c>
      <c r="G21" s="47">
        <f t="shared" si="3"/>
        <v>18.75</v>
      </c>
      <c r="H21" s="45" t="s">
        <v>179</v>
      </c>
      <c r="K21" s="44"/>
      <c r="L21" s="44"/>
      <c r="M21" s="44"/>
      <c r="N21" s="44"/>
      <c r="O21" s="202"/>
      <c r="P21" s="44"/>
      <c r="Q21" s="44"/>
      <c r="R21" s="202"/>
      <c r="S21" s="44"/>
      <c r="AA21" s="45" t="s">
        <v>251</v>
      </c>
    </row>
    <row r="22" spans="2:30" ht="15.95" customHeight="1" x14ac:dyDescent="0.3">
      <c r="B22" s="44"/>
      <c r="C22" s="44"/>
      <c r="D22" s="44"/>
      <c r="E22" s="44"/>
      <c r="F22" s="44"/>
      <c r="G22" s="44"/>
      <c r="H22" s="44"/>
      <c r="K22" s="44"/>
      <c r="L22" s="44"/>
      <c r="M22" s="44"/>
      <c r="N22" s="44"/>
      <c r="O22" s="44"/>
      <c r="P22" s="44"/>
      <c r="Q22" s="44"/>
      <c r="R22" s="44"/>
      <c r="S22" s="44"/>
      <c r="AA22" s="45"/>
      <c r="AB22" s="174" t="s">
        <v>247</v>
      </c>
      <c r="AC22" s="45"/>
      <c r="AD22" s="45"/>
    </row>
    <row r="23" spans="2:30" ht="15.95" customHeight="1" x14ac:dyDescent="0.3">
      <c r="B23" s="41" t="s">
        <v>151</v>
      </c>
      <c r="C23" s="223" t="s">
        <v>28</v>
      </c>
      <c r="D23" s="43" t="s">
        <v>120</v>
      </c>
      <c r="E23" s="42" t="s">
        <v>28</v>
      </c>
      <c r="F23" s="43" t="s">
        <v>120</v>
      </c>
      <c r="G23" s="42" t="s">
        <v>28</v>
      </c>
      <c r="H23" s="43" t="s">
        <v>120</v>
      </c>
      <c r="K23" s="44"/>
      <c r="L23" s="44"/>
      <c r="M23" s="44"/>
      <c r="N23" s="44"/>
      <c r="O23" s="44"/>
      <c r="P23" s="44"/>
      <c r="Q23" s="44"/>
      <c r="R23" s="44"/>
      <c r="S23" s="44"/>
      <c r="T23" s="44"/>
      <c r="U23" s="44"/>
      <c r="AA23" s="45"/>
      <c r="AB23" s="45" t="s">
        <v>248</v>
      </c>
      <c r="AC23" s="45" t="s">
        <v>249</v>
      </c>
      <c r="AD23" s="45" t="s">
        <v>250</v>
      </c>
    </row>
    <row r="24" spans="2:30" ht="15.95" customHeight="1" x14ac:dyDescent="0.3">
      <c r="B24" s="44" t="s">
        <v>152</v>
      </c>
      <c r="C24" s="23">
        <v>21.25</v>
      </c>
      <c r="D24" s="45" t="s">
        <v>179</v>
      </c>
      <c r="E24" s="48"/>
      <c r="F24" s="44"/>
      <c r="G24" s="44"/>
      <c r="H24" s="44"/>
      <c r="K24" s="44"/>
      <c r="L24" s="44"/>
      <c r="M24" s="44"/>
      <c r="N24" s="44"/>
      <c r="O24" s="202"/>
      <c r="P24" s="44"/>
      <c r="Q24" s="44"/>
      <c r="R24" s="44"/>
      <c r="S24" s="44"/>
      <c r="T24" s="44"/>
      <c r="U24" s="44"/>
      <c r="AA24" s="146">
        <v>2023</v>
      </c>
      <c r="AB24" s="178">
        <v>21.06</v>
      </c>
      <c r="AC24" s="229">
        <v>20.48</v>
      </c>
      <c r="AD24" s="229">
        <f>AB24-AC24</f>
        <v>0.57999999999999829</v>
      </c>
    </row>
    <row r="25" spans="2:30" ht="15.95" customHeight="1" x14ac:dyDescent="0.3">
      <c r="B25" s="44" t="s">
        <v>226</v>
      </c>
      <c r="C25" s="23">
        <v>700</v>
      </c>
      <c r="D25" s="45" t="s">
        <v>181</v>
      </c>
      <c r="E25" s="21">
        <v>0.5</v>
      </c>
      <c r="F25" s="45" t="s">
        <v>149</v>
      </c>
      <c r="G25" s="44"/>
      <c r="H25" s="44"/>
      <c r="K25" s="44"/>
      <c r="L25" s="44"/>
      <c r="M25" s="44"/>
      <c r="N25" s="44"/>
      <c r="O25" s="202"/>
      <c r="P25" s="44"/>
      <c r="Q25" s="44"/>
      <c r="R25" s="202"/>
      <c r="S25" s="44"/>
      <c r="T25" s="44"/>
      <c r="U25" s="44"/>
      <c r="V25" s="17"/>
      <c r="AA25" s="146">
        <v>2024</v>
      </c>
      <c r="AB25" s="178">
        <v>22.3</v>
      </c>
      <c r="AC25" s="229">
        <v>22.6</v>
      </c>
      <c r="AD25" s="229">
        <f t="shared" ref="AD25:AD26" si="4">AB25-AC25</f>
        <v>-0.30000000000000071</v>
      </c>
    </row>
    <row r="26" spans="2:30" ht="15.95" customHeight="1" x14ac:dyDescent="0.3">
      <c r="B26" s="44" t="s">
        <v>227</v>
      </c>
      <c r="C26" s="23">
        <v>1100</v>
      </c>
      <c r="D26" s="45" t="s">
        <v>181</v>
      </c>
      <c r="E26" s="21">
        <v>0.5</v>
      </c>
      <c r="F26" s="45" t="s">
        <v>149</v>
      </c>
      <c r="G26" s="44"/>
      <c r="H26" s="44"/>
      <c r="K26" s="44"/>
      <c r="L26" s="44"/>
      <c r="M26" s="44"/>
      <c r="N26" s="44"/>
      <c r="O26" s="202"/>
      <c r="P26" s="44"/>
      <c r="Q26" s="44"/>
      <c r="R26" s="44"/>
      <c r="S26" s="44"/>
      <c r="T26" s="140"/>
      <c r="U26" s="44"/>
      <c r="AA26" s="146">
        <v>2025</v>
      </c>
      <c r="AB26" s="178">
        <v>21.42</v>
      </c>
      <c r="AC26" s="229">
        <v>21.18</v>
      </c>
      <c r="AD26" s="229">
        <f t="shared" si="4"/>
        <v>0.24000000000000199</v>
      </c>
    </row>
    <row r="27" spans="2:30" ht="15.95" customHeight="1" x14ac:dyDescent="0.3">
      <c r="B27" s="44" t="s">
        <v>228</v>
      </c>
      <c r="C27" s="47">
        <f>(C25*E25)+(C26*E26)</f>
        <v>900</v>
      </c>
      <c r="D27" s="45" t="s">
        <v>181</v>
      </c>
      <c r="E27" s="45"/>
      <c r="F27" s="45"/>
      <c r="G27" s="44"/>
      <c r="H27" s="44"/>
      <c r="K27" s="44"/>
      <c r="L27" s="44"/>
      <c r="M27" s="44"/>
      <c r="N27" s="44"/>
      <c r="O27" s="44"/>
      <c r="P27" s="44"/>
      <c r="Q27" s="44"/>
      <c r="R27" s="44"/>
      <c r="S27" s="44"/>
      <c r="T27" s="44"/>
      <c r="U27" s="44"/>
      <c r="AA27" s="231" t="s">
        <v>252</v>
      </c>
      <c r="AB27" s="178">
        <v>21.54</v>
      </c>
      <c r="AC27" s="229">
        <f>(18.5+21.07)/2</f>
        <v>19.785</v>
      </c>
      <c r="AD27" s="229"/>
    </row>
    <row r="28" spans="2:30" ht="15.95" customHeight="1" x14ac:dyDescent="0.3">
      <c r="B28" s="44" t="s">
        <v>224</v>
      </c>
      <c r="C28" s="23">
        <v>700</v>
      </c>
      <c r="D28" s="45" t="s">
        <v>181</v>
      </c>
      <c r="E28" s="21">
        <v>0.7</v>
      </c>
      <c r="F28" s="45" t="s">
        <v>149</v>
      </c>
      <c r="G28" s="10">
        <v>90</v>
      </c>
      <c r="H28" s="45" t="s">
        <v>121</v>
      </c>
      <c r="K28" s="44"/>
      <c r="L28" s="44"/>
      <c r="M28" s="44"/>
      <c r="N28" s="44"/>
      <c r="O28" s="44"/>
      <c r="P28" s="202"/>
      <c r="Q28" s="44"/>
      <c r="R28" s="44"/>
      <c r="S28" s="44"/>
      <c r="T28" s="44"/>
      <c r="U28" s="44"/>
      <c r="V28" s="17"/>
    </row>
    <row r="29" spans="2:30" ht="15.95" customHeight="1" x14ac:dyDescent="0.3">
      <c r="B29" s="44" t="s">
        <v>225</v>
      </c>
      <c r="C29" s="23">
        <v>1100</v>
      </c>
      <c r="D29" s="45" t="s">
        <v>181</v>
      </c>
      <c r="E29" s="21">
        <v>0.3</v>
      </c>
      <c r="F29" s="45" t="s">
        <v>149</v>
      </c>
      <c r="G29" s="44"/>
      <c r="H29" s="44"/>
      <c r="K29" s="44"/>
      <c r="L29" s="44"/>
      <c r="M29" s="44"/>
      <c r="N29" s="44"/>
      <c r="O29" s="202"/>
      <c r="P29" s="44"/>
      <c r="Q29" s="44"/>
      <c r="R29" s="44"/>
      <c r="S29" s="44"/>
      <c r="T29" s="44"/>
      <c r="U29" s="44"/>
      <c r="AD29" s="230"/>
    </row>
    <row r="30" spans="2:30" ht="15.95" customHeight="1" x14ac:dyDescent="0.3">
      <c r="B30" s="44" t="s">
        <v>153</v>
      </c>
      <c r="C30" s="47">
        <f>(C28*E28)+(C29*E29)</f>
        <v>820</v>
      </c>
      <c r="D30" s="45" t="s">
        <v>181</v>
      </c>
      <c r="G30" s="44"/>
      <c r="H30" s="44"/>
      <c r="K30" s="44"/>
      <c r="L30" s="44"/>
      <c r="M30" s="44"/>
      <c r="N30" s="44"/>
      <c r="O30" s="44"/>
      <c r="P30" s="44"/>
      <c r="Q30" s="44"/>
      <c r="R30" s="44"/>
      <c r="S30" s="44"/>
      <c r="T30" s="44"/>
      <c r="U30" s="44"/>
    </row>
    <row r="31" spans="2:30" ht="15.95" customHeight="1" x14ac:dyDescent="0.3">
      <c r="B31" s="44" t="s">
        <v>100</v>
      </c>
      <c r="C31" s="23">
        <v>130</v>
      </c>
      <c r="D31" s="45" t="s">
        <v>179</v>
      </c>
      <c r="E31" s="44"/>
      <c r="F31" s="50"/>
      <c r="G31" s="44"/>
      <c r="H31" s="44"/>
      <c r="K31" s="44"/>
      <c r="L31" s="44"/>
      <c r="M31" s="44"/>
      <c r="N31" s="44"/>
      <c r="O31" s="202"/>
      <c r="P31" s="44"/>
      <c r="Q31" s="44"/>
      <c r="R31" s="44"/>
      <c r="S31" s="44"/>
      <c r="T31" s="44"/>
      <c r="U31" s="44"/>
    </row>
    <row r="32" spans="2:30" ht="15.95" customHeight="1" x14ac:dyDescent="0.3">
      <c r="B32" s="44" t="s">
        <v>102</v>
      </c>
      <c r="C32" s="22">
        <v>0.01</v>
      </c>
      <c r="D32" s="45" t="s">
        <v>177</v>
      </c>
      <c r="E32" s="44"/>
      <c r="F32" s="44"/>
      <c r="G32" s="44"/>
      <c r="H32" s="44"/>
      <c r="I32" s="5"/>
      <c r="J32" s="3"/>
      <c r="K32" s="44"/>
      <c r="L32" s="199"/>
      <c r="M32" s="199"/>
      <c r="N32" s="199"/>
      <c r="O32" s="44"/>
      <c r="P32" s="44"/>
      <c r="Q32" s="44"/>
      <c r="R32" s="44"/>
      <c r="S32" s="44"/>
      <c r="T32" s="44"/>
      <c r="U32" s="44"/>
    </row>
    <row r="33" spans="2:21" ht="15.95" customHeight="1" x14ac:dyDescent="0.3">
      <c r="B33" s="44" t="s">
        <v>210</v>
      </c>
      <c r="C33" s="22">
        <v>7.0000000000000007E-2</v>
      </c>
      <c r="D33" s="45" t="s">
        <v>177</v>
      </c>
      <c r="E33" s="44"/>
      <c r="F33" s="44"/>
      <c r="G33" s="44"/>
      <c r="H33" s="44"/>
      <c r="I33" s="5"/>
      <c r="J33" s="3"/>
      <c r="K33" s="44"/>
      <c r="L33" s="199"/>
      <c r="M33" s="199"/>
      <c r="N33" s="199"/>
      <c r="O33" s="44"/>
      <c r="P33" s="44"/>
      <c r="Q33" s="44"/>
      <c r="R33" s="44"/>
      <c r="S33" s="44"/>
      <c r="T33" s="44"/>
      <c r="U33" s="44"/>
    </row>
    <row r="34" spans="2:21" ht="15.95" customHeight="1" x14ac:dyDescent="0.3">
      <c r="B34" s="44" t="s">
        <v>209</v>
      </c>
      <c r="C34" s="22">
        <v>7.4999999999999997E-2</v>
      </c>
      <c r="D34" s="45" t="s">
        <v>177</v>
      </c>
      <c r="E34" s="44"/>
      <c r="F34" s="44"/>
      <c r="G34" s="44"/>
      <c r="H34" s="44"/>
      <c r="I34" s="5"/>
      <c r="J34" s="3"/>
      <c r="K34" s="44"/>
      <c r="L34" s="199"/>
      <c r="M34" s="199"/>
      <c r="N34" s="199"/>
      <c r="O34" s="44"/>
      <c r="P34" s="44"/>
      <c r="Q34" s="44"/>
      <c r="R34" s="44"/>
      <c r="S34" s="44"/>
      <c r="T34" s="44"/>
    </row>
    <row r="35" spans="2:21" ht="17.25" hidden="1" customHeight="1" x14ac:dyDescent="0.3"/>
    <row r="36" spans="2:21" ht="13.5" hidden="1" customHeight="1" x14ac:dyDescent="0.3">
      <c r="I36" s="6"/>
    </row>
    <row r="38" spans="2:21" ht="13.5" hidden="1" customHeight="1" x14ac:dyDescent="0.3">
      <c r="B38" s="51"/>
    </row>
    <row r="39" spans="2:21" ht="13.5" hidden="1" customHeight="1" x14ac:dyDescent="0.3">
      <c r="B39" s="52"/>
    </row>
    <row r="41" spans="2:21" ht="13.5" hidden="1" customHeight="1" x14ac:dyDescent="0.3">
      <c r="B41" s="5"/>
    </row>
    <row r="42" spans="2:21" ht="13.5" hidden="1" customHeight="1" x14ac:dyDescent="0.3">
      <c r="B42" s="5"/>
    </row>
  </sheetData>
  <sheetProtection sheet="1" objects="1" scenarios="1"/>
  <mergeCells count="1">
    <mergeCell ref="B2:D2"/>
  </mergeCells>
  <phoneticPr fontId="0" type="noConversion"/>
  <pageMargins left="0.25" right="0.25" top="0.75" bottom="0.75" header="0.3" footer="0.3"/>
  <pageSetup scale="86" orientation="portrait" r:id="rId1"/>
  <headerFooter alignWithMargins="0"/>
  <ignoredErrors>
    <ignoredError sqref="C15"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6"/>
  <sheetViews>
    <sheetView showGridLines="0" showOutlineSymbols="0" zoomScale="140" zoomScaleNormal="140" zoomScaleSheetLayoutView="80" workbookViewId="0">
      <selection activeCell="F31" sqref="F31"/>
    </sheetView>
  </sheetViews>
  <sheetFormatPr defaultColWidth="9.6640625" defaultRowHeight="15.75" zeroHeight="1" x14ac:dyDescent="0.25"/>
  <cols>
    <col min="1" max="1" width="2.77734375" style="44" customWidth="1"/>
    <col min="2" max="2" width="21.77734375" style="44" customWidth="1"/>
    <col min="3" max="6" width="9.77734375" style="44" customWidth="1"/>
    <col min="7" max="7" width="15.6640625" style="44" customWidth="1"/>
    <col min="8" max="9" width="9.33203125" style="44" customWidth="1"/>
    <col min="10" max="10" width="3.33203125" style="44" customWidth="1"/>
    <col min="11" max="11" width="16.77734375" style="44" customWidth="1"/>
    <col min="12" max="12" width="10.21875" style="44" customWidth="1"/>
    <col min="13" max="13" width="11.6640625" style="44" customWidth="1"/>
    <col min="14" max="14" width="10" style="44" customWidth="1"/>
    <col min="15" max="15" width="9.109375" style="44" customWidth="1"/>
    <col min="16" max="16" width="8.77734375" style="44" customWidth="1"/>
    <col min="17" max="18" width="7.77734375" style="44" customWidth="1"/>
    <col min="19" max="19" width="3.33203125" style="44" customWidth="1"/>
    <col min="20" max="20" width="16.77734375" style="44" customWidth="1"/>
    <col min="21" max="21" width="10.44140625" style="53" customWidth="1"/>
    <col min="22" max="22" width="11.5546875" style="53" customWidth="1"/>
    <col min="23" max="23" width="9.88671875" style="53" customWidth="1"/>
    <col min="24" max="24" width="9" style="53" customWidth="1"/>
    <col min="25" max="25" width="8.33203125" style="53" customWidth="1"/>
    <col min="26" max="27" width="7.77734375" style="44" customWidth="1"/>
    <col min="28" max="16384" width="9.6640625" style="44"/>
  </cols>
  <sheetData>
    <row r="1" spans="1:28" ht="16.5" thickBot="1" x14ac:dyDescent="0.3"/>
    <row r="2" spans="1:28" ht="21.75" customHeight="1" thickBot="1" x14ac:dyDescent="0.4">
      <c r="B2" s="331" t="s">
        <v>163</v>
      </c>
      <c r="C2" s="332"/>
      <c r="D2" s="332"/>
      <c r="E2" s="56"/>
      <c r="F2" s="56"/>
      <c r="G2" s="56"/>
      <c r="H2" s="56"/>
      <c r="I2" s="56"/>
      <c r="J2" s="56"/>
      <c r="K2" s="56"/>
      <c r="L2" s="56"/>
      <c r="M2" s="56"/>
      <c r="N2" s="56"/>
      <c r="O2" s="56"/>
      <c r="P2" s="56"/>
      <c r="Q2" s="56"/>
      <c r="R2" s="56"/>
      <c r="S2" s="56"/>
      <c r="T2" s="56"/>
      <c r="U2" s="57"/>
      <c r="V2" s="57"/>
      <c r="W2" s="57"/>
      <c r="X2" s="57"/>
      <c r="Y2" s="57"/>
      <c r="Z2" s="56"/>
      <c r="AA2" s="58"/>
    </row>
    <row r="3" spans="1:28" ht="15.95" customHeight="1" x14ac:dyDescent="0.25">
      <c r="B3" s="59"/>
      <c r="Q3" s="60"/>
      <c r="R3" s="60"/>
      <c r="Z3" s="60"/>
      <c r="AA3" s="60"/>
    </row>
    <row r="4" spans="1:28" ht="15.95" customHeight="1" x14ac:dyDescent="0.25">
      <c r="B4" s="61" t="s">
        <v>155</v>
      </c>
      <c r="C4" s="62"/>
      <c r="D4" s="62"/>
      <c r="E4" s="62"/>
      <c r="F4" s="62"/>
      <c r="G4" s="62"/>
      <c r="K4" s="63" t="s">
        <v>236</v>
      </c>
      <c r="L4" s="63" t="s">
        <v>156</v>
      </c>
      <c r="M4" s="63"/>
      <c r="N4" s="64"/>
      <c r="O4" s="64" t="s">
        <v>30</v>
      </c>
      <c r="P4" s="9">
        <v>307</v>
      </c>
      <c r="Q4" s="333"/>
      <c r="R4" s="333"/>
      <c r="S4" s="53"/>
      <c r="T4" s="63" t="s">
        <v>158</v>
      </c>
      <c r="U4" s="63" t="s">
        <v>156</v>
      </c>
      <c r="V4" s="63"/>
      <c r="W4" s="64"/>
      <c r="X4" s="64" t="s">
        <v>30</v>
      </c>
      <c r="Y4" s="64">
        <f>P4</f>
        <v>307</v>
      </c>
      <c r="Z4" s="333"/>
      <c r="AA4" s="333"/>
      <c r="AB4" s="65"/>
    </row>
    <row r="5" spans="1:28" ht="15.95" customHeight="1" x14ac:dyDescent="0.25">
      <c r="B5" s="66"/>
      <c r="C5" s="67" t="s">
        <v>154</v>
      </c>
      <c r="D5" s="67"/>
      <c r="E5" s="67"/>
      <c r="F5" s="67"/>
      <c r="G5" s="66"/>
      <c r="H5" s="66"/>
      <c r="I5" s="66"/>
      <c r="K5" s="66" t="s">
        <v>160</v>
      </c>
      <c r="L5" s="68" t="s">
        <v>255</v>
      </c>
      <c r="M5" s="68" t="s">
        <v>256</v>
      </c>
      <c r="N5" s="68" t="s">
        <v>162</v>
      </c>
      <c r="O5" s="68" t="s">
        <v>31</v>
      </c>
      <c r="P5" s="68" t="s">
        <v>32</v>
      </c>
      <c r="Q5" s="68" t="s">
        <v>36</v>
      </c>
      <c r="R5" s="68" t="s">
        <v>35</v>
      </c>
      <c r="S5" s="53"/>
      <c r="T5" s="66" t="s">
        <v>160</v>
      </c>
      <c r="U5" s="68" t="s">
        <v>255</v>
      </c>
      <c r="V5" s="68" t="s">
        <v>256</v>
      </c>
      <c r="W5" s="68" t="s">
        <v>162</v>
      </c>
      <c r="X5" s="68" t="s">
        <v>31</v>
      </c>
      <c r="Y5" s="68" t="s">
        <v>32</v>
      </c>
      <c r="Z5" s="68" t="s">
        <v>36</v>
      </c>
      <c r="AA5" s="68" t="s">
        <v>35</v>
      </c>
      <c r="AB5" s="65"/>
    </row>
    <row r="6" spans="1:28" ht="15.95" customHeight="1" x14ac:dyDescent="0.25">
      <c r="C6" s="69"/>
      <c r="D6" s="69"/>
      <c r="E6" s="69"/>
      <c r="F6" s="69"/>
      <c r="G6" s="44" t="s">
        <v>99</v>
      </c>
      <c r="H6" s="69" t="s">
        <v>26</v>
      </c>
      <c r="I6" s="69"/>
      <c r="K6" s="44" t="str">
        <f t="shared" ref="K6:K15" si="0">B10</f>
        <v>Corn silage</v>
      </c>
      <c r="L6" s="24">
        <v>52</v>
      </c>
      <c r="M6" s="238">
        <f>L6*Q6</f>
        <v>18.2</v>
      </c>
      <c r="N6" s="25">
        <v>0.15</v>
      </c>
      <c r="O6" s="70">
        <f>L6*(1+N6)</f>
        <v>59.8</v>
      </c>
      <c r="P6" s="71">
        <f t="shared" ref="P6:P15" si="1">O6*Y$4</f>
        <v>18358.599999999999</v>
      </c>
      <c r="Q6" s="26">
        <v>0.35</v>
      </c>
      <c r="R6" s="72">
        <f>+P6*Q6</f>
        <v>6425.5099999999993</v>
      </c>
      <c r="S6" s="236"/>
      <c r="T6" s="44" t="str">
        <f t="shared" ref="T6:T15" si="2">B10</f>
        <v>Corn silage</v>
      </c>
      <c r="U6" s="24">
        <v>51</v>
      </c>
      <c r="V6" s="238">
        <f>U6*Z6</f>
        <v>17.849999999999998</v>
      </c>
      <c r="W6" s="25">
        <v>0.15</v>
      </c>
      <c r="X6" s="70">
        <f>U6*(1+W6)</f>
        <v>58.65</v>
      </c>
      <c r="Y6" s="71">
        <f>X6*Y$4</f>
        <v>18005.55</v>
      </c>
      <c r="Z6" s="26">
        <v>0.35</v>
      </c>
      <c r="AA6" s="72">
        <f t="shared" ref="AA6:AA15" si="3">+Y6*Z6</f>
        <v>6301.9424999999992</v>
      </c>
      <c r="AB6" s="86"/>
    </row>
    <row r="7" spans="1:28" ht="15.95" customHeight="1" x14ac:dyDescent="0.25">
      <c r="B7" s="44" t="s">
        <v>69</v>
      </c>
      <c r="C7" s="73">
        <f>Dairy!H52</f>
        <v>21999.599999999999</v>
      </c>
      <c r="D7" s="69"/>
      <c r="E7" s="73">
        <f>Dairy!J52</f>
        <v>25000</v>
      </c>
      <c r="F7" s="69"/>
      <c r="G7" s="74" t="s">
        <v>25</v>
      </c>
      <c r="H7" s="75">
        <f>C7</f>
        <v>21999.599999999999</v>
      </c>
      <c r="I7" s="75">
        <f>E7</f>
        <v>25000</v>
      </c>
      <c r="K7" s="44" t="str">
        <f t="shared" si="0"/>
        <v>Alfalfa baleage</v>
      </c>
      <c r="L7" s="24">
        <v>14</v>
      </c>
      <c r="M7" s="238">
        <f t="shared" ref="M7:M15" si="4">L7*Q7</f>
        <v>5.6000000000000005</v>
      </c>
      <c r="N7" s="25">
        <v>0.15</v>
      </c>
      <c r="O7" s="70">
        <f t="shared" ref="O7:O15" si="5">L7*(1+N7)</f>
        <v>16.099999999999998</v>
      </c>
      <c r="P7" s="71">
        <f t="shared" si="1"/>
        <v>4942.6999999999989</v>
      </c>
      <c r="Q7" s="26">
        <v>0.4</v>
      </c>
      <c r="R7" s="72">
        <f t="shared" ref="R7:R15" si="6">+P7*Q7</f>
        <v>1977.0799999999997</v>
      </c>
      <c r="S7" s="236"/>
      <c r="T7" s="44" t="str">
        <f t="shared" si="2"/>
        <v>Alfalfa baleage</v>
      </c>
      <c r="U7" s="24">
        <v>15</v>
      </c>
      <c r="V7" s="238">
        <f t="shared" ref="V7:V15" si="7">U7*Z7</f>
        <v>6</v>
      </c>
      <c r="W7" s="25">
        <v>0.15</v>
      </c>
      <c r="X7" s="70">
        <f t="shared" ref="X7:X15" si="8">U7*(1+W7)</f>
        <v>17.25</v>
      </c>
      <c r="Y7" s="71">
        <f t="shared" ref="Y7:Y15" si="9">X7*Y$4</f>
        <v>5295.75</v>
      </c>
      <c r="Z7" s="26">
        <v>0.4</v>
      </c>
      <c r="AA7" s="72">
        <f t="shared" si="3"/>
        <v>2118.3000000000002</v>
      </c>
      <c r="AB7" s="86"/>
    </row>
    <row r="8" spans="1:28" ht="15.95" customHeight="1" x14ac:dyDescent="0.25">
      <c r="B8" s="76"/>
      <c r="C8" s="76"/>
      <c r="D8" s="76"/>
      <c r="E8" s="76"/>
      <c r="F8" s="76"/>
      <c r="K8" s="44" t="str">
        <f t="shared" si="0"/>
        <v>Alfalfa hay</v>
      </c>
      <c r="L8" s="24">
        <v>0</v>
      </c>
      <c r="M8" s="238">
        <f t="shared" si="4"/>
        <v>0</v>
      </c>
      <c r="N8" s="25">
        <v>0.05</v>
      </c>
      <c r="O8" s="70">
        <f t="shared" si="5"/>
        <v>0</v>
      </c>
      <c r="P8" s="71">
        <f t="shared" si="1"/>
        <v>0</v>
      </c>
      <c r="Q8" s="26">
        <v>0.9</v>
      </c>
      <c r="R8" s="72">
        <f t="shared" si="6"/>
        <v>0</v>
      </c>
      <c r="S8" s="236"/>
      <c r="T8" s="44" t="str">
        <f t="shared" si="2"/>
        <v>Alfalfa hay</v>
      </c>
      <c r="U8" s="24">
        <v>0</v>
      </c>
      <c r="V8" s="238">
        <f t="shared" si="7"/>
        <v>0</v>
      </c>
      <c r="W8" s="25">
        <v>0.05</v>
      </c>
      <c r="X8" s="70">
        <f t="shared" si="8"/>
        <v>0</v>
      </c>
      <c r="Y8" s="71">
        <f t="shared" si="9"/>
        <v>0</v>
      </c>
      <c r="Z8" s="26">
        <v>0.9</v>
      </c>
      <c r="AA8" s="72">
        <f t="shared" si="3"/>
        <v>0</v>
      </c>
      <c r="AB8" s="86"/>
    </row>
    <row r="9" spans="1:28" ht="15.95" customHeight="1" x14ac:dyDescent="0.25">
      <c r="B9" s="77" t="s">
        <v>160</v>
      </c>
      <c r="C9" s="78" t="s">
        <v>14</v>
      </c>
      <c r="D9" s="78" t="s">
        <v>15</v>
      </c>
      <c r="E9" s="78" t="s">
        <v>14</v>
      </c>
      <c r="F9" s="78" t="s">
        <v>15</v>
      </c>
      <c r="G9" s="53"/>
      <c r="K9" s="44" t="str">
        <f t="shared" si="0"/>
        <v>Grass hay</v>
      </c>
      <c r="L9" s="24">
        <v>0</v>
      </c>
      <c r="M9" s="238">
        <f t="shared" si="4"/>
        <v>0</v>
      </c>
      <c r="N9" s="25">
        <v>0.05</v>
      </c>
      <c r="O9" s="70">
        <f t="shared" si="5"/>
        <v>0</v>
      </c>
      <c r="P9" s="71">
        <f t="shared" si="1"/>
        <v>0</v>
      </c>
      <c r="Q9" s="26">
        <v>0.9</v>
      </c>
      <c r="R9" s="72">
        <f t="shared" si="6"/>
        <v>0</v>
      </c>
      <c r="S9" s="236"/>
      <c r="T9" s="44" t="str">
        <f t="shared" si="2"/>
        <v>Grass hay</v>
      </c>
      <c r="U9" s="24">
        <v>0</v>
      </c>
      <c r="V9" s="238">
        <f t="shared" si="7"/>
        <v>0</v>
      </c>
      <c r="W9" s="25">
        <v>0.05</v>
      </c>
      <c r="X9" s="70">
        <f t="shared" si="8"/>
        <v>0</v>
      </c>
      <c r="Y9" s="71">
        <f t="shared" si="9"/>
        <v>0</v>
      </c>
      <c r="Z9" s="26">
        <v>0.9</v>
      </c>
      <c r="AA9" s="72">
        <f t="shared" si="3"/>
        <v>0</v>
      </c>
      <c r="AB9" s="86"/>
    </row>
    <row r="10" spans="1:28" ht="15.95" customHeight="1" x14ac:dyDescent="0.25">
      <c r="B10" s="10" t="s">
        <v>46</v>
      </c>
      <c r="C10" s="72">
        <f t="shared" ref="C10:C19" si="10">L35</f>
        <v>19359.099999999999</v>
      </c>
      <c r="D10" s="79">
        <f t="shared" ref="D10:D19" si="11">O35</f>
        <v>464.61839999999995</v>
      </c>
      <c r="E10" s="72">
        <f t="shared" ref="E10:E19" si="12">U35</f>
        <v>19006.05</v>
      </c>
      <c r="F10" s="47">
        <f t="shared" ref="F10:F19" si="13">X35</f>
        <v>456.14519999999993</v>
      </c>
      <c r="G10" s="79"/>
      <c r="H10" s="80"/>
      <c r="K10" s="44" t="str">
        <f t="shared" si="0"/>
        <v>Corn, ground</v>
      </c>
      <c r="L10" s="24">
        <v>16.5</v>
      </c>
      <c r="M10" s="238">
        <f t="shared" si="4"/>
        <v>14.685</v>
      </c>
      <c r="N10" s="25">
        <v>0.03</v>
      </c>
      <c r="O10" s="70">
        <f t="shared" si="5"/>
        <v>16.995000000000001</v>
      </c>
      <c r="P10" s="71">
        <f t="shared" si="1"/>
        <v>5217.4650000000001</v>
      </c>
      <c r="Q10" s="26">
        <v>0.89</v>
      </c>
      <c r="R10" s="72">
        <f t="shared" si="6"/>
        <v>4643.54385</v>
      </c>
      <c r="S10" s="236"/>
      <c r="T10" s="44" t="str">
        <f t="shared" si="2"/>
        <v>Corn, ground</v>
      </c>
      <c r="U10" s="24">
        <v>18.75</v>
      </c>
      <c r="V10" s="238">
        <f t="shared" si="7"/>
        <v>16.6875</v>
      </c>
      <c r="W10" s="25">
        <v>0.03</v>
      </c>
      <c r="X10" s="70">
        <f t="shared" si="8"/>
        <v>19.3125</v>
      </c>
      <c r="Y10" s="71">
        <f t="shared" si="9"/>
        <v>5928.9375</v>
      </c>
      <c r="Z10" s="26">
        <v>0.89</v>
      </c>
      <c r="AA10" s="72">
        <f t="shared" si="3"/>
        <v>5276.7543750000004</v>
      </c>
      <c r="AB10" s="86"/>
    </row>
    <row r="11" spans="1:28" ht="15.95" customHeight="1" x14ac:dyDescent="0.25">
      <c r="A11" s="81"/>
      <c r="B11" s="10" t="s">
        <v>105</v>
      </c>
      <c r="C11" s="72">
        <f t="shared" si="10"/>
        <v>4942.6999999999989</v>
      </c>
      <c r="D11" s="79">
        <f t="shared" si="11"/>
        <v>237.24959999999996</v>
      </c>
      <c r="E11" s="72">
        <f t="shared" si="12"/>
        <v>5295.75</v>
      </c>
      <c r="F11" s="47">
        <f t="shared" si="13"/>
        <v>254.196</v>
      </c>
      <c r="G11" s="82"/>
      <c r="H11" s="49"/>
      <c r="I11" s="49"/>
      <c r="K11" s="44" t="str">
        <f t="shared" si="0"/>
        <v>Soybean meal</v>
      </c>
      <c r="L11" s="24">
        <v>5</v>
      </c>
      <c r="M11" s="238">
        <f t="shared" si="4"/>
        <v>4.5</v>
      </c>
      <c r="N11" s="25">
        <v>0.03</v>
      </c>
      <c r="O11" s="70">
        <f t="shared" si="5"/>
        <v>5.15</v>
      </c>
      <c r="P11" s="71">
        <f t="shared" si="1"/>
        <v>1581.0500000000002</v>
      </c>
      <c r="Q11" s="26">
        <v>0.9</v>
      </c>
      <c r="R11" s="72">
        <f t="shared" si="6"/>
        <v>1422.9450000000002</v>
      </c>
      <c r="S11" s="236"/>
      <c r="T11" s="44" t="str">
        <f t="shared" si="2"/>
        <v>Soybean meal</v>
      </c>
      <c r="U11" s="24">
        <v>6</v>
      </c>
      <c r="V11" s="238">
        <f t="shared" si="7"/>
        <v>5.4</v>
      </c>
      <c r="W11" s="25">
        <v>0.03</v>
      </c>
      <c r="X11" s="70">
        <f t="shared" si="8"/>
        <v>6.18</v>
      </c>
      <c r="Y11" s="71">
        <f t="shared" si="9"/>
        <v>1897.26</v>
      </c>
      <c r="Z11" s="26">
        <v>0.9</v>
      </c>
      <c r="AA11" s="72">
        <f t="shared" si="3"/>
        <v>1707.5340000000001</v>
      </c>
      <c r="AB11" s="86"/>
    </row>
    <row r="12" spans="1:28" ht="15.95" customHeight="1" x14ac:dyDescent="0.25">
      <c r="A12" s="81"/>
      <c r="B12" s="10" t="s">
        <v>47</v>
      </c>
      <c r="C12" s="72">
        <f t="shared" si="10"/>
        <v>0</v>
      </c>
      <c r="D12" s="79">
        <f t="shared" si="11"/>
        <v>0</v>
      </c>
      <c r="E12" s="72">
        <f t="shared" si="12"/>
        <v>0</v>
      </c>
      <c r="F12" s="47">
        <f t="shared" si="13"/>
        <v>0</v>
      </c>
      <c r="G12" s="82"/>
      <c r="H12" s="49"/>
      <c r="I12" s="49"/>
      <c r="K12" s="44" t="str">
        <f t="shared" si="0"/>
        <v>Dry distillers grain</v>
      </c>
      <c r="L12" s="24">
        <v>3</v>
      </c>
      <c r="M12" s="238">
        <f t="shared" si="4"/>
        <v>2.5499999999999998</v>
      </c>
      <c r="N12" s="25">
        <v>0.03</v>
      </c>
      <c r="O12" s="70">
        <f t="shared" si="5"/>
        <v>3.09</v>
      </c>
      <c r="P12" s="71">
        <f t="shared" si="1"/>
        <v>948.63</v>
      </c>
      <c r="Q12" s="26">
        <v>0.85</v>
      </c>
      <c r="R12" s="72">
        <f t="shared" si="6"/>
        <v>806.33550000000002</v>
      </c>
      <c r="S12" s="236"/>
      <c r="T12" s="44" t="str">
        <f t="shared" si="2"/>
        <v>Dry distillers grain</v>
      </c>
      <c r="U12" s="24">
        <v>3</v>
      </c>
      <c r="V12" s="238">
        <f t="shared" si="7"/>
        <v>2.5499999999999998</v>
      </c>
      <c r="W12" s="25">
        <v>0.03</v>
      </c>
      <c r="X12" s="70">
        <f t="shared" si="8"/>
        <v>3.09</v>
      </c>
      <c r="Y12" s="71">
        <f t="shared" si="9"/>
        <v>948.63</v>
      </c>
      <c r="Z12" s="26">
        <v>0.85</v>
      </c>
      <c r="AA12" s="72">
        <f t="shared" si="3"/>
        <v>806.33550000000002</v>
      </c>
      <c r="AB12" s="86"/>
    </row>
    <row r="13" spans="1:28" ht="15.95" customHeight="1" x14ac:dyDescent="0.25">
      <c r="A13" s="81"/>
      <c r="B13" s="10" t="s">
        <v>48</v>
      </c>
      <c r="C13" s="72">
        <f t="shared" si="10"/>
        <v>913.5</v>
      </c>
      <c r="D13" s="79">
        <f t="shared" si="11"/>
        <v>50.2425</v>
      </c>
      <c r="E13" s="72">
        <f t="shared" si="12"/>
        <v>913.5</v>
      </c>
      <c r="F13" s="47">
        <f t="shared" si="13"/>
        <v>50.2425</v>
      </c>
      <c r="G13" s="82"/>
      <c r="H13" s="49"/>
      <c r="I13" s="49"/>
      <c r="K13" s="44" t="str">
        <f t="shared" si="0"/>
        <v>Soybean hulls</v>
      </c>
      <c r="L13" s="24">
        <v>5</v>
      </c>
      <c r="M13" s="238">
        <f t="shared" si="4"/>
        <v>4.25</v>
      </c>
      <c r="N13" s="25">
        <v>0.03</v>
      </c>
      <c r="O13" s="70">
        <f t="shared" si="5"/>
        <v>5.15</v>
      </c>
      <c r="P13" s="71">
        <f t="shared" si="1"/>
        <v>1581.0500000000002</v>
      </c>
      <c r="Q13" s="26">
        <v>0.85</v>
      </c>
      <c r="R13" s="72">
        <f t="shared" si="6"/>
        <v>1343.8925000000002</v>
      </c>
      <c r="S13" s="236"/>
      <c r="T13" s="44" t="str">
        <f t="shared" si="2"/>
        <v>Soybean hulls</v>
      </c>
      <c r="U13" s="24">
        <v>5</v>
      </c>
      <c r="V13" s="238">
        <f t="shared" si="7"/>
        <v>4.25</v>
      </c>
      <c r="W13" s="25">
        <v>0.03</v>
      </c>
      <c r="X13" s="70">
        <f t="shared" si="8"/>
        <v>5.15</v>
      </c>
      <c r="Y13" s="71">
        <f t="shared" si="9"/>
        <v>1581.0500000000002</v>
      </c>
      <c r="Z13" s="26">
        <v>0.85</v>
      </c>
      <c r="AA13" s="72">
        <f t="shared" si="3"/>
        <v>1343.8925000000002</v>
      </c>
      <c r="AB13" s="86"/>
    </row>
    <row r="14" spans="1:28" ht="15.95" customHeight="1" x14ac:dyDescent="0.25">
      <c r="A14" s="81"/>
      <c r="B14" s="10" t="s">
        <v>78</v>
      </c>
      <c r="C14" s="72">
        <f t="shared" si="10"/>
        <v>5351.88</v>
      </c>
      <c r="D14" s="79">
        <f t="shared" si="11"/>
        <v>599.21942142857142</v>
      </c>
      <c r="E14" s="72">
        <f t="shared" si="12"/>
        <v>6108.1575000000003</v>
      </c>
      <c r="F14" s="47">
        <f t="shared" si="13"/>
        <v>683.89549151785718</v>
      </c>
      <c r="G14" s="82"/>
      <c r="H14" s="49"/>
      <c r="I14" s="49"/>
      <c r="K14" s="44" t="str">
        <f t="shared" si="0"/>
        <v>Whole cotton seed</v>
      </c>
      <c r="L14" s="24">
        <v>2</v>
      </c>
      <c r="M14" s="238">
        <f t="shared" si="4"/>
        <v>1.82</v>
      </c>
      <c r="N14" s="25">
        <v>0.03</v>
      </c>
      <c r="O14" s="70">
        <f t="shared" si="5"/>
        <v>2.06</v>
      </c>
      <c r="P14" s="71">
        <f t="shared" si="1"/>
        <v>632.42000000000007</v>
      </c>
      <c r="Q14" s="26">
        <v>0.91</v>
      </c>
      <c r="R14" s="72">
        <f t="shared" si="6"/>
        <v>575.50220000000013</v>
      </c>
      <c r="S14" s="236"/>
      <c r="T14" s="44" t="str">
        <f t="shared" si="2"/>
        <v>Whole cotton seed</v>
      </c>
      <c r="U14" s="24">
        <v>2.5</v>
      </c>
      <c r="V14" s="238">
        <f t="shared" si="7"/>
        <v>2.2749999999999999</v>
      </c>
      <c r="W14" s="25">
        <v>0.03</v>
      </c>
      <c r="X14" s="70">
        <f t="shared" si="8"/>
        <v>2.5750000000000002</v>
      </c>
      <c r="Y14" s="71">
        <f t="shared" si="9"/>
        <v>790.52500000000009</v>
      </c>
      <c r="Z14" s="26">
        <v>0.91</v>
      </c>
      <c r="AA14" s="72">
        <f t="shared" si="3"/>
        <v>719.37775000000011</v>
      </c>
      <c r="AB14" s="86"/>
    </row>
    <row r="15" spans="1:28" ht="15.95" customHeight="1" x14ac:dyDescent="0.25">
      <c r="A15" s="81"/>
      <c r="B15" s="10" t="s">
        <v>50</v>
      </c>
      <c r="C15" s="72">
        <f t="shared" si="10"/>
        <v>1670.66</v>
      </c>
      <c r="D15" s="79">
        <f t="shared" si="11"/>
        <v>321.60204999999996</v>
      </c>
      <c r="E15" s="72">
        <f t="shared" si="12"/>
        <v>1986.87</v>
      </c>
      <c r="F15" s="47">
        <f t="shared" si="13"/>
        <v>382.47247499999997</v>
      </c>
      <c r="G15" s="82"/>
      <c r="H15" s="49"/>
      <c r="I15" s="49"/>
      <c r="K15" s="63" t="str">
        <f t="shared" si="0"/>
        <v>Minerals/vitamins</v>
      </c>
      <c r="L15" s="7">
        <v>1.25</v>
      </c>
      <c r="M15" s="239">
        <f t="shared" si="4"/>
        <v>1.25</v>
      </c>
      <c r="N15" s="8">
        <v>0.02</v>
      </c>
      <c r="O15" s="83">
        <f t="shared" si="5"/>
        <v>1.2749999999999999</v>
      </c>
      <c r="P15" s="84">
        <f t="shared" si="1"/>
        <v>391.42499999999995</v>
      </c>
      <c r="Q15" s="11">
        <v>1</v>
      </c>
      <c r="R15" s="75">
        <f t="shared" si="6"/>
        <v>391.42499999999995</v>
      </c>
      <c r="S15" s="236"/>
      <c r="T15" s="63" t="str">
        <f t="shared" si="2"/>
        <v>Minerals/vitamins</v>
      </c>
      <c r="U15" s="7">
        <v>1.25</v>
      </c>
      <c r="V15" s="239">
        <f t="shared" si="7"/>
        <v>1.25</v>
      </c>
      <c r="W15" s="8">
        <v>0.02</v>
      </c>
      <c r="X15" s="83">
        <f t="shared" si="8"/>
        <v>1.2749999999999999</v>
      </c>
      <c r="Y15" s="84">
        <f t="shared" si="9"/>
        <v>391.42499999999995</v>
      </c>
      <c r="Z15" s="11">
        <v>1</v>
      </c>
      <c r="AA15" s="75">
        <f t="shared" si="3"/>
        <v>391.42499999999995</v>
      </c>
      <c r="AB15" s="86"/>
    </row>
    <row r="16" spans="1:28" ht="15.95" customHeight="1" x14ac:dyDescent="0.25">
      <c r="A16" s="81"/>
      <c r="B16" s="10" t="s">
        <v>51</v>
      </c>
      <c r="C16" s="72">
        <f t="shared" si="10"/>
        <v>948.63</v>
      </c>
      <c r="D16" s="79">
        <f t="shared" si="11"/>
        <v>90.11985</v>
      </c>
      <c r="E16" s="72">
        <f t="shared" si="12"/>
        <v>948.63</v>
      </c>
      <c r="F16" s="47">
        <f t="shared" si="13"/>
        <v>90.11985</v>
      </c>
      <c r="G16" s="82"/>
      <c r="H16" s="49"/>
      <c r="I16" s="49"/>
      <c r="L16" s="53"/>
      <c r="M16" s="238">
        <f>SUM(M6:M15)</f>
        <v>52.854999999999997</v>
      </c>
      <c r="N16" s="53"/>
      <c r="O16" s="70"/>
      <c r="P16" s="71"/>
      <c r="Q16" s="44" t="s">
        <v>37</v>
      </c>
      <c r="R16" s="72">
        <f>SUM(R6:R15)</f>
        <v>17586.234049999995</v>
      </c>
      <c r="S16" s="53"/>
      <c r="V16" s="238">
        <f>SUM(V6:V15)</f>
        <v>56.262499999999989</v>
      </c>
      <c r="W16" s="85"/>
      <c r="Z16" s="44" t="s">
        <v>37</v>
      </c>
      <c r="AA16" s="72">
        <f>SUM(AA6:AA15)</f>
        <v>18665.561624999998</v>
      </c>
    </row>
    <row r="17" spans="1:28" ht="15.95" customHeight="1" x14ac:dyDescent="0.25">
      <c r="A17" s="81"/>
      <c r="B17" s="10" t="s">
        <v>52</v>
      </c>
      <c r="C17" s="72">
        <f t="shared" si="10"/>
        <v>1700.5300000000002</v>
      </c>
      <c r="D17" s="79">
        <f t="shared" si="11"/>
        <v>123.28842500000002</v>
      </c>
      <c r="E17" s="72">
        <f t="shared" si="12"/>
        <v>1700.5300000000002</v>
      </c>
      <c r="F17" s="47">
        <f t="shared" si="13"/>
        <v>123.28842500000002</v>
      </c>
      <c r="G17" s="82"/>
      <c r="H17" s="49"/>
      <c r="I17" s="49"/>
      <c r="L17" s="53"/>
      <c r="M17" s="53"/>
      <c r="N17" s="53"/>
      <c r="O17" s="53"/>
      <c r="P17" s="53"/>
      <c r="Q17" s="44" t="s">
        <v>38</v>
      </c>
      <c r="R17" s="86">
        <f>+R16/P4</f>
        <v>57.284149999999983</v>
      </c>
      <c r="S17" s="236"/>
      <c r="Z17" s="44" t="s">
        <v>38</v>
      </c>
      <c r="AA17" s="86">
        <f>+AA16/P4</f>
        <v>60.799874999999993</v>
      </c>
      <c r="AB17" s="235"/>
    </row>
    <row r="18" spans="1:28" ht="15.95" customHeight="1" x14ac:dyDescent="0.25">
      <c r="A18" s="81"/>
      <c r="B18" s="10" t="s">
        <v>53</v>
      </c>
      <c r="C18" s="72">
        <f t="shared" si="10"/>
        <v>632.42000000000007</v>
      </c>
      <c r="D18" s="79">
        <f t="shared" si="11"/>
        <v>118.57875000000001</v>
      </c>
      <c r="E18" s="72">
        <f t="shared" si="12"/>
        <v>790.52500000000009</v>
      </c>
      <c r="F18" s="47">
        <f t="shared" si="13"/>
        <v>148.22343750000002</v>
      </c>
      <c r="G18" s="82"/>
      <c r="H18" s="49"/>
      <c r="I18" s="49"/>
      <c r="L18" s="53"/>
      <c r="M18" s="53"/>
      <c r="N18" s="53"/>
      <c r="O18" s="53"/>
      <c r="P18" s="53"/>
      <c r="R18" s="86"/>
      <c r="S18" s="53"/>
      <c r="AA18" s="86"/>
    </row>
    <row r="19" spans="1:28" ht="15.95" customHeight="1" x14ac:dyDescent="0.25">
      <c r="A19" s="81"/>
      <c r="B19" s="10" t="s">
        <v>54</v>
      </c>
      <c r="C19" s="72">
        <f t="shared" si="10"/>
        <v>421.00499999999994</v>
      </c>
      <c r="D19" s="87">
        <f t="shared" si="11"/>
        <v>421.00499999999994</v>
      </c>
      <c r="E19" s="72">
        <f t="shared" si="12"/>
        <v>421.00499999999994</v>
      </c>
      <c r="F19" s="88">
        <f t="shared" si="13"/>
        <v>421.00499999999994</v>
      </c>
      <c r="G19" s="82"/>
      <c r="H19" s="49"/>
      <c r="I19" s="49"/>
      <c r="K19" s="63" t="s">
        <v>236</v>
      </c>
      <c r="L19" s="63" t="s">
        <v>157</v>
      </c>
      <c r="M19" s="63"/>
      <c r="N19" s="64"/>
      <c r="O19" s="64" t="s">
        <v>30</v>
      </c>
      <c r="P19" s="9">
        <v>58</v>
      </c>
      <c r="Q19" s="64"/>
      <c r="R19" s="64"/>
      <c r="S19" s="53"/>
      <c r="T19" s="63" t="s">
        <v>158</v>
      </c>
      <c r="U19" s="63" t="s">
        <v>157</v>
      </c>
      <c r="V19" s="63"/>
      <c r="W19" s="64"/>
      <c r="X19" s="64" t="s">
        <v>30</v>
      </c>
      <c r="Y19" s="64">
        <f>P19</f>
        <v>58</v>
      </c>
      <c r="Z19" s="63"/>
      <c r="AA19" s="63"/>
    </row>
    <row r="20" spans="1:28" ht="15.95" customHeight="1" x14ac:dyDescent="0.25">
      <c r="A20" s="81"/>
      <c r="B20" s="64" t="s">
        <v>26</v>
      </c>
      <c r="C20" s="63"/>
      <c r="D20" s="89">
        <f>SUM(D10:D19)</f>
        <v>2425.9239964285712</v>
      </c>
      <c r="E20" s="63"/>
      <c r="F20" s="89">
        <f>SUM(F10:F19)</f>
        <v>2609.5883790178573</v>
      </c>
      <c r="G20" s="89">
        <f>'Heifer feed'!C51</f>
        <v>1188.6220446428572</v>
      </c>
      <c r="H20" s="89">
        <f>D20+(G20*Dairy!H80)</f>
        <v>2818.1692711607138</v>
      </c>
      <c r="I20" s="89">
        <f>F20+(G20*Dairy!H80)</f>
        <v>3001.8336537499999</v>
      </c>
      <c r="K20" s="66" t="s">
        <v>160</v>
      </c>
      <c r="L20" s="68" t="s">
        <v>255</v>
      </c>
      <c r="M20" s="68" t="s">
        <v>256</v>
      </c>
      <c r="N20" s="68" t="s">
        <v>162</v>
      </c>
      <c r="O20" s="68" t="s">
        <v>31</v>
      </c>
      <c r="P20" s="68" t="s">
        <v>32</v>
      </c>
      <c r="Q20" s="68" t="s">
        <v>36</v>
      </c>
      <c r="R20" s="68" t="s">
        <v>35</v>
      </c>
      <c r="S20" s="53"/>
      <c r="T20" s="66" t="s">
        <v>160</v>
      </c>
      <c r="U20" s="68" t="s">
        <v>31</v>
      </c>
      <c r="V20" s="68" t="s">
        <v>256</v>
      </c>
      <c r="W20" s="68" t="s">
        <v>162</v>
      </c>
      <c r="X20" s="68" t="s">
        <v>31</v>
      </c>
      <c r="Y20" s="68" t="s">
        <v>32</v>
      </c>
      <c r="Z20" s="68" t="s">
        <v>36</v>
      </c>
      <c r="AA20" s="68" t="s">
        <v>35</v>
      </c>
    </row>
    <row r="21" spans="1:28" ht="15.95" customHeight="1" x14ac:dyDescent="0.25">
      <c r="A21" s="81"/>
      <c r="K21" s="44" t="str">
        <f t="shared" ref="K21:K30" si="14">B10</f>
        <v>Corn silage</v>
      </c>
      <c r="L21" s="24">
        <v>15</v>
      </c>
      <c r="M21" s="238">
        <f>L21*Q21</f>
        <v>5.25</v>
      </c>
      <c r="N21" s="25">
        <v>0.15</v>
      </c>
      <c r="O21" s="70">
        <f>L21*(1+N21)</f>
        <v>17.25</v>
      </c>
      <c r="P21" s="90">
        <f t="shared" ref="P21:P30" si="15">O21*P$19</f>
        <v>1000.5</v>
      </c>
      <c r="Q21" s="26">
        <v>0.35</v>
      </c>
      <c r="R21" s="72">
        <f>+P21*Q21</f>
        <v>350.17499999999995</v>
      </c>
      <c r="S21" s="53"/>
      <c r="T21" s="44" t="str">
        <f t="shared" ref="T21:T30" si="16">B10</f>
        <v>Corn silage</v>
      </c>
      <c r="U21" s="224">
        <v>15</v>
      </c>
      <c r="V21" s="238">
        <f>U21*Z21</f>
        <v>5.25</v>
      </c>
      <c r="W21" s="25">
        <v>0.15</v>
      </c>
      <c r="X21" s="70">
        <f>U21*(1+W21)</f>
        <v>17.25</v>
      </c>
      <c r="Y21" s="90">
        <f t="shared" ref="Y21:Y30" si="17">X21*Y$19</f>
        <v>1000.5</v>
      </c>
      <c r="Z21" s="26">
        <v>0.35</v>
      </c>
      <c r="AA21" s="72">
        <f>+Y21*Z21</f>
        <v>350.17499999999995</v>
      </c>
    </row>
    <row r="22" spans="1:28" ht="15.95" customHeight="1" x14ac:dyDescent="0.25">
      <c r="A22" s="91"/>
      <c r="K22" s="44" t="str">
        <f t="shared" si="14"/>
        <v>Alfalfa baleage</v>
      </c>
      <c r="L22" s="24">
        <v>0</v>
      </c>
      <c r="M22" s="238">
        <f t="shared" ref="M22:M30" si="18">L22*Q22</f>
        <v>0</v>
      </c>
      <c r="N22" s="25">
        <v>0.15</v>
      </c>
      <c r="O22" s="70">
        <f t="shared" ref="O22:O30" si="19">L22*(1+N22)</f>
        <v>0</v>
      </c>
      <c r="P22" s="90">
        <f t="shared" si="15"/>
        <v>0</v>
      </c>
      <c r="Q22" s="26">
        <v>0.35</v>
      </c>
      <c r="R22" s="72">
        <f t="shared" ref="R22:R30" si="20">+P22*Q22</f>
        <v>0</v>
      </c>
      <c r="S22" s="53"/>
      <c r="T22" s="44" t="str">
        <f t="shared" si="16"/>
        <v>Alfalfa baleage</v>
      </c>
      <c r="U22" s="224">
        <v>0</v>
      </c>
      <c r="V22" s="238">
        <f t="shared" ref="V22:V30" si="21">U22*Z22</f>
        <v>0</v>
      </c>
      <c r="W22" s="25">
        <v>0.15</v>
      </c>
      <c r="X22" s="70">
        <f t="shared" ref="X22:X30" si="22">U22*(1+W22)</f>
        <v>0</v>
      </c>
      <c r="Y22" s="90">
        <f t="shared" si="17"/>
        <v>0</v>
      </c>
      <c r="Z22" s="26">
        <v>0.35</v>
      </c>
      <c r="AA22" s="72">
        <f t="shared" ref="AA22:AA30" si="23">+Y22*Z22</f>
        <v>0</v>
      </c>
    </row>
    <row r="23" spans="1:28" ht="15.95" customHeight="1" x14ac:dyDescent="0.25">
      <c r="B23" s="92"/>
      <c r="K23" s="44" t="str">
        <f t="shared" si="14"/>
        <v>Alfalfa hay</v>
      </c>
      <c r="L23" s="24">
        <v>0</v>
      </c>
      <c r="M23" s="238">
        <f t="shared" si="18"/>
        <v>0</v>
      </c>
      <c r="N23" s="25">
        <v>0.05</v>
      </c>
      <c r="O23" s="70">
        <f t="shared" si="19"/>
        <v>0</v>
      </c>
      <c r="P23" s="90">
        <f t="shared" si="15"/>
        <v>0</v>
      </c>
      <c r="Q23" s="26">
        <v>0.85</v>
      </c>
      <c r="R23" s="72">
        <f t="shared" si="20"/>
        <v>0</v>
      </c>
      <c r="S23" s="53"/>
      <c r="T23" s="44" t="str">
        <f t="shared" si="16"/>
        <v>Alfalfa hay</v>
      </c>
      <c r="U23" s="224">
        <v>0</v>
      </c>
      <c r="V23" s="238">
        <f t="shared" si="21"/>
        <v>0</v>
      </c>
      <c r="W23" s="25">
        <v>0.05</v>
      </c>
      <c r="X23" s="70">
        <f t="shared" si="22"/>
        <v>0</v>
      </c>
      <c r="Y23" s="90">
        <f t="shared" si="17"/>
        <v>0</v>
      </c>
      <c r="Z23" s="26">
        <v>0.85</v>
      </c>
      <c r="AA23" s="72">
        <f t="shared" si="23"/>
        <v>0</v>
      </c>
      <c r="AB23" s="65"/>
    </row>
    <row r="24" spans="1:28" ht="15.95" customHeight="1" x14ac:dyDescent="0.25">
      <c r="K24" s="44" t="str">
        <f t="shared" si="14"/>
        <v>Grass hay</v>
      </c>
      <c r="L24" s="24">
        <v>15</v>
      </c>
      <c r="M24" s="238">
        <f t="shared" si="18"/>
        <v>12.75</v>
      </c>
      <c r="N24" s="25">
        <v>0.05</v>
      </c>
      <c r="O24" s="70">
        <f t="shared" si="19"/>
        <v>15.75</v>
      </c>
      <c r="P24" s="90">
        <f t="shared" si="15"/>
        <v>913.5</v>
      </c>
      <c r="Q24" s="26">
        <v>0.85</v>
      </c>
      <c r="R24" s="72">
        <f t="shared" si="20"/>
        <v>776.47500000000002</v>
      </c>
      <c r="S24" s="53"/>
      <c r="T24" s="44" t="str">
        <f t="shared" si="16"/>
        <v>Grass hay</v>
      </c>
      <c r="U24" s="224">
        <v>15</v>
      </c>
      <c r="V24" s="238">
        <f t="shared" si="21"/>
        <v>12.75</v>
      </c>
      <c r="W24" s="25">
        <v>0.05</v>
      </c>
      <c r="X24" s="70">
        <f t="shared" si="22"/>
        <v>15.75</v>
      </c>
      <c r="Y24" s="90">
        <f t="shared" si="17"/>
        <v>913.5</v>
      </c>
      <c r="Z24" s="26">
        <v>0.85</v>
      </c>
      <c r="AA24" s="72">
        <f t="shared" si="23"/>
        <v>776.47500000000002</v>
      </c>
      <c r="AB24" s="65"/>
    </row>
    <row r="25" spans="1:28" ht="15.95" customHeight="1" x14ac:dyDescent="0.25">
      <c r="K25" s="44" t="str">
        <f t="shared" si="14"/>
        <v>Corn, ground</v>
      </c>
      <c r="L25" s="24">
        <v>2.25</v>
      </c>
      <c r="M25" s="238">
        <f t="shared" si="18"/>
        <v>1.9124999999999999</v>
      </c>
      <c r="N25" s="25">
        <v>0.03</v>
      </c>
      <c r="O25" s="70">
        <f t="shared" si="19"/>
        <v>2.3174999999999999</v>
      </c>
      <c r="P25" s="90">
        <f t="shared" si="15"/>
        <v>134.41499999999999</v>
      </c>
      <c r="Q25" s="26">
        <v>0.85</v>
      </c>
      <c r="R25" s="72">
        <f t="shared" si="20"/>
        <v>114.25274999999999</v>
      </c>
      <c r="S25" s="53"/>
      <c r="T25" s="44" t="str">
        <f t="shared" si="16"/>
        <v>Corn, ground</v>
      </c>
      <c r="U25" s="224">
        <v>3</v>
      </c>
      <c r="V25" s="238">
        <f t="shared" si="21"/>
        <v>2.5499999999999998</v>
      </c>
      <c r="W25" s="25">
        <v>0.03</v>
      </c>
      <c r="X25" s="70">
        <f t="shared" si="22"/>
        <v>3.09</v>
      </c>
      <c r="Y25" s="90">
        <f t="shared" si="17"/>
        <v>179.22</v>
      </c>
      <c r="Z25" s="26">
        <v>0.85</v>
      </c>
      <c r="AA25" s="72">
        <f t="shared" si="23"/>
        <v>152.33699999999999</v>
      </c>
      <c r="AB25" s="65"/>
    </row>
    <row r="26" spans="1:28" ht="15.95" customHeight="1" x14ac:dyDescent="0.25">
      <c r="K26" s="44" t="str">
        <f t="shared" si="14"/>
        <v>Soybean meal</v>
      </c>
      <c r="L26" s="24">
        <v>1.5</v>
      </c>
      <c r="M26" s="238">
        <f t="shared" si="18"/>
        <v>1.35</v>
      </c>
      <c r="N26" s="25">
        <v>0.03</v>
      </c>
      <c r="O26" s="70">
        <f t="shared" si="19"/>
        <v>1.5449999999999999</v>
      </c>
      <c r="P26" s="90">
        <f t="shared" si="15"/>
        <v>89.61</v>
      </c>
      <c r="Q26" s="26">
        <v>0.9</v>
      </c>
      <c r="R26" s="72">
        <f t="shared" si="20"/>
        <v>80.649000000000001</v>
      </c>
      <c r="S26" s="53"/>
      <c r="T26" s="44" t="str">
        <f t="shared" si="16"/>
        <v>Soybean meal</v>
      </c>
      <c r="U26" s="224">
        <v>1.5</v>
      </c>
      <c r="V26" s="238">
        <f t="shared" si="21"/>
        <v>1.35</v>
      </c>
      <c r="W26" s="25">
        <v>0.03</v>
      </c>
      <c r="X26" s="70">
        <f t="shared" si="22"/>
        <v>1.5449999999999999</v>
      </c>
      <c r="Y26" s="90">
        <f t="shared" si="17"/>
        <v>89.61</v>
      </c>
      <c r="Z26" s="26">
        <v>0.9</v>
      </c>
      <c r="AA26" s="72">
        <f t="shared" si="23"/>
        <v>80.649000000000001</v>
      </c>
      <c r="AB26" s="65"/>
    </row>
    <row r="27" spans="1:28" ht="15.95" customHeight="1" x14ac:dyDescent="0.25">
      <c r="K27" s="44" t="str">
        <f t="shared" si="14"/>
        <v>Dry distillers grain</v>
      </c>
      <c r="L27" s="24">
        <v>0</v>
      </c>
      <c r="M27" s="238">
        <f t="shared" si="18"/>
        <v>0</v>
      </c>
      <c r="N27" s="25">
        <v>0.03</v>
      </c>
      <c r="O27" s="70">
        <f t="shared" si="19"/>
        <v>0</v>
      </c>
      <c r="P27" s="90">
        <f t="shared" si="15"/>
        <v>0</v>
      </c>
      <c r="Q27" s="26">
        <v>0.85</v>
      </c>
      <c r="R27" s="72">
        <f t="shared" si="20"/>
        <v>0</v>
      </c>
      <c r="S27" s="53"/>
      <c r="T27" s="44" t="str">
        <f t="shared" si="16"/>
        <v>Dry distillers grain</v>
      </c>
      <c r="U27" s="224">
        <v>0</v>
      </c>
      <c r="V27" s="238">
        <f t="shared" si="21"/>
        <v>0</v>
      </c>
      <c r="W27" s="25">
        <v>0.03</v>
      </c>
      <c r="X27" s="70">
        <f t="shared" si="22"/>
        <v>0</v>
      </c>
      <c r="Y27" s="90">
        <f t="shared" si="17"/>
        <v>0</v>
      </c>
      <c r="Z27" s="26">
        <v>0.85</v>
      </c>
      <c r="AA27" s="72">
        <f t="shared" si="23"/>
        <v>0</v>
      </c>
      <c r="AB27" s="65"/>
    </row>
    <row r="28" spans="1:28" ht="15.95" customHeight="1" x14ac:dyDescent="0.25">
      <c r="K28" s="44" t="str">
        <f t="shared" si="14"/>
        <v>Soybean hulls</v>
      </c>
      <c r="L28" s="24">
        <v>2</v>
      </c>
      <c r="M28" s="238">
        <f t="shared" si="18"/>
        <v>1.7</v>
      </c>
      <c r="N28" s="25">
        <v>0.03</v>
      </c>
      <c r="O28" s="70">
        <f t="shared" si="19"/>
        <v>2.06</v>
      </c>
      <c r="P28" s="90">
        <f t="shared" si="15"/>
        <v>119.48</v>
      </c>
      <c r="Q28" s="26">
        <v>0.85</v>
      </c>
      <c r="R28" s="72">
        <f t="shared" si="20"/>
        <v>101.55800000000001</v>
      </c>
      <c r="S28" s="53"/>
      <c r="T28" s="44" t="str">
        <f t="shared" si="16"/>
        <v>Soybean hulls</v>
      </c>
      <c r="U28" s="224">
        <v>2</v>
      </c>
      <c r="V28" s="238">
        <f t="shared" si="21"/>
        <v>1.7</v>
      </c>
      <c r="W28" s="25">
        <v>0.03</v>
      </c>
      <c r="X28" s="70">
        <f t="shared" si="22"/>
        <v>2.06</v>
      </c>
      <c r="Y28" s="90">
        <f t="shared" si="17"/>
        <v>119.48</v>
      </c>
      <c r="Z28" s="26">
        <v>0.85</v>
      </c>
      <c r="AA28" s="72">
        <f t="shared" si="23"/>
        <v>101.55800000000001</v>
      </c>
      <c r="AB28" s="65"/>
    </row>
    <row r="29" spans="1:28" ht="15.95" customHeight="1" x14ac:dyDescent="0.25">
      <c r="K29" s="44" t="str">
        <f t="shared" si="14"/>
        <v>Whole cotton seed</v>
      </c>
      <c r="L29" s="24">
        <v>0</v>
      </c>
      <c r="M29" s="238">
        <f t="shared" si="18"/>
        <v>0</v>
      </c>
      <c r="N29" s="25">
        <v>0.03</v>
      </c>
      <c r="O29" s="70">
        <f t="shared" si="19"/>
        <v>0</v>
      </c>
      <c r="P29" s="90">
        <f t="shared" si="15"/>
        <v>0</v>
      </c>
      <c r="Q29" s="26">
        <v>0.85</v>
      </c>
      <c r="R29" s="72">
        <f t="shared" si="20"/>
        <v>0</v>
      </c>
      <c r="S29" s="53"/>
      <c r="T29" s="44" t="str">
        <f t="shared" si="16"/>
        <v>Whole cotton seed</v>
      </c>
      <c r="U29" s="224">
        <v>0</v>
      </c>
      <c r="V29" s="238">
        <f t="shared" si="21"/>
        <v>0</v>
      </c>
      <c r="W29" s="25">
        <v>0.03</v>
      </c>
      <c r="X29" s="70">
        <f t="shared" si="22"/>
        <v>0</v>
      </c>
      <c r="Y29" s="90">
        <f t="shared" si="17"/>
        <v>0</v>
      </c>
      <c r="Z29" s="26">
        <v>0.85</v>
      </c>
      <c r="AA29" s="72">
        <f t="shared" si="23"/>
        <v>0</v>
      </c>
      <c r="AB29" s="65"/>
    </row>
    <row r="30" spans="1:28" ht="15.95" customHeight="1" x14ac:dyDescent="0.25">
      <c r="K30" s="63" t="str">
        <f t="shared" si="14"/>
        <v>Minerals/vitamins</v>
      </c>
      <c r="L30" s="7">
        <v>0.5</v>
      </c>
      <c r="M30" s="239">
        <f t="shared" si="18"/>
        <v>0.5</v>
      </c>
      <c r="N30" s="8">
        <v>0.02</v>
      </c>
      <c r="O30" s="83">
        <f t="shared" si="19"/>
        <v>0.51</v>
      </c>
      <c r="P30" s="93">
        <f t="shared" si="15"/>
        <v>29.580000000000002</v>
      </c>
      <c r="Q30" s="11">
        <v>1</v>
      </c>
      <c r="R30" s="75">
        <f t="shared" si="20"/>
        <v>29.580000000000002</v>
      </c>
      <c r="S30" s="53"/>
      <c r="T30" s="63" t="str">
        <f t="shared" si="16"/>
        <v>Minerals/vitamins</v>
      </c>
      <c r="U30" s="225">
        <v>0.5</v>
      </c>
      <c r="V30" s="239">
        <f t="shared" si="21"/>
        <v>0.5</v>
      </c>
      <c r="W30" s="8">
        <v>0.02</v>
      </c>
      <c r="X30" s="83">
        <f t="shared" si="22"/>
        <v>0.51</v>
      </c>
      <c r="Y30" s="93">
        <f t="shared" si="17"/>
        <v>29.580000000000002</v>
      </c>
      <c r="Z30" s="11">
        <v>1</v>
      </c>
      <c r="AA30" s="75">
        <f t="shared" si="23"/>
        <v>29.580000000000002</v>
      </c>
      <c r="AB30" s="65"/>
    </row>
    <row r="31" spans="1:28" ht="15.95" customHeight="1" x14ac:dyDescent="0.25">
      <c r="L31" s="53"/>
      <c r="M31" s="238">
        <f>SUM(M21:M30)</f>
        <v>23.462500000000002</v>
      </c>
      <c r="N31" s="53"/>
      <c r="O31" s="53"/>
      <c r="P31" s="53"/>
      <c r="Q31" s="44" t="s">
        <v>37</v>
      </c>
      <c r="R31" s="72">
        <f>SUM(R21:R30)</f>
        <v>1452.68975</v>
      </c>
      <c r="S31" s="53"/>
      <c r="V31" s="238">
        <f>SUM(V21:V30)</f>
        <v>24.1</v>
      </c>
      <c r="Z31" s="44" t="s">
        <v>37</v>
      </c>
      <c r="AA31" s="72">
        <f>SUM(AA21:AA30)</f>
        <v>1490.7739999999999</v>
      </c>
      <c r="AB31" s="65"/>
    </row>
    <row r="32" spans="1:28" ht="15.95" customHeight="1" x14ac:dyDescent="0.25">
      <c r="L32" s="53"/>
      <c r="M32" s="238"/>
      <c r="N32" s="53"/>
      <c r="O32" s="53"/>
      <c r="P32" s="53"/>
      <c r="Q32" s="44" t="s">
        <v>38</v>
      </c>
      <c r="R32" s="86">
        <f>+R31/P19</f>
        <v>25.046375000000001</v>
      </c>
      <c r="S32" s="53"/>
      <c r="Z32" s="44" t="s">
        <v>38</v>
      </c>
      <c r="AA32" s="86">
        <f>+AA31/P19</f>
        <v>25.702999999999999</v>
      </c>
      <c r="AB32" s="65"/>
    </row>
    <row r="33" spans="1:28" ht="15.95" customHeight="1" x14ac:dyDescent="0.25">
      <c r="K33" s="44" t="s">
        <v>159</v>
      </c>
      <c r="L33" s="65"/>
      <c r="M33" s="65"/>
      <c r="O33" s="53"/>
      <c r="S33" s="53"/>
      <c r="T33" s="44" t="s">
        <v>159</v>
      </c>
      <c r="U33" s="65"/>
      <c r="V33" s="65"/>
      <c r="AB33" s="65"/>
    </row>
    <row r="34" spans="1:28" ht="15.95" customHeight="1" x14ac:dyDescent="0.25">
      <c r="K34" s="66" t="s">
        <v>160</v>
      </c>
      <c r="L34" s="94" t="s">
        <v>34</v>
      </c>
      <c r="M34" s="94"/>
      <c r="N34" s="95" t="s">
        <v>17</v>
      </c>
      <c r="O34" s="68" t="s">
        <v>74</v>
      </c>
      <c r="P34" s="68" t="s">
        <v>161</v>
      </c>
      <c r="T34" s="66" t="s">
        <v>160</v>
      </c>
      <c r="U34" s="94" t="s">
        <v>34</v>
      </c>
      <c r="V34" s="94"/>
      <c r="W34" s="68" t="s">
        <v>17</v>
      </c>
      <c r="X34" s="68" t="s">
        <v>74</v>
      </c>
      <c r="Y34" s="68" t="s">
        <v>161</v>
      </c>
      <c r="AB34" s="65"/>
    </row>
    <row r="35" spans="1:28" ht="15.95" customHeight="1" x14ac:dyDescent="0.25">
      <c r="K35" s="44" t="str">
        <f t="shared" ref="K35:K44" si="24">B10</f>
        <v>Corn silage</v>
      </c>
      <c r="L35" s="72">
        <f t="shared" ref="L35:L44" si="25">P6+P21</f>
        <v>19359.099999999999</v>
      </c>
      <c r="M35" s="72"/>
      <c r="N35" s="47">
        <f t="shared" ref="N35:N44" si="26">W35</f>
        <v>48</v>
      </c>
      <c r="O35" s="47">
        <f>L35*N35/2000</f>
        <v>464.61839999999995</v>
      </c>
      <c r="P35" s="86">
        <f>L35/2000</f>
        <v>9.679549999999999</v>
      </c>
      <c r="Q35" s="53"/>
      <c r="R35" s="53"/>
      <c r="S35" s="53"/>
      <c r="T35" s="44" t="str">
        <f t="shared" ref="T35:T44" si="27">B10</f>
        <v>Corn silage</v>
      </c>
      <c r="U35" s="72">
        <f t="shared" ref="U35:U44" si="28">Y6+Y21</f>
        <v>19006.05</v>
      </c>
      <c r="V35" s="72"/>
      <c r="W35" s="47">
        <f>Inputs!C10</f>
        <v>48</v>
      </c>
      <c r="X35" s="47">
        <f>U35*W35/2000</f>
        <v>456.14519999999993</v>
      </c>
      <c r="Y35" s="86">
        <f>U35/2000</f>
        <v>9.5030249999999992</v>
      </c>
      <c r="Z35" s="53"/>
      <c r="AA35" s="53"/>
      <c r="AB35" s="65"/>
    </row>
    <row r="36" spans="1:28" ht="15.95" customHeight="1" x14ac:dyDescent="0.25">
      <c r="K36" s="44" t="str">
        <f t="shared" si="24"/>
        <v>Alfalfa baleage</v>
      </c>
      <c r="L36" s="72">
        <f t="shared" si="25"/>
        <v>4942.6999999999989</v>
      </c>
      <c r="M36" s="72"/>
      <c r="N36" s="47">
        <f t="shared" si="26"/>
        <v>96</v>
      </c>
      <c r="O36" s="47">
        <f t="shared" ref="O36:O44" si="29">L36*N36/2000</f>
        <v>237.24959999999996</v>
      </c>
      <c r="P36" s="86">
        <f t="shared" ref="P36:P44" si="30">L36/2000</f>
        <v>2.4713499999999993</v>
      </c>
      <c r="Q36" s="86"/>
      <c r="R36" s="86"/>
      <c r="S36" s="86"/>
      <c r="T36" s="44" t="str">
        <f t="shared" si="27"/>
        <v>Alfalfa baleage</v>
      </c>
      <c r="U36" s="72">
        <f t="shared" si="28"/>
        <v>5295.75</v>
      </c>
      <c r="V36" s="72"/>
      <c r="W36" s="47">
        <f>Inputs!C6</f>
        <v>96</v>
      </c>
      <c r="X36" s="47">
        <f t="shared" ref="X36:X44" si="31">U36*W36/2000</f>
        <v>254.196</v>
      </c>
      <c r="Y36" s="86">
        <f t="shared" ref="Y36:Y44" si="32">U36/2000</f>
        <v>2.647875</v>
      </c>
      <c r="Z36" s="86"/>
      <c r="AA36" s="72"/>
      <c r="AB36" s="65"/>
    </row>
    <row r="37" spans="1:28" ht="15.95" customHeight="1" x14ac:dyDescent="0.25">
      <c r="K37" s="44" t="str">
        <f t="shared" si="24"/>
        <v>Alfalfa hay</v>
      </c>
      <c r="L37" s="72">
        <f t="shared" si="25"/>
        <v>0</v>
      </c>
      <c r="M37" s="72"/>
      <c r="N37" s="47">
        <f t="shared" si="26"/>
        <v>275</v>
      </c>
      <c r="O37" s="47">
        <f t="shared" si="29"/>
        <v>0</v>
      </c>
      <c r="P37" s="86">
        <f t="shared" si="30"/>
        <v>0</v>
      </c>
      <c r="Q37" s="86"/>
      <c r="R37" s="86"/>
      <c r="S37" s="86"/>
      <c r="T37" s="44" t="str">
        <f t="shared" si="27"/>
        <v>Alfalfa hay</v>
      </c>
      <c r="U37" s="72">
        <f t="shared" si="28"/>
        <v>0</v>
      </c>
      <c r="V37" s="72"/>
      <c r="W37" s="47">
        <f>Inputs!C5</f>
        <v>275</v>
      </c>
      <c r="X37" s="47">
        <f t="shared" si="31"/>
        <v>0</v>
      </c>
      <c r="Y37" s="86">
        <f t="shared" si="32"/>
        <v>0</v>
      </c>
      <c r="Z37" s="86"/>
      <c r="AA37" s="72"/>
      <c r="AB37" s="65"/>
    </row>
    <row r="38" spans="1:28" ht="15.95" customHeight="1" x14ac:dyDescent="0.25">
      <c r="K38" s="44" t="str">
        <f t="shared" si="24"/>
        <v>Grass hay</v>
      </c>
      <c r="L38" s="72">
        <f t="shared" si="25"/>
        <v>913.5</v>
      </c>
      <c r="M38" s="72"/>
      <c r="N38" s="47">
        <f t="shared" si="26"/>
        <v>110</v>
      </c>
      <c r="O38" s="47">
        <f t="shared" si="29"/>
        <v>50.2425</v>
      </c>
      <c r="P38" s="86">
        <f t="shared" si="30"/>
        <v>0.45674999999999999</v>
      </c>
      <c r="Q38" s="86"/>
      <c r="R38" s="86"/>
      <c r="S38" s="86"/>
      <c r="T38" s="44" t="str">
        <f t="shared" si="27"/>
        <v>Grass hay</v>
      </c>
      <c r="U38" s="72">
        <f t="shared" si="28"/>
        <v>913.5</v>
      </c>
      <c r="V38" s="72"/>
      <c r="W38" s="47">
        <f>Inputs!C14</f>
        <v>110</v>
      </c>
      <c r="X38" s="47">
        <f t="shared" si="31"/>
        <v>50.2425</v>
      </c>
      <c r="Y38" s="86">
        <f t="shared" si="32"/>
        <v>0.45674999999999999</v>
      </c>
      <c r="Z38" s="86"/>
      <c r="AA38" s="72"/>
      <c r="AB38" s="65"/>
    </row>
    <row r="39" spans="1:28" ht="15.95" customHeight="1" x14ac:dyDescent="0.25">
      <c r="K39" s="44" t="str">
        <f t="shared" si="24"/>
        <v>Corn, ground</v>
      </c>
      <c r="L39" s="72">
        <f t="shared" si="25"/>
        <v>5351.88</v>
      </c>
      <c r="M39" s="72"/>
      <c r="N39" s="47">
        <f t="shared" si="26"/>
        <v>223.92857142857142</v>
      </c>
      <c r="O39" s="47">
        <f t="shared" si="29"/>
        <v>599.21942142857142</v>
      </c>
      <c r="P39" s="86">
        <f t="shared" si="30"/>
        <v>2.6759400000000002</v>
      </c>
      <c r="Q39" s="86"/>
      <c r="R39" s="86"/>
      <c r="S39" s="86"/>
      <c r="T39" s="44" t="str">
        <f t="shared" si="27"/>
        <v>Corn, ground</v>
      </c>
      <c r="U39" s="72">
        <f t="shared" si="28"/>
        <v>6108.1575000000003</v>
      </c>
      <c r="V39" s="72"/>
      <c r="W39" s="47">
        <f>Inputs!G12*20</f>
        <v>223.92857142857142</v>
      </c>
      <c r="X39" s="47">
        <f t="shared" si="31"/>
        <v>683.89549151785718</v>
      </c>
      <c r="Y39" s="86">
        <f t="shared" si="32"/>
        <v>3.05407875</v>
      </c>
      <c r="Z39" s="86"/>
      <c r="AA39" s="72"/>
      <c r="AB39" s="65"/>
    </row>
    <row r="40" spans="1:28" ht="15.95" customHeight="1" x14ac:dyDescent="0.25">
      <c r="K40" s="44" t="str">
        <f t="shared" si="24"/>
        <v>Soybean meal</v>
      </c>
      <c r="L40" s="72">
        <f t="shared" si="25"/>
        <v>1670.66</v>
      </c>
      <c r="M40" s="72"/>
      <c r="N40" s="47">
        <f t="shared" si="26"/>
        <v>385</v>
      </c>
      <c r="O40" s="47">
        <f t="shared" si="29"/>
        <v>321.60204999999996</v>
      </c>
      <c r="P40" s="86">
        <f t="shared" si="30"/>
        <v>0.83533000000000002</v>
      </c>
      <c r="Q40" s="86"/>
      <c r="R40" s="86"/>
      <c r="S40" s="86"/>
      <c r="T40" s="44" t="str">
        <f t="shared" si="27"/>
        <v>Soybean meal</v>
      </c>
      <c r="U40" s="72">
        <f t="shared" si="28"/>
        <v>1986.87</v>
      </c>
      <c r="V40" s="72"/>
      <c r="W40" s="47">
        <f>Inputs!C20</f>
        <v>385</v>
      </c>
      <c r="X40" s="47">
        <f t="shared" si="31"/>
        <v>382.47247499999997</v>
      </c>
      <c r="Y40" s="86">
        <f t="shared" si="32"/>
        <v>0.99343499999999996</v>
      </c>
      <c r="Z40" s="86"/>
      <c r="AA40" s="72"/>
      <c r="AB40" s="65"/>
    </row>
    <row r="41" spans="1:28" ht="15.95" customHeight="1" x14ac:dyDescent="0.25">
      <c r="K41" s="44" t="str">
        <f t="shared" si="24"/>
        <v>Dry distillers grain</v>
      </c>
      <c r="L41" s="72">
        <f t="shared" si="25"/>
        <v>948.63</v>
      </c>
      <c r="M41" s="72"/>
      <c r="N41" s="47">
        <f t="shared" si="26"/>
        <v>190</v>
      </c>
      <c r="O41" s="47">
        <f t="shared" si="29"/>
        <v>90.11985</v>
      </c>
      <c r="P41" s="86">
        <f t="shared" si="30"/>
        <v>0.47431499999999999</v>
      </c>
      <c r="Q41" s="86"/>
      <c r="R41" s="86"/>
      <c r="S41" s="86"/>
      <c r="T41" s="44" t="str">
        <f t="shared" si="27"/>
        <v>Dry distillers grain</v>
      </c>
      <c r="U41" s="72">
        <f t="shared" si="28"/>
        <v>948.63</v>
      </c>
      <c r="V41" s="72"/>
      <c r="W41" s="47">
        <f>Inputs!C13</f>
        <v>190</v>
      </c>
      <c r="X41" s="47">
        <f t="shared" si="31"/>
        <v>90.11985</v>
      </c>
      <c r="Y41" s="86">
        <f t="shared" si="32"/>
        <v>0.47431499999999999</v>
      </c>
      <c r="Z41" s="86"/>
      <c r="AA41" s="72"/>
      <c r="AB41" s="65"/>
    </row>
    <row r="42" spans="1:28" ht="15.95" customHeight="1" x14ac:dyDescent="0.25">
      <c r="K42" s="44" t="str">
        <f t="shared" si="24"/>
        <v>Soybean hulls</v>
      </c>
      <c r="L42" s="72">
        <f t="shared" si="25"/>
        <v>1700.5300000000002</v>
      </c>
      <c r="M42" s="72"/>
      <c r="N42" s="47">
        <f t="shared" si="26"/>
        <v>145</v>
      </c>
      <c r="O42" s="47">
        <f t="shared" si="29"/>
        <v>123.28842500000002</v>
      </c>
      <c r="P42" s="86">
        <f t="shared" si="30"/>
        <v>0.85026500000000005</v>
      </c>
      <c r="Q42" s="86"/>
      <c r="R42" s="86"/>
      <c r="S42" s="86"/>
      <c r="T42" s="44" t="str">
        <f t="shared" si="27"/>
        <v>Soybean hulls</v>
      </c>
      <c r="U42" s="72">
        <f t="shared" si="28"/>
        <v>1700.5300000000002</v>
      </c>
      <c r="V42" s="72"/>
      <c r="W42" s="47">
        <f>Inputs!C19</f>
        <v>145</v>
      </c>
      <c r="X42" s="47">
        <f t="shared" si="31"/>
        <v>123.28842500000002</v>
      </c>
      <c r="Y42" s="86">
        <f t="shared" si="32"/>
        <v>0.85026500000000005</v>
      </c>
      <c r="Z42" s="86"/>
      <c r="AA42" s="72"/>
      <c r="AB42" s="65"/>
    </row>
    <row r="43" spans="1:28" ht="15.95" customHeight="1" x14ac:dyDescent="0.25">
      <c r="K43" s="44" t="str">
        <f t="shared" si="24"/>
        <v>Whole cotton seed</v>
      </c>
      <c r="L43" s="72">
        <f t="shared" si="25"/>
        <v>632.42000000000007</v>
      </c>
      <c r="M43" s="72"/>
      <c r="N43" s="47">
        <f t="shared" si="26"/>
        <v>375</v>
      </c>
      <c r="O43" s="47">
        <f t="shared" si="29"/>
        <v>118.57875000000001</v>
      </c>
      <c r="P43" s="86">
        <f t="shared" si="30"/>
        <v>0.31621000000000005</v>
      </c>
      <c r="Q43" s="86"/>
      <c r="R43" s="86"/>
      <c r="S43" s="86"/>
      <c r="T43" s="44" t="str">
        <f t="shared" si="27"/>
        <v>Whole cotton seed</v>
      </c>
      <c r="U43" s="72">
        <f t="shared" si="28"/>
        <v>790.52500000000009</v>
      </c>
      <c r="V43" s="72"/>
      <c r="W43" s="47">
        <f>Inputs!C21</f>
        <v>375</v>
      </c>
      <c r="X43" s="47">
        <f t="shared" si="31"/>
        <v>148.22343750000002</v>
      </c>
      <c r="Y43" s="86">
        <f t="shared" si="32"/>
        <v>0.39526250000000007</v>
      </c>
      <c r="Z43" s="86"/>
      <c r="AA43" s="72"/>
      <c r="AB43" s="65"/>
    </row>
    <row r="44" spans="1:28" ht="15.95" customHeight="1" x14ac:dyDescent="0.25">
      <c r="K44" s="63" t="str">
        <f t="shared" si="24"/>
        <v>Minerals/vitamins</v>
      </c>
      <c r="L44" s="75">
        <f t="shared" si="25"/>
        <v>421.00499999999994</v>
      </c>
      <c r="M44" s="75"/>
      <c r="N44" s="88">
        <f t="shared" si="26"/>
        <v>2000</v>
      </c>
      <c r="O44" s="88">
        <f t="shared" si="29"/>
        <v>421.00499999999994</v>
      </c>
      <c r="P44" s="96">
        <f t="shared" si="30"/>
        <v>0.21050249999999998</v>
      </c>
      <c r="Q44" s="86"/>
      <c r="R44" s="86"/>
      <c r="S44" s="86"/>
      <c r="T44" s="63" t="str">
        <f t="shared" si="27"/>
        <v>Minerals/vitamins</v>
      </c>
      <c r="U44" s="75">
        <f t="shared" si="28"/>
        <v>421.00499999999994</v>
      </c>
      <c r="V44" s="75"/>
      <c r="W44" s="88">
        <f>Inputs!C17</f>
        <v>2000</v>
      </c>
      <c r="X44" s="88">
        <f t="shared" si="31"/>
        <v>421.00499999999994</v>
      </c>
      <c r="Y44" s="96">
        <f t="shared" si="32"/>
        <v>0.21050249999999998</v>
      </c>
      <c r="Z44" s="86"/>
      <c r="AA44" s="72"/>
      <c r="AB44" s="65"/>
    </row>
    <row r="45" spans="1:28" ht="15.95" customHeight="1" x14ac:dyDescent="0.25">
      <c r="K45" s="64" t="s">
        <v>33</v>
      </c>
      <c r="L45" s="75">
        <f>SUM(L35:L44)</f>
        <v>35940.424999999988</v>
      </c>
      <c r="M45" s="75"/>
      <c r="N45" s="97"/>
      <c r="O45" s="88">
        <f>SUM(O35:O44)</f>
        <v>2425.9239964285712</v>
      </c>
      <c r="P45" s="98">
        <f>SUM(P35:P44)</f>
        <v>17.970212500000002</v>
      </c>
      <c r="Q45" s="86"/>
      <c r="R45" s="86"/>
      <c r="S45" s="86"/>
      <c r="T45" s="64" t="s">
        <v>33</v>
      </c>
      <c r="U45" s="75">
        <f>SUM(U35:U44)</f>
        <v>37171.017499999994</v>
      </c>
      <c r="V45" s="75"/>
      <c r="W45" s="97"/>
      <c r="X45" s="88">
        <f>SUM(X35:X44)</f>
        <v>2609.5883790178573</v>
      </c>
      <c r="Y45" s="98">
        <f>SUM(Y35:Y44)</f>
        <v>18.585508750000002</v>
      </c>
      <c r="Z45" s="86"/>
      <c r="AA45" s="72"/>
      <c r="AB45" s="65"/>
    </row>
    <row r="46" spans="1:28" s="56" customFormat="1" ht="16.5" hidden="1" thickBot="1" x14ac:dyDescent="0.3">
      <c r="A46" s="44"/>
      <c r="B46" s="44"/>
      <c r="C46" s="44"/>
      <c r="D46" s="44"/>
      <c r="E46" s="44"/>
      <c r="F46" s="44"/>
      <c r="G46" s="44"/>
      <c r="H46" s="44"/>
      <c r="I46" s="44"/>
      <c r="J46" s="44"/>
      <c r="K46" s="44"/>
      <c r="L46" s="44"/>
      <c r="M46" s="44"/>
      <c r="N46" s="44"/>
      <c r="O46" s="44"/>
      <c r="P46" s="44"/>
      <c r="Q46" s="49"/>
      <c r="R46" s="49"/>
      <c r="S46" s="49"/>
      <c r="T46" s="44"/>
      <c r="U46" s="53"/>
      <c r="V46" s="53"/>
      <c r="W46" s="53"/>
      <c r="X46" s="53"/>
      <c r="Y46" s="53"/>
      <c r="Z46" s="44"/>
      <c r="AA46" s="72"/>
      <c r="AB46" s="99"/>
    </row>
  </sheetData>
  <sheetProtection sheet="1" objects="1" scenarios="1"/>
  <mergeCells count="3">
    <mergeCell ref="B2:D2"/>
    <mergeCell ref="Q4:R4"/>
    <mergeCell ref="Z4:AA4"/>
  </mergeCells>
  <phoneticPr fontId="0" type="noConversion"/>
  <pageMargins left="0.75" right="0.5" top="0.7" bottom="0.5" header="0" footer="0"/>
  <pageSetup scale="81" orientation="portrait" r:id="rId1"/>
  <headerFooter alignWithMargins="0"/>
  <colBreaks count="1" manualBreakCount="1">
    <brk id="9" max="1048575" man="1"/>
  </colBreaks>
  <ignoredErrors>
    <ignoredError sqref="M6:M15 M21:M30 V6:V15" unlocked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V62"/>
  <sheetViews>
    <sheetView showGridLines="0" showOutlineSymbols="0" topLeftCell="A33" zoomScale="130" zoomScaleNormal="130" zoomScaleSheetLayoutView="90" workbookViewId="0">
      <selection activeCell="G49" sqref="G49"/>
    </sheetView>
  </sheetViews>
  <sheetFormatPr defaultColWidth="0" defaultRowHeight="17.25" zeroHeight="1" x14ac:dyDescent="0.3"/>
  <cols>
    <col min="1" max="1" width="3.33203125" style="4" customWidth="1"/>
    <col min="2" max="2" width="35" style="4" customWidth="1"/>
    <col min="3" max="8" width="9.5546875" style="4" customWidth="1"/>
    <col min="9" max="9" width="18.77734375" style="101" hidden="1" customWidth="1"/>
    <col min="10" max="10" width="2.77734375" style="4" customWidth="1"/>
    <col min="11" max="11" width="8.88671875" style="4" hidden="1" customWidth="1"/>
    <col min="12" max="204" width="0" style="4" hidden="1" customWidth="1"/>
    <col min="205" max="16384" width="8.88671875" style="4" hidden="1"/>
  </cols>
  <sheetData>
    <row r="1" spans="1:203" ht="18" thickBot="1" x14ac:dyDescent="0.35"/>
    <row r="2" spans="1:203" ht="21.75" thickBot="1" x14ac:dyDescent="0.4">
      <c r="A2" s="102"/>
      <c r="B2" s="54" t="s">
        <v>122</v>
      </c>
      <c r="C2" s="55"/>
      <c r="D2" s="55"/>
      <c r="E2" s="103"/>
      <c r="F2" s="103"/>
      <c r="G2" s="103"/>
      <c r="H2" s="104"/>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102"/>
      <c r="BV2" s="102"/>
      <c r="BW2" s="102"/>
      <c r="BX2" s="102"/>
      <c r="BY2" s="102"/>
      <c r="BZ2" s="102"/>
      <c r="CA2" s="102"/>
      <c r="CB2" s="102"/>
      <c r="CC2" s="102"/>
      <c r="CD2" s="102"/>
      <c r="CE2" s="102"/>
      <c r="CF2" s="102"/>
      <c r="CG2" s="102"/>
      <c r="CH2" s="102"/>
      <c r="CI2" s="102"/>
      <c r="CJ2" s="102"/>
      <c r="CK2" s="102"/>
      <c r="CL2" s="102"/>
      <c r="CM2" s="102"/>
      <c r="CN2" s="102"/>
      <c r="CO2" s="102"/>
      <c r="CP2" s="102"/>
      <c r="CQ2" s="102"/>
      <c r="CR2" s="102"/>
      <c r="CS2" s="102"/>
      <c r="CT2" s="102"/>
      <c r="CU2" s="102"/>
      <c r="CV2" s="102"/>
      <c r="CW2" s="102"/>
      <c r="CX2" s="102"/>
      <c r="CY2" s="102"/>
      <c r="CZ2" s="102"/>
      <c r="DA2" s="102"/>
      <c r="DB2" s="102"/>
      <c r="DC2" s="102"/>
      <c r="DD2" s="102"/>
      <c r="DE2" s="102"/>
      <c r="DF2" s="102"/>
      <c r="DG2" s="102"/>
      <c r="DH2" s="102"/>
      <c r="DI2" s="102"/>
      <c r="DJ2" s="102"/>
      <c r="DK2" s="102"/>
      <c r="DL2" s="102"/>
      <c r="DM2" s="102"/>
      <c r="DN2" s="102"/>
      <c r="DO2" s="102"/>
      <c r="DP2" s="102"/>
      <c r="DQ2" s="102"/>
      <c r="DR2" s="102"/>
      <c r="DS2" s="102"/>
      <c r="DT2" s="102"/>
      <c r="DU2" s="102"/>
      <c r="DV2" s="102"/>
      <c r="DW2" s="102"/>
      <c r="DX2" s="102"/>
      <c r="DY2" s="102"/>
      <c r="DZ2" s="102"/>
      <c r="EA2" s="102"/>
      <c r="EB2" s="102"/>
      <c r="EC2" s="102"/>
      <c r="ED2" s="102"/>
      <c r="EE2" s="102"/>
      <c r="EF2" s="102"/>
      <c r="EG2" s="102"/>
      <c r="EH2" s="102"/>
      <c r="EI2" s="102"/>
      <c r="EJ2" s="102"/>
      <c r="EK2" s="102"/>
      <c r="EL2" s="102"/>
      <c r="EM2" s="102"/>
      <c r="EN2" s="102"/>
      <c r="EO2" s="102"/>
      <c r="EP2" s="102"/>
      <c r="EQ2" s="102"/>
      <c r="ER2" s="102"/>
      <c r="ES2" s="102"/>
      <c r="ET2" s="102"/>
      <c r="EU2" s="102"/>
      <c r="EV2" s="102"/>
      <c r="EW2" s="102"/>
      <c r="EX2" s="102"/>
      <c r="EY2" s="102"/>
      <c r="EZ2" s="102"/>
      <c r="FA2" s="102"/>
      <c r="FB2" s="102"/>
      <c r="FC2" s="102"/>
      <c r="FD2" s="102"/>
      <c r="FE2" s="102"/>
      <c r="FF2" s="102"/>
      <c r="FG2" s="102"/>
      <c r="FH2" s="102"/>
      <c r="FI2" s="102"/>
      <c r="FJ2" s="102"/>
      <c r="FK2" s="102"/>
      <c r="FL2" s="102"/>
      <c r="FM2" s="102"/>
      <c r="FN2" s="102"/>
      <c r="FO2" s="102"/>
      <c r="FP2" s="102"/>
      <c r="FQ2" s="102"/>
      <c r="FR2" s="102"/>
      <c r="FS2" s="102"/>
      <c r="FT2" s="102"/>
      <c r="FU2" s="102"/>
      <c r="FV2" s="102"/>
      <c r="FW2" s="102"/>
      <c r="FX2" s="102"/>
      <c r="FY2" s="102"/>
      <c r="FZ2" s="102"/>
      <c r="GA2" s="102"/>
      <c r="GB2" s="102"/>
      <c r="GC2" s="102"/>
      <c r="GD2" s="102"/>
      <c r="GE2" s="102"/>
      <c r="GF2" s="102"/>
      <c r="GG2" s="102"/>
      <c r="GH2" s="102"/>
      <c r="GI2" s="102"/>
      <c r="GJ2" s="102"/>
      <c r="GK2" s="102"/>
      <c r="GL2" s="102"/>
      <c r="GM2" s="102"/>
      <c r="GN2" s="102"/>
      <c r="GO2" s="102"/>
      <c r="GP2" s="102"/>
      <c r="GQ2" s="102"/>
      <c r="GR2" s="102"/>
      <c r="GS2" s="102"/>
      <c r="GT2" s="102"/>
      <c r="GU2" s="102"/>
    </row>
    <row r="3" spans="1:203" x14ac:dyDescent="0.3">
      <c r="A3" s="102"/>
      <c r="B3" s="44"/>
      <c r="C3" s="69" t="s">
        <v>40</v>
      </c>
      <c r="D3" s="69"/>
      <c r="E3" s="69" t="s">
        <v>43</v>
      </c>
      <c r="F3" s="69"/>
      <c r="G3" s="69" t="s">
        <v>44</v>
      </c>
      <c r="H3" s="69"/>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c r="BP3" s="102"/>
      <c r="BQ3" s="102"/>
      <c r="BR3" s="102"/>
      <c r="BS3" s="102"/>
      <c r="BT3" s="102"/>
      <c r="BU3" s="102"/>
      <c r="BV3" s="102"/>
      <c r="BW3" s="102"/>
      <c r="BX3" s="102"/>
      <c r="BY3" s="102"/>
      <c r="BZ3" s="102"/>
      <c r="CA3" s="102"/>
      <c r="CB3" s="102"/>
      <c r="CC3" s="102"/>
      <c r="CD3" s="102"/>
      <c r="CE3" s="102"/>
      <c r="CF3" s="102"/>
      <c r="CG3" s="102"/>
      <c r="CH3" s="102"/>
      <c r="CI3" s="102"/>
      <c r="CJ3" s="102"/>
      <c r="CK3" s="102"/>
      <c r="CL3" s="102"/>
      <c r="CM3" s="102"/>
      <c r="CN3" s="102"/>
      <c r="CO3" s="102"/>
      <c r="CP3" s="102"/>
      <c r="CQ3" s="102"/>
      <c r="CR3" s="102"/>
      <c r="CS3" s="102"/>
      <c r="CT3" s="102"/>
      <c r="CU3" s="102"/>
      <c r="CV3" s="102"/>
      <c r="CW3" s="102"/>
      <c r="CX3" s="102"/>
      <c r="CY3" s="102"/>
      <c r="CZ3" s="102"/>
      <c r="DA3" s="102"/>
      <c r="DB3" s="102"/>
      <c r="DC3" s="102"/>
      <c r="DD3" s="102"/>
      <c r="DE3" s="102"/>
      <c r="DF3" s="102"/>
      <c r="DG3" s="102"/>
      <c r="DH3" s="102"/>
      <c r="DI3" s="102"/>
      <c r="DJ3" s="102"/>
      <c r="DK3" s="102"/>
      <c r="DL3" s="102"/>
      <c r="DM3" s="102"/>
      <c r="DN3" s="102"/>
      <c r="DO3" s="102"/>
      <c r="DP3" s="102"/>
      <c r="DQ3" s="102"/>
      <c r="DR3" s="102"/>
      <c r="DS3" s="102"/>
      <c r="DT3" s="102"/>
      <c r="DU3" s="102"/>
      <c r="DV3" s="102"/>
      <c r="DW3" s="102"/>
      <c r="DX3" s="102"/>
      <c r="DY3" s="102"/>
      <c r="DZ3" s="102"/>
      <c r="EA3" s="102"/>
      <c r="EB3" s="102"/>
      <c r="EC3" s="102"/>
      <c r="ED3" s="102"/>
      <c r="EE3" s="102"/>
      <c r="EF3" s="102"/>
      <c r="EG3" s="102"/>
      <c r="EH3" s="102"/>
      <c r="EI3" s="102"/>
      <c r="EJ3" s="102"/>
      <c r="EK3" s="102"/>
      <c r="EL3" s="102"/>
      <c r="EM3" s="102"/>
      <c r="EN3" s="102"/>
      <c r="EO3" s="102"/>
      <c r="EP3" s="102"/>
      <c r="EQ3" s="102"/>
      <c r="ER3" s="102"/>
      <c r="ES3" s="102"/>
      <c r="ET3" s="102"/>
      <c r="EU3" s="102"/>
      <c r="EV3" s="102"/>
      <c r="EW3" s="102"/>
      <c r="EX3" s="102"/>
      <c r="EY3" s="102"/>
      <c r="EZ3" s="102"/>
      <c r="FA3" s="102"/>
      <c r="FB3" s="102"/>
      <c r="FC3" s="102"/>
      <c r="FD3" s="102"/>
      <c r="FE3" s="102"/>
      <c r="FF3" s="102"/>
      <c r="FG3" s="102"/>
      <c r="FH3" s="102"/>
      <c r="FI3" s="102"/>
      <c r="FJ3" s="102"/>
      <c r="FK3" s="102"/>
      <c r="FL3" s="102"/>
      <c r="FM3" s="102"/>
      <c r="FN3" s="102"/>
      <c r="FO3" s="102"/>
      <c r="FP3" s="102"/>
      <c r="FQ3" s="102"/>
      <c r="FR3" s="102"/>
      <c r="FS3" s="102"/>
      <c r="FT3" s="102"/>
      <c r="FU3" s="102"/>
      <c r="FV3" s="102"/>
      <c r="FW3" s="102"/>
      <c r="FX3" s="102"/>
      <c r="FY3" s="102"/>
      <c r="FZ3" s="102"/>
      <c r="GA3" s="102"/>
      <c r="GB3" s="102"/>
      <c r="GC3" s="102"/>
      <c r="GD3" s="102"/>
      <c r="GE3" s="102"/>
      <c r="GF3" s="102"/>
      <c r="GG3" s="102"/>
      <c r="GH3" s="102"/>
      <c r="GI3" s="102"/>
      <c r="GJ3" s="102"/>
      <c r="GK3" s="102"/>
      <c r="GL3" s="102"/>
      <c r="GM3" s="102"/>
      <c r="GN3" s="102"/>
      <c r="GO3" s="102"/>
      <c r="GP3" s="102"/>
      <c r="GQ3" s="102"/>
      <c r="GR3" s="102"/>
      <c r="GS3" s="102"/>
      <c r="GT3" s="102"/>
      <c r="GU3" s="102"/>
    </row>
    <row r="4" spans="1:203" x14ac:dyDescent="0.3">
      <c r="A4" s="102"/>
      <c r="B4" s="44"/>
      <c r="C4" s="69" t="s">
        <v>39</v>
      </c>
      <c r="D4" s="69"/>
      <c r="E4" s="69" t="s">
        <v>42</v>
      </c>
      <c r="F4" s="69"/>
      <c r="G4" s="69" t="s">
        <v>45</v>
      </c>
      <c r="H4" s="69"/>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c r="AR4" s="102"/>
      <c r="AS4" s="102"/>
      <c r="AT4" s="102"/>
      <c r="AU4" s="102"/>
      <c r="AV4" s="102"/>
      <c r="AW4" s="102"/>
      <c r="AX4" s="102"/>
      <c r="AY4" s="102"/>
      <c r="AZ4" s="102"/>
      <c r="BA4" s="102"/>
      <c r="BB4" s="102"/>
      <c r="BC4" s="102"/>
      <c r="BD4" s="102"/>
      <c r="BE4" s="102"/>
      <c r="BF4" s="102"/>
      <c r="BG4" s="102"/>
      <c r="BH4" s="102"/>
      <c r="BI4" s="102"/>
      <c r="BJ4" s="102"/>
      <c r="BK4" s="102"/>
      <c r="BL4" s="102"/>
      <c r="BM4" s="102"/>
      <c r="BN4" s="102"/>
      <c r="BO4" s="102"/>
      <c r="BP4" s="102"/>
      <c r="BQ4" s="102"/>
      <c r="BR4" s="102"/>
      <c r="BS4" s="102"/>
      <c r="BT4" s="102"/>
      <c r="BU4" s="102"/>
      <c r="BV4" s="102"/>
      <c r="BW4" s="102"/>
      <c r="BX4" s="102"/>
      <c r="BY4" s="102"/>
      <c r="BZ4" s="102"/>
      <c r="CA4" s="102"/>
      <c r="CB4" s="102"/>
      <c r="CC4" s="102"/>
      <c r="CD4" s="102"/>
      <c r="CE4" s="102"/>
      <c r="CF4" s="102"/>
      <c r="CG4" s="102"/>
      <c r="CH4" s="102"/>
      <c r="CI4" s="102"/>
      <c r="CJ4" s="102"/>
      <c r="CK4" s="102"/>
      <c r="CL4" s="102"/>
      <c r="CM4" s="102"/>
      <c r="CN4" s="102"/>
      <c r="CO4" s="102"/>
      <c r="CP4" s="102"/>
      <c r="CQ4" s="102"/>
      <c r="CR4" s="102"/>
      <c r="CS4" s="102"/>
      <c r="CT4" s="102"/>
      <c r="CU4" s="102"/>
      <c r="CV4" s="102"/>
      <c r="CW4" s="102"/>
      <c r="CX4" s="102"/>
      <c r="CY4" s="102"/>
      <c r="CZ4" s="102"/>
      <c r="DA4" s="102"/>
      <c r="DB4" s="102"/>
      <c r="DC4" s="102"/>
      <c r="DD4" s="102"/>
      <c r="DE4" s="102"/>
      <c r="DF4" s="102"/>
      <c r="DG4" s="102"/>
      <c r="DH4" s="102"/>
      <c r="DI4" s="102"/>
      <c r="DJ4" s="102"/>
      <c r="DK4" s="102"/>
      <c r="DL4" s="102"/>
      <c r="DM4" s="102"/>
      <c r="DN4" s="102"/>
      <c r="DO4" s="102"/>
      <c r="DP4" s="102"/>
      <c r="DQ4" s="102"/>
      <c r="DR4" s="102"/>
      <c r="DS4" s="102"/>
      <c r="DT4" s="102"/>
      <c r="DU4" s="102"/>
      <c r="DV4" s="102"/>
      <c r="DW4" s="102"/>
      <c r="DX4" s="102"/>
      <c r="DY4" s="102"/>
      <c r="DZ4" s="102"/>
      <c r="EA4" s="102"/>
      <c r="EB4" s="102"/>
      <c r="EC4" s="102"/>
      <c r="ED4" s="102"/>
      <c r="EE4" s="102"/>
      <c r="EF4" s="102"/>
      <c r="EG4" s="102"/>
      <c r="EH4" s="102"/>
      <c r="EI4" s="102"/>
      <c r="EJ4" s="102"/>
      <c r="EK4" s="102"/>
      <c r="EL4" s="102"/>
      <c r="EM4" s="102"/>
      <c r="EN4" s="102"/>
      <c r="EO4" s="102"/>
      <c r="EP4" s="102"/>
      <c r="EQ4" s="102"/>
      <c r="ER4" s="102"/>
      <c r="ES4" s="102"/>
      <c r="ET4" s="102"/>
      <c r="EU4" s="102"/>
      <c r="EV4" s="102"/>
      <c r="EW4" s="102"/>
      <c r="EX4" s="102"/>
      <c r="EY4" s="102"/>
      <c r="EZ4" s="102"/>
      <c r="FA4" s="102"/>
      <c r="FB4" s="102"/>
      <c r="FC4" s="102"/>
      <c r="FD4" s="102"/>
      <c r="FE4" s="102"/>
      <c r="FF4" s="102"/>
      <c r="FG4" s="102"/>
      <c r="FH4" s="102"/>
      <c r="FI4" s="102"/>
      <c r="FJ4" s="102"/>
      <c r="FK4" s="102"/>
      <c r="FL4" s="102"/>
      <c r="FM4" s="102"/>
      <c r="FN4" s="102"/>
      <c r="FO4" s="102"/>
      <c r="FP4" s="102"/>
      <c r="FQ4" s="102"/>
      <c r="FR4" s="102"/>
      <c r="FS4" s="102"/>
      <c r="FT4" s="102"/>
      <c r="FU4" s="102"/>
      <c r="FV4" s="102"/>
      <c r="FW4" s="102"/>
      <c r="FX4" s="102"/>
      <c r="FY4" s="102"/>
      <c r="FZ4" s="102"/>
      <c r="GA4" s="102"/>
      <c r="GB4" s="102"/>
      <c r="GC4" s="102"/>
      <c r="GD4" s="102"/>
      <c r="GE4" s="102"/>
      <c r="GF4" s="102"/>
      <c r="GG4" s="102"/>
      <c r="GH4" s="102"/>
      <c r="GI4" s="102"/>
      <c r="GJ4" s="102"/>
      <c r="GK4" s="102"/>
      <c r="GL4" s="102"/>
      <c r="GM4" s="102"/>
      <c r="GN4" s="102"/>
      <c r="GO4" s="102"/>
      <c r="GP4" s="102"/>
      <c r="GQ4" s="102"/>
      <c r="GR4" s="102"/>
      <c r="GS4" s="102"/>
      <c r="GT4" s="102"/>
      <c r="GU4" s="102"/>
    </row>
    <row r="5" spans="1:203" x14ac:dyDescent="0.3">
      <c r="A5" s="102"/>
      <c r="B5" s="44" t="s">
        <v>41</v>
      </c>
      <c r="C5" s="27">
        <v>90</v>
      </c>
      <c r="D5" s="27">
        <v>180</v>
      </c>
      <c r="E5" s="72">
        <f>+D5</f>
        <v>180</v>
      </c>
      <c r="F5" s="27">
        <v>235</v>
      </c>
      <c r="G5" s="72">
        <f>+F5</f>
        <v>235</v>
      </c>
      <c r="H5" s="27">
        <v>400</v>
      </c>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c r="BE5" s="102"/>
      <c r="BF5" s="102"/>
      <c r="BG5" s="102"/>
      <c r="BH5" s="102"/>
      <c r="BI5" s="102"/>
      <c r="BJ5" s="102"/>
      <c r="BK5" s="102"/>
      <c r="BL5" s="102"/>
      <c r="BM5" s="102"/>
      <c r="BN5" s="102"/>
      <c r="BO5" s="102"/>
      <c r="BP5" s="102"/>
      <c r="BQ5" s="102"/>
      <c r="BR5" s="102"/>
      <c r="BS5" s="102"/>
      <c r="BT5" s="102"/>
      <c r="BU5" s="102"/>
      <c r="BV5" s="102"/>
      <c r="BW5" s="102"/>
      <c r="BX5" s="102"/>
      <c r="BY5" s="102"/>
      <c r="BZ5" s="102"/>
      <c r="CA5" s="102"/>
      <c r="CB5" s="102"/>
      <c r="CC5" s="102"/>
      <c r="CD5" s="102"/>
      <c r="CE5" s="102"/>
      <c r="CF5" s="102"/>
      <c r="CG5" s="102"/>
      <c r="CH5" s="102"/>
      <c r="CI5" s="102"/>
      <c r="CJ5" s="102"/>
      <c r="CK5" s="102"/>
      <c r="CL5" s="102"/>
      <c r="CM5" s="102"/>
      <c r="CN5" s="102"/>
      <c r="CO5" s="102"/>
      <c r="CP5" s="102"/>
      <c r="CQ5" s="102"/>
      <c r="CR5" s="102"/>
      <c r="CS5" s="102"/>
      <c r="CT5" s="102"/>
      <c r="CU5" s="102"/>
      <c r="CV5" s="102"/>
      <c r="CW5" s="102"/>
      <c r="CX5" s="102"/>
      <c r="CY5" s="102"/>
      <c r="CZ5" s="102"/>
      <c r="DA5" s="102"/>
      <c r="DB5" s="102"/>
      <c r="DC5" s="102"/>
      <c r="DD5" s="102"/>
      <c r="DE5" s="102"/>
      <c r="DF5" s="102"/>
      <c r="DG5" s="102"/>
      <c r="DH5" s="102"/>
      <c r="DI5" s="102"/>
      <c r="DJ5" s="102"/>
      <c r="DK5" s="102"/>
      <c r="DL5" s="102"/>
      <c r="DM5" s="102"/>
      <c r="DN5" s="102"/>
      <c r="DO5" s="102"/>
      <c r="DP5" s="102"/>
      <c r="DQ5" s="102"/>
      <c r="DR5" s="102"/>
      <c r="DS5" s="102"/>
      <c r="DT5" s="102"/>
      <c r="DU5" s="102"/>
      <c r="DV5" s="102"/>
      <c r="DW5" s="102"/>
      <c r="DX5" s="102"/>
      <c r="DY5" s="102"/>
      <c r="DZ5" s="102"/>
      <c r="EA5" s="102"/>
      <c r="EB5" s="102"/>
      <c r="EC5" s="102"/>
      <c r="ED5" s="102"/>
      <c r="EE5" s="102"/>
      <c r="EF5" s="102"/>
      <c r="EG5" s="102"/>
      <c r="EH5" s="102"/>
      <c r="EI5" s="102"/>
      <c r="EJ5" s="102"/>
      <c r="EK5" s="102"/>
      <c r="EL5" s="102"/>
      <c r="EM5" s="102"/>
      <c r="EN5" s="102"/>
      <c r="EO5" s="102"/>
      <c r="EP5" s="102"/>
      <c r="EQ5" s="102"/>
      <c r="ER5" s="102"/>
      <c r="ES5" s="102"/>
      <c r="ET5" s="102"/>
      <c r="EU5" s="102"/>
      <c r="EV5" s="102"/>
      <c r="EW5" s="102"/>
      <c r="EX5" s="102"/>
      <c r="EY5" s="102"/>
      <c r="EZ5" s="102"/>
      <c r="FA5" s="102"/>
      <c r="FB5" s="102"/>
      <c r="FC5" s="102"/>
      <c r="FD5" s="102"/>
      <c r="FE5" s="102"/>
      <c r="FF5" s="102"/>
      <c r="FG5" s="102"/>
      <c r="FH5" s="102"/>
      <c r="FI5" s="102"/>
      <c r="FJ5" s="102"/>
      <c r="FK5" s="102"/>
      <c r="FL5" s="102"/>
      <c r="FM5" s="102"/>
      <c r="FN5" s="102"/>
      <c r="FO5" s="102"/>
      <c r="FP5" s="102"/>
      <c r="FQ5" s="102"/>
      <c r="FR5" s="102"/>
      <c r="FS5" s="102"/>
      <c r="FT5" s="102"/>
      <c r="FU5" s="102"/>
      <c r="FV5" s="102"/>
      <c r="FW5" s="102"/>
      <c r="FX5" s="102"/>
      <c r="FY5" s="102"/>
      <c r="FZ5" s="102"/>
      <c r="GA5" s="102"/>
      <c r="GB5" s="102"/>
      <c r="GC5" s="102"/>
      <c r="GD5" s="102"/>
      <c r="GE5" s="102"/>
      <c r="GF5" s="102"/>
      <c r="GG5" s="102"/>
      <c r="GH5" s="102"/>
      <c r="GI5" s="102"/>
      <c r="GJ5" s="102"/>
      <c r="GK5" s="102"/>
      <c r="GL5" s="102"/>
      <c r="GM5" s="102"/>
      <c r="GN5" s="102"/>
      <c r="GO5" s="102"/>
      <c r="GP5" s="102"/>
      <c r="GQ5" s="102"/>
      <c r="GR5" s="102"/>
      <c r="GS5" s="102"/>
      <c r="GT5" s="102"/>
      <c r="GU5" s="102"/>
    </row>
    <row r="6" spans="1:203" x14ac:dyDescent="0.3">
      <c r="A6" s="102"/>
      <c r="B6" s="76"/>
      <c r="C6" s="105"/>
      <c r="D6" s="105"/>
      <c r="E6" s="105"/>
      <c r="F6" s="105"/>
      <c r="G6" s="105"/>
      <c r="H6" s="105"/>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02"/>
      <c r="CP6" s="102"/>
      <c r="CQ6" s="102"/>
      <c r="CR6" s="102"/>
      <c r="CS6" s="102"/>
      <c r="CT6" s="102"/>
      <c r="CU6" s="102"/>
      <c r="CV6" s="102"/>
      <c r="CW6" s="102"/>
      <c r="CX6" s="102"/>
      <c r="CY6" s="102"/>
      <c r="CZ6" s="102"/>
      <c r="DA6" s="102"/>
      <c r="DB6" s="102"/>
      <c r="DC6" s="102"/>
      <c r="DD6" s="102"/>
      <c r="DE6" s="102"/>
      <c r="DF6" s="102"/>
      <c r="DG6" s="102"/>
      <c r="DH6" s="102"/>
      <c r="DI6" s="102"/>
      <c r="DJ6" s="102"/>
      <c r="DK6" s="102"/>
      <c r="DL6" s="102"/>
      <c r="DM6" s="102"/>
      <c r="DN6" s="102"/>
      <c r="DO6" s="102"/>
      <c r="DP6" s="102"/>
      <c r="DQ6" s="102"/>
      <c r="DR6" s="102"/>
      <c r="DS6" s="102"/>
      <c r="DT6" s="102"/>
      <c r="DU6" s="102"/>
      <c r="DV6" s="102"/>
      <c r="DW6" s="102"/>
      <c r="DX6" s="102"/>
      <c r="DY6" s="102"/>
      <c r="DZ6" s="102"/>
      <c r="EA6" s="102"/>
      <c r="EB6" s="102"/>
      <c r="EC6" s="102"/>
      <c r="ED6" s="102"/>
      <c r="EE6" s="102"/>
      <c r="EF6" s="102"/>
      <c r="EG6" s="102"/>
      <c r="EH6" s="102"/>
      <c r="EI6" s="102"/>
      <c r="EJ6" s="102"/>
      <c r="EK6" s="102"/>
      <c r="EL6" s="102"/>
      <c r="EM6" s="102"/>
      <c r="EN6" s="102"/>
      <c r="EO6" s="102"/>
      <c r="EP6" s="102"/>
      <c r="EQ6" s="102"/>
      <c r="ER6" s="102"/>
      <c r="ES6" s="102"/>
      <c r="ET6" s="102"/>
      <c r="EU6" s="102"/>
      <c r="EV6" s="102"/>
      <c r="EW6" s="102"/>
      <c r="EX6" s="102"/>
      <c r="EY6" s="102"/>
      <c r="EZ6" s="102"/>
      <c r="FA6" s="102"/>
      <c r="FB6" s="102"/>
      <c r="FC6" s="102"/>
      <c r="FD6" s="102"/>
      <c r="FE6" s="102"/>
      <c r="FF6" s="102"/>
      <c r="FG6" s="102"/>
      <c r="FH6" s="102"/>
      <c r="FI6" s="102"/>
      <c r="FJ6" s="102"/>
      <c r="FK6" s="102"/>
      <c r="FL6" s="102"/>
      <c r="FM6" s="102"/>
      <c r="FN6" s="102"/>
      <c r="FO6" s="102"/>
      <c r="FP6" s="102"/>
      <c r="FQ6" s="102"/>
      <c r="FR6" s="102"/>
      <c r="FS6" s="102"/>
      <c r="FT6" s="102"/>
      <c r="FU6" s="102"/>
      <c r="FV6" s="102"/>
      <c r="FW6" s="102"/>
      <c r="FX6" s="102"/>
      <c r="FY6" s="102"/>
      <c r="FZ6" s="102"/>
      <c r="GA6" s="102"/>
      <c r="GB6" s="102"/>
      <c r="GC6" s="102"/>
      <c r="GD6" s="102"/>
      <c r="GE6" s="102"/>
      <c r="GF6" s="102"/>
      <c r="GG6" s="102"/>
      <c r="GH6" s="102"/>
      <c r="GI6" s="102"/>
      <c r="GJ6" s="102"/>
      <c r="GK6" s="102"/>
      <c r="GL6" s="102"/>
      <c r="GM6" s="102"/>
      <c r="GN6" s="102"/>
      <c r="GO6" s="102"/>
      <c r="GP6" s="102"/>
      <c r="GQ6" s="102"/>
      <c r="GR6" s="102"/>
      <c r="GS6" s="102"/>
      <c r="GT6" s="102"/>
      <c r="GU6" s="102"/>
    </row>
    <row r="7" spans="1:203" x14ac:dyDescent="0.3">
      <c r="A7" s="102"/>
      <c r="B7" s="41" t="s">
        <v>160</v>
      </c>
      <c r="C7" s="106" t="s">
        <v>14</v>
      </c>
      <c r="D7" s="106" t="s">
        <v>15</v>
      </c>
      <c r="E7" s="106" t="s">
        <v>14</v>
      </c>
      <c r="F7" s="106" t="s">
        <v>15</v>
      </c>
      <c r="G7" s="106" t="s">
        <v>14</v>
      </c>
      <c r="H7" s="106" t="s">
        <v>15</v>
      </c>
      <c r="I7" s="107"/>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2"/>
      <c r="BR7" s="102"/>
      <c r="BS7" s="102"/>
      <c r="BT7" s="102"/>
      <c r="BU7" s="102"/>
      <c r="BV7" s="102"/>
      <c r="BW7" s="102"/>
      <c r="BX7" s="102"/>
      <c r="BY7" s="102"/>
      <c r="BZ7" s="102"/>
      <c r="CA7" s="102"/>
      <c r="CB7" s="102"/>
      <c r="CC7" s="102"/>
      <c r="CD7" s="102"/>
      <c r="CE7" s="102"/>
      <c r="CF7" s="102"/>
      <c r="CG7" s="102"/>
      <c r="CH7" s="102"/>
      <c r="CI7" s="102"/>
      <c r="CJ7" s="102"/>
      <c r="CK7" s="102"/>
      <c r="CL7" s="102"/>
      <c r="CM7" s="102"/>
      <c r="CN7" s="102"/>
      <c r="CO7" s="102"/>
      <c r="CP7" s="102"/>
      <c r="CQ7" s="102"/>
      <c r="CR7" s="102"/>
      <c r="CS7" s="102"/>
      <c r="CT7" s="102"/>
      <c r="CU7" s="102"/>
      <c r="CV7" s="102"/>
      <c r="CW7" s="102"/>
      <c r="CX7" s="102"/>
      <c r="CY7" s="102"/>
      <c r="CZ7" s="102"/>
      <c r="DA7" s="102"/>
      <c r="DB7" s="102"/>
      <c r="DC7" s="102"/>
      <c r="DD7" s="102"/>
      <c r="DE7" s="102"/>
      <c r="DF7" s="102"/>
      <c r="DG7" s="102"/>
      <c r="DH7" s="102"/>
      <c r="DI7" s="102"/>
      <c r="DJ7" s="102"/>
      <c r="DK7" s="102"/>
      <c r="DL7" s="102"/>
      <c r="DM7" s="102"/>
      <c r="DN7" s="102"/>
      <c r="DO7" s="102"/>
      <c r="DP7" s="102"/>
      <c r="DQ7" s="102"/>
      <c r="DR7" s="102"/>
      <c r="DS7" s="102"/>
      <c r="DT7" s="102"/>
      <c r="DU7" s="102"/>
      <c r="DV7" s="102"/>
      <c r="DW7" s="102"/>
      <c r="DX7" s="102"/>
      <c r="DY7" s="102"/>
      <c r="DZ7" s="102"/>
      <c r="EA7" s="102"/>
      <c r="EB7" s="102"/>
      <c r="EC7" s="102"/>
      <c r="ED7" s="102"/>
      <c r="EE7" s="102"/>
      <c r="EF7" s="102"/>
      <c r="EG7" s="102"/>
      <c r="EH7" s="102"/>
      <c r="EI7" s="102"/>
      <c r="EJ7" s="102"/>
      <c r="EK7" s="102"/>
      <c r="EL7" s="102"/>
      <c r="EM7" s="102"/>
      <c r="EN7" s="102"/>
      <c r="EO7" s="102"/>
      <c r="EP7" s="102"/>
      <c r="EQ7" s="102"/>
      <c r="ER7" s="102"/>
      <c r="ES7" s="102"/>
      <c r="ET7" s="102"/>
      <c r="EU7" s="102"/>
      <c r="EV7" s="102"/>
      <c r="EW7" s="102"/>
      <c r="EX7" s="102"/>
      <c r="EY7" s="102"/>
      <c r="EZ7" s="102"/>
      <c r="FA7" s="102"/>
      <c r="FB7" s="102"/>
      <c r="FC7" s="102"/>
      <c r="FD7" s="102"/>
      <c r="FE7" s="102"/>
      <c r="FF7" s="102"/>
      <c r="FG7" s="102"/>
      <c r="FH7" s="102"/>
      <c r="FI7" s="102"/>
      <c r="FJ7" s="102"/>
      <c r="FK7" s="102"/>
      <c r="FL7" s="102"/>
      <c r="FM7" s="102"/>
      <c r="FN7" s="102"/>
      <c r="FO7" s="102"/>
      <c r="FP7" s="102"/>
      <c r="FQ7" s="102"/>
      <c r="FR7" s="102"/>
      <c r="FS7" s="102"/>
      <c r="FT7" s="102"/>
      <c r="FU7" s="102"/>
      <c r="FV7" s="102"/>
      <c r="FW7" s="102"/>
      <c r="FX7" s="102"/>
      <c r="FY7" s="102"/>
      <c r="FZ7" s="102"/>
      <c r="GA7" s="102"/>
      <c r="GB7" s="102"/>
      <c r="GC7" s="102"/>
      <c r="GD7" s="102"/>
      <c r="GE7" s="102"/>
      <c r="GF7" s="102"/>
      <c r="GG7" s="102"/>
      <c r="GH7" s="102"/>
      <c r="GI7" s="102"/>
      <c r="GJ7" s="102"/>
      <c r="GK7" s="102"/>
      <c r="GL7" s="102"/>
      <c r="GM7" s="102"/>
      <c r="GN7" s="102"/>
      <c r="GO7" s="102"/>
      <c r="GP7" s="102"/>
      <c r="GQ7" s="102"/>
      <c r="GR7" s="102"/>
      <c r="GS7" s="102"/>
      <c r="GT7" s="102"/>
      <c r="GU7" s="102"/>
    </row>
    <row r="8" spans="1:203" x14ac:dyDescent="0.3">
      <c r="A8" s="108" t="s">
        <v>61</v>
      </c>
      <c r="B8" s="44" t="str">
        <f>LEFT(A8,40)&amp;" @ $"&amp;FIXED(VLOOKUP(A8,Inputs!$B$5:$G$21,6),2)&amp;" per cwt."</f>
        <v>Milk replacer @ $170.00 per cwt.</v>
      </c>
      <c r="C8" s="27">
        <v>100</v>
      </c>
      <c r="D8" s="100">
        <f>C8/100*VLOOKUP($A8,Inputs!$B$5:$G$21,6)</f>
        <v>170</v>
      </c>
      <c r="E8" s="27">
        <v>0</v>
      </c>
      <c r="F8" s="100">
        <f>E8/100*VLOOKUP($A8,Inputs!$B$5:$G$21,6)</f>
        <v>0</v>
      </c>
      <c r="G8" s="27">
        <v>0</v>
      </c>
      <c r="H8" s="100">
        <f>G8/100*VLOOKUP($A8,Inputs!$B$5:$G$21,6)</f>
        <v>0</v>
      </c>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2"/>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2"/>
      <c r="EY8" s="102"/>
      <c r="EZ8" s="102"/>
      <c r="FA8" s="102"/>
      <c r="FB8" s="102"/>
      <c r="FC8" s="102"/>
      <c r="FD8" s="102"/>
      <c r="FE8" s="102"/>
      <c r="FF8" s="102"/>
      <c r="FG8" s="102"/>
      <c r="FH8" s="102"/>
      <c r="FI8" s="102"/>
      <c r="FJ8" s="102"/>
      <c r="FK8" s="102"/>
      <c r="FL8" s="102"/>
      <c r="FM8" s="102"/>
      <c r="FN8" s="102"/>
      <c r="FO8" s="102"/>
      <c r="FP8" s="102"/>
      <c r="FQ8" s="102"/>
      <c r="FR8" s="102"/>
      <c r="FS8" s="102"/>
      <c r="FT8" s="102"/>
      <c r="FU8" s="102"/>
      <c r="FV8" s="102"/>
      <c r="FW8" s="102"/>
      <c r="FX8" s="102"/>
      <c r="FY8" s="102"/>
      <c r="FZ8" s="102"/>
      <c r="GA8" s="102"/>
      <c r="GB8" s="102"/>
      <c r="GC8" s="102"/>
      <c r="GD8" s="102"/>
      <c r="GE8" s="102"/>
      <c r="GF8" s="102"/>
      <c r="GG8" s="102"/>
      <c r="GH8" s="102"/>
      <c r="GI8" s="102"/>
      <c r="GJ8" s="102"/>
      <c r="GK8" s="102"/>
      <c r="GL8" s="102"/>
      <c r="GM8" s="102"/>
      <c r="GN8" s="102"/>
      <c r="GO8" s="102"/>
      <c r="GP8" s="102"/>
      <c r="GQ8" s="102"/>
      <c r="GR8" s="102"/>
      <c r="GS8" s="102"/>
      <c r="GT8" s="102"/>
      <c r="GU8" s="102"/>
    </row>
    <row r="9" spans="1:203" x14ac:dyDescent="0.3">
      <c r="A9" s="108" t="s">
        <v>104</v>
      </c>
      <c r="B9" s="44" t="str">
        <f>LEFT(A9,40)&amp;" @ $"&amp;FIXED(VLOOKUP(A9,Inputs!$B$5:$G$21,6),2)&amp;" per cwt."</f>
        <v>Calf starter (18%) w/med @ $28.75 per cwt.</v>
      </c>
      <c r="C9" s="27">
        <v>100</v>
      </c>
      <c r="D9" s="100">
        <f>C9/100*VLOOKUP($A9,Inputs!$B$5:$G$21,6)</f>
        <v>28.75</v>
      </c>
      <c r="E9" s="27">
        <v>100</v>
      </c>
      <c r="F9" s="100">
        <f>E9/100*VLOOKUP($A9,Inputs!$B$5:$G$21,6)</f>
        <v>28.75</v>
      </c>
      <c r="G9" s="27">
        <v>0</v>
      </c>
      <c r="H9" s="100">
        <f>G9/100*VLOOKUP($A9,Inputs!$B$5:$G$21,6)</f>
        <v>0</v>
      </c>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c r="BV9" s="102"/>
      <c r="BW9" s="102"/>
      <c r="BX9" s="102"/>
      <c r="BY9" s="102"/>
      <c r="BZ9" s="102"/>
      <c r="CA9" s="102"/>
      <c r="CB9" s="102"/>
      <c r="CC9" s="102"/>
      <c r="CD9" s="102"/>
      <c r="CE9" s="102"/>
      <c r="CF9" s="102"/>
      <c r="CG9" s="102"/>
      <c r="CH9" s="102"/>
      <c r="CI9" s="102"/>
      <c r="CJ9" s="102"/>
      <c r="CK9" s="102"/>
      <c r="CL9" s="102"/>
      <c r="CM9" s="102"/>
      <c r="CN9" s="102"/>
      <c r="CO9" s="102"/>
      <c r="CP9" s="102"/>
      <c r="CQ9" s="102"/>
      <c r="CR9" s="102"/>
      <c r="CS9" s="102"/>
      <c r="CT9" s="102"/>
      <c r="CU9" s="102"/>
      <c r="CV9" s="102"/>
      <c r="CW9" s="102"/>
      <c r="CX9" s="102"/>
      <c r="CY9" s="102"/>
      <c r="CZ9" s="102"/>
      <c r="DA9" s="102"/>
      <c r="DB9" s="102"/>
      <c r="DC9" s="102"/>
      <c r="DD9" s="102"/>
      <c r="DE9" s="102"/>
      <c r="DF9" s="102"/>
      <c r="DG9" s="102"/>
      <c r="DH9" s="102"/>
      <c r="DI9" s="102"/>
      <c r="DJ9" s="102"/>
      <c r="DK9" s="102"/>
      <c r="DL9" s="102"/>
      <c r="DM9" s="102"/>
      <c r="DN9" s="102"/>
      <c r="DO9" s="102"/>
      <c r="DP9" s="102"/>
      <c r="DQ9" s="102"/>
      <c r="DR9" s="102"/>
      <c r="DS9" s="102"/>
      <c r="DT9" s="102"/>
      <c r="DU9" s="102"/>
      <c r="DV9" s="102"/>
      <c r="DW9" s="102"/>
      <c r="DX9" s="102"/>
      <c r="DY9" s="102"/>
      <c r="DZ9" s="102"/>
      <c r="EA9" s="102"/>
      <c r="EB9" s="102"/>
      <c r="EC9" s="102"/>
      <c r="ED9" s="102"/>
      <c r="EE9" s="102"/>
      <c r="EF9" s="102"/>
      <c r="EG9" s="102"/>
      <c r="EH9" s="102"/>
      <c r="EI9" s="102"/>
      <c r="EJ9" s="102"/>
      <c r="EK9" s="102"/>
      <c r="EL9" s="102"/>
      <c r="EM9" s="102"/>
      <c r="EN9" s="102"/>
      <c r="EO9" s="102"/>
      <c r="EP9" s="102"/>
      <c r="EQ9" s="102"/>
      <c r="ER9" s="102"/>
      <c r="ES9" s="102"/>
      <c r="ET9" s="102"/>
      <c r="EU9" s="102"/>
      <c r="EV9" s="102"/>
      <c r="EW9" s="102"/>
      <c r="EX9" s="102"/>
      <c r="EY9" s="102"/>
      <c r="EZ9" s="102"/>
      <c r="FA9" s="102"/>
      <c r="FB9" s="102"/>
      <c r="FC9" s="102"/>
      <c r="FD9" s="102"/>
      <c r="FE9" s="102"/>
      <c r="FF9" s="102"/>
      <c r="FG9" s="102"/>
      <c r="FH9" s="102"/>
      <c r="FI9" s="102"/>
      <c r="FJ9" s="102"/>
      <c r="FK9" s="102"/>
      <c r="FL9" s="102"/>
      <c r="FM9" s="102"/>
      <c r="FN9" s="102"/>
      <c r="FO9" s="102"/>
      <c r="FP9" s="102"/>
      <c r="FQ9" s="102"/>
      <c r="FR9" s="102"/>
      <c r="FS9" s="102"/>
      <c r="FT9" s="102"/>
      <c r="FU9" s="102"/>
      <c r="FV9" s="102"/>
      <c r="FW9" s="102"/>
      <c r="FX9" s="102"/>
      <c r="FY9" s="102"/>
      <c r="FZ9" s="102"/>
      <c r="GA9" s="102"/>
      <c r="GB9" s="102"/>
      <c r="GC9" s="102"/>
      <c r="GD9" s="102"/>
      <c r="GE9" s="102"/>
      <c r="GF9" s="102"/>
      <c r="GG9" s="102"/>
      <c r="GH9" s="102"/>
      <c r="GI9" s="102"/>
      <c r="GJ9" s="102"/>
      <c r="GK9" s="102"/>
      <c r="GL9" s="102"/>
      <c r="GM9" s="102"/>
      <c r="GN9" s="102"/>
      <c r="GO9" s="102"/>
      <c r="GP9" s="102"/>
      <c r="GQ9" s="102"/>
      <c r="GR9" s="102"/>
      <c r="GS9" s="102"/>
      <c r="GT9" s="102"/>
      <c r="GU9" s="102"/>
    </row>
    <row r="10" spans="1:203" x14ac:dyDescent="0.3">
      <c r="A10" s="108" t="s">
        <v>62</v>
      </c>
      <c r="B10" s="44" t="str">
        <f>LEFT(A10,40)&amp;" @ $"&amp;FIXED(VLOOKUP(A10,Inputs!$B$5:$G$21,6),2)&amp;" per cwt."</f>
        <v>Calf grower (16%) @ $23.75 per cwt.</v>
      </c>
      <c r="C10" s="27">
        <v>0</v>
      </c>
      <c r="D10" s="100">
        <f>C10/100*VLOOKUP($A10,Inputs!$B$5:$G$21,6)</f>
        <v>0</v>
      </c>
      <c r="E10" s="27">
        <v>50</v>
      </c>
      <c r="F10" s="100">
        <f>E10/100*VLOOKUP($A10,Inputs!$B$5:$G$21,6)</f>
        <v>11.875</v>
      </c>
      <c r="G10" s="27">
        <v>450</v>
      </c>
      <c r="H10" s="100">
        <f>G10/100*VLOOKUP($A10,Inputs!$B$5:$G$21,6)</f>
        <v>106.875</v>
      </c>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2"/>
      <c r="DU10" s="102"/>
      <c r="DV10" s="102"/>
      <c r="DW10" s="102"/>
      <c r="DX10" s="102"/>
      <c r="DY10" s="102"/>
      <c r="DZ10" s="102"/>
      <c r="EA10" s="102"/>
      <c r="EB10" s="102"/>
      <c r="EC10" s="102"/>
      <c r="ED10" s="102"/>
      <c r="EE10" s="102"/>
      <c r="EF10" s="102"/>
      <c r="EG10" s="102"/>
      <c r="EH10" s="102"/>
      <c r="EI10" s="102"/>
      <c r="EJ10" s="102"/>
      <c r="EK10" s="102"/>
      <c r="EL10" s="102"/>
      <c r="EM10" s="102"/>
      <c r="EN10" s="102"/>
      <c r="EO10" s="102"/>
      <c r="EP10" s="102"/>
      <c r="EQ10" s="102"/>
      <c r="ER10" s="102"/>
      <c r="ES10" s="102"/>
      <c r="ET10" s="102"/>
      <c r="EU10" s="102"/>
      <c r="EV10" s="102"/>
      <c r="EW10" s="102"/>
      <c r="EX10" s="102"/>
      <c r="EY10" s="102"/>
      <c r="EZ10" s="102"/>
      <c r="FA10" s="102"/>
      <c r="FB10" s="102"/>
      <c r="FC10" s="102"/>
      <c r="FD10" s="102"/>
      <c r="FE10" s="102"/>
      <c r="FF10" s="102"/>
      <c r="FG10" s="102"/>
      <c r="FH10" s="102"/>
      <c r="FI10" s="102"/>
      <c r="FJ10" s="102"/>
      <c r="FK10" s="102"/>
      <c r="FL10" s="102"/>
      <c r="FM10" s="102"/>
      <c r="FN10" s="102"/>
      <c r="FO10" s="102"/>
      <c r="FP10" s="102"/>
      <c r="FQ10" s="102"/>
      <c r="FR10" s="102"/>
      <c r="FS10" s="102"/>
      <c r="FT10" s="102"/>
      <c r="FU10" s="102"/>
      <c r="FV10" s="102"/>
      <c r="FW10" s="102"/>
      <c r="FX10" s="102"/>
      <c r="FY10" s="102"/>
      <c r="FZ10" s="102"/>
      <c r="GA10" s="102"/>
      <c r="GB10" s="102"/>
      <c r="GC10" s="102"/>
      <c r="GD10" s="102"/>
      <c r="GE10" s="102"/>
      <c r="GF10" s="102"/>
      <c r="GG10" s="102"/>
      <c r="GH10" s="102"/>
      <c r="GI10" s="102"/>
      <c r="GJ10" s="102"/>
      <c r="GK10" s="102"/>
      <c r="GL10" s="102"/>
      <c r="GM10" s="102"/>
      <c r="GN10" s="102"/>
      <c r="GO10" s="102"/>
      <c r="GP10" s="102"/>
      <c r="GQ10" s="102"/>
      <c r="GR10" s="102"/>
      <c r="GS10" s="102"/>
      <c r="GT10" s="102"/>
      <c r="GU10" s="102"/>
    </row>
    <row r="11" spans="1:203" x14ac:dyDescent="0.3">
      <c r="A11" s="108" t="s">
        <v>47</v>
      </c>
      <c r="B11" s="44" t="str">
        <f>LEFT(A11,40)&amp;" @ $"&amp;FIXED(VLOOKUP(A11,Inputs!$B$5:$G$21,2,FALSE),2)&amp;" per ton"</f>
        <v>Alfalfa hay @ $275.00 per ton</v>
      </c>
      <c r="C11" s="27">
        <v>0</v>
      </c>
      <c r="D11" s="100">
        <f>C11/100*VLOOKUP($A11,Inputs!$B$5:$G$21,6,FALSE)</f>
        <v>0</v>
      </c>
      <c r="E11" s="27">
        <v>90</v>
      </c>
      <c r="F11" s="100">
        <f>E11/100*VLOOKUP($A11,Inputs!$B$5:$G$21,6,FALSE)</f>
        <v>12.375</v>
      </c>
      <c r="G11" s="27">
        <v>225</v>
      </c>
      <c r="H11" s="100">
        <f>G11/100*VLOOKUP($A11,Inputs!$B$5:$G$21,6,FALSE)</f>
        <v>30.9375</v>
      </c>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2"/>
      <c r="ED11" s="102"/>
      <c r="EE11" s="102"/>
      <c r="EF11" s="102"/>
      <c r="EG11" s="102"/>
      <c r="EH11" s="102"/>
      <c r="EI11" s="102"/>
      <c r="EJ11" s="102"/>
      <c r="EK11" s="102"/>
      <c r="EL11" s="102"/>
      <c r="EM11" s="102"/>
      <c r="EN11" s="102"/>
      <c r="EO11" s="102"/>
      <c r="EP11" s="102"/>
      <c r="EQ11" s="102"/>
      <c r="ER11" s="102"/>
      <c r="ES11" s="102"/>
      <c r="ET11" s="102"/>
      <c r="EU11" s="102"/>
      <c r="EV11" s="102"/>
      <c r="EW11" s="102"/>
      <c r="EX11" s="102"/>
      <c r="EY11" s="102"/>
      <c r="EZ11" s="102"/>
      <c r="FA11" s="102"/>
      <c r="FB11" s="102"/>
      <c r="FC11" s="102"/>
      <c r="FD11" s="102"/>
      <c r="FE11" s="102"/>
      <c r="FF11" s="102"/>
      <c r="FG11" s="102"/>
      <c r="FH11" s="102"/>
      <c r="FI11" s="102"/>
      <c r="FJ11" s="102"/>
      <c r="FK11" s="102"/>
      <c r="FL11" s="102"/>
      <c r="FM11" s="102"/>
      <c r="FN11" s="102"/>
      <c r="FO11" s="102"/>
      <c r="FP11" s="102"/>
      <c r="FQ11" s="102"/>
      <c r="FR11" s="102"/>
      <c r="FS11" s="102"/>
      <c r="FT11" s="102"/>
      <c r="FU11" s="102"/>
      <c r="FV11" s="102"/>
      <c r="FW11" s="102"/>
      <c r="FX11" s="102"/>
      <c r="FY11" s="102"/>
      <c r="FZ11" s="102"/>
      <c r="GA11" s="102"/>
      <c r="GB11" s="102"/>
      <c r="GC11" s="102"/>
      <c r="GD11" s="102"/>
      <c r="GE11" s="102"/>
      <c r="GF11" s="102"/>
      <c r="GG11" s="102"/>
      <c r="GH11" s="102"/>
      <c r="GI11" s="102"/>
      <c r="GJ11" s="102"/>
      <c r="GK11" s="102"/>
      <c r="GL11" s="102"/>
      <c r="GM11" s="102"/>
      <c r="GN11" s="102"/>
      <c r="GO11" s="102"/>
      <c r="GP11" s="102"/>
      <c r="GQ11" s="102"/>
      <c r="GR11" s="102"/>
      <c r="GS11" s="102"/>
      <c r="GT11" s="102"/>
      <c r="GU11" s="102"/>
    </row>
    <row r="12" spans="1:203" x14ac:dyDescent="0.3">
      <c r="A12" s="108" t="s">
        <v>48</v>
      </c>
      <c r="B12" s="44" t="str">
        <f>LEFT(A12,40)&amp;" @ $"&amp;FIXED(VLOOKUP(A12,Inputs!$B$5:$G$21,2),2)&amp;" per ton"</f>
        <v>Grass hay @ $110.00 per ton</v>
      </c>
      <c r="C12" s="27">
        <v>0</v>
      </c>
      <c r="D12" s="100">
        <f>C12/100*VLOOKUP($A12,Inputs!$B$5:$G$21,6)</f>
        <v>0</v>
      </c>
      <c r="E12" s="27">
        <v>0</v>
      </c>
      <c r="F12" s="100">
        <f>E12/100*VLOOKUP($A12,Inputs!$B$5:$G$21,6)</f>
        <v>0</v>
      </c>
      <c r="G12" s="27">
        <v>225</v>
      </c>
      <c r="H12" s="100">
        <f>G12/100*VLOOKUP($A12,Inputs!$B$5:$G$21,6)</f>
        <v>12.375</v>
      </c>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102"/>
      <c r="DY12" s="102"/>
      <c r="DZ12" s="102"/>
      <c r="EA12" s="102"/>
      <c r="EB12" s="102"/>
      <c r="EC12" s="102"/>
      <c r="ED12" s="102"/>
      <c r="EE12" s="102"/>
      <c r="EF12" s="102"/>
      <c r="EG12" s="102"/>
      <c r="EH12" s="102"/>
      <c r="EI12" s="102"/>
      <c r="EJ12" s="102"/>
      <c r="EK12" s="102"/>
      <c r="EL12" s="102"/>
      <c r="EM12" s="102"/>
      <c r="EN12" s="102"/>
      <c r="EO12" s="102"/>
      <c r="EP12" s="102"/>
      <c r="EQ12" s="102"/>
      <c r="ER12" s="102"/>
      <c r="ES12" s="102"/>
      <c r="ET12" s="102"/>
      <c r="EU12" s="102"/>
      <c r="EV12" s="102"/>
      <c r="EW12" s="102"/>
      <c r="EX12" s="102"/>
      <c r="EY12" s="102"/>
      <c r="EZ12" s="102"/>
      <c r="FA12" s="102"/>
      <c r="FB12" s="102"/>
      <c r="FC12" s="102"/>
      <c r="FD12" s="102"/>
      <c r="FE12" s="102"/>
      <c r="FF12" s="102"/>
      <c r="FG12" s="102"/>
      <c r="FH12" s="102"/>
      <c r="FI12" s="102"/>
      <c r="FJ12" s="102"/>
      <c r="FK12" s="102"/>
      <c r="FL12" s="102"/>
      <c r="FM12" s="102"/>
      <c r="FN12" s="102"/>
      <c r="FO12" s="102"/>
      <c r="FP12" s="102"/>
      <c r="FQ12" s="102"/>
      <c r="FR12" s="102"/>
      <c r="FS12" s="102"/>
      <c r="FT12" s="102"/>
      <c r="FU12" s="102"/>
      <c r="FV12" s="102"/>
      <c r="FW12" s="102"/>
      <c r="FX12" s="102"/>
      <c r="FY12" s="102"/>
      <c r="FZ12" s="102"/>
      <c r="GA12" s="102"/>
      <c r="GB12" s="102"/>
      <c r="GC12" s="102"/>
      <c r="GD12" s="102"/>
      <c r="GE12" s="102"/>
      <c r="GF12" s="102"/>
      <c r="GG12" s="102"/>
      <c r="GH12" s="102"/>
      <c r="GI12" s="102"/>
      <c r="GJ12" s="102"/>
      <c r="GK12" s="102"/>
      <c r="GL12" s="102"/>
      <c r="GM12" s="102"/>
      <c r="GN12" s="102"/>
      <c r="GO12" s="102"/>
      <c r="GP12" s="102"/>
      <c r="GQ12" s="102"/>
      <c r="GR12" s="102"/>
      <c r="GS12" s="102"/>
      <c r="GT12" s="102"/>
      <c r="GU12" s="102"/>
    </row>
    <row r="13" spans="1:203" x14ac:dyDescent="0.3">
      <c r="A13" s="108" t="s">
        <v>63</v>
      </c>
      <c r="B13" s="44" t="str">
        <f>LEFT(A13,40)&amp;" @ $"&amp;FIXED(VLOOKUP(A28,Inputs!$B$5:$G$21,2),2)&amp;" per AUM"</f>
        <v>Pasture @ $30.00 per AUM</v>
      </c>
      <c r="C13" s="27">
        <v>0</v>
      </c>
      <c r="D13" s="100">
        <f>C13*VLOOKUP($A13,Inputs!$B$5:$G$21,2)</f>
        <v>0</v>
      </c>
      <c r="E13" s="28">
        <v>0</v>
      </c>
      <c r="F13" s="100">
        <f>E13*VLOOKUP($A13,Inputs!$B$5:$G$21,2)</f>
        <v>0</v>
      </c>
      <c r="G13" s="28">
        <f>0.35*2*(7/12)</f>
        <v>0.40833333333333333</v>
      </c>
      <c r="H13" s="100">
        <f>G13*VLOOKUP($A13,Inputs!$B$5:$G$21,2)</f>
        <v>12.25</v>
      </c>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02"/>
      <c r="GM13" s="102"/>
      <c r="GN13" s="102"/>
      <c r="GO13" s="102"/>
      <c r="GP13" s="102"/>
      <c r="GQ13" s="102"/>
      <c r="GR13" s="102"/>
      <c r="GS13" s="102"/>
      <c r="GT13" s="102"/>
      <c r="GU13" s="102"/>
    </row>
    <row r="14" spans="1:203" x14ac:dyDescent="0.3">
      <c r="A14" s="108"/>
      <c r="B14" s="109" t="s">
        <v>124</v>
      </c>
      <c r="C14" s="76"/>
      <c r="D14" s="110">
        <f>SUM(D8:D13)</f>
        <v>198.75</v>
      </c>
      <c r="E14" s="76"/>
      <c r="F14" s="110">
        <f>SUM(F8:F13)</f>
        <v>53</v>
      </c>
      <c r="G14" s="76"/>
      <c r="H14" s="110">
        <f>SUM(H8:H13)</f>
        <v>162.4375</v>
      </c>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c r="FD14" s="102"/>
      <c r="FE14" s="102"/>
      <c r="FF14" s="102"/>
      <c r="FG14" s="102"/>
      <c r="FH14" s="102"/>
      <c r="FI14" s="102"/>
      <c r="FJ14" s="102"/>
      <c r="FK14" s="102"/>
      <c r="FL14" s="102"/>
      <c r="FM14" s="102"/>
      <c r="FN14" s="102"/>
      <c r="FO14" s="102"/>
      <c r="FP14" s="102"/>
      <c r="FQ14" s="102"/>
      <c r="FR14" s="102"/>
      <c r="FS14" s="102"/>
      <c r="FT14" s="102"/>
      <c r="FU14" s="102"/>
      <c r="FV14" s="102"/>
      <c r="FW14" s="102"/>
      <c r="FX14" s="102"/>
      <c r="FY14" s="102"/>
      <c r="FZ14" s="102"/>
      <c r="GA14" s="102"/>
      <c r="GB14" s="102"/>
      <c r="GC14" s="102"/>
      <c r="GD14" s="102"/>
      <c r="GE14" s="102"/>
      <c r="GF14" s="102"/>
      <c r="GG14" s="102"/>
      <c r="GH14" s="102"/>
      <c r="GI14" s="102"/>
      <c r="GJ14" s="102"/>
      <c r="GK14" s="102"/>
      <c r="GL14" s="102"/>
      <c r="GM14" s="102"/>
      <c r="GN14" s="102"/>
      <c r="GO14" s="102"/>
      <c r="GP14" s="102"/>
      <c r="GQ14" s="102"/>
      <c r="GR14" s="102"/>
      <c r="GS14" s="102"/>
      <c r="GT14" s="102"/>
      <c r="GU14" s="102"/>
    </row>
    <row r="15" spans="1:203" x14ac:dyDescent="0.3">
      <c r="A15" s="108"/>
      <c r="B15" s="109" t="s">
        <v>125</v>
      </c>
      <c r="C15" s="76"/>
      <c r="D15" s="110">
        <f>D14+F14+H14</f>
        <v>414.1875</v>
      </c>
      <c r="E15" s="76"/>
      <c r="F15" s="76"/>
      <c r="G15" s="76"/>
      <c r="H15" s="76"/>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row>
    <row r="16" spans="1:203" ht="18" thickBot="1" x14ac:dyDescent="0.35">
      <c r="A16" s="108"/>
      <c r="B16" s="111"/>
      <c r="C16" s="111"/>
      <c r="D16" s="111"/>
      <c r="E16" s="111"/>
      <c r="F16" s="111"/>
      <c r="G16" s="111"/>
      <c r="H16" s="111"/>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row>
    <row r="17" spans="1:203" ht="21.75" thickBot="1" x14ac:dyDescent="0.4">
      <c r="A17" s="108"/>
      <c r="B17" s="54" t="s">
        <v>123</v>
      </c>
      <c r="C17" s="112"/>
      <c r="D17" s="112"/>
      <c r="E17" s="112"/>
      <c r="F17" s="112"/>
      <c r="G17" s="112"/>
      <c r="H17" s="113"/>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row>
    <row r="18" spans="1:203" x14ac:dyDescent="0.3">
      <c r="A18" s="108"/>
      <c r="B18" s="44"/>
      <c r="C18" s="69" t="s">
        <v>56</v>
      </c>
      <c r="D18" s="69"/>
      <c r="E18" s="69" t="s">
        <v>58</v>
      </c>
      <c r="F18" s="69"/>
      <c r="G18" s="69" t="s">
        <v>59</v>
      </c>
      <c r="H18" s="69"/>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102"/>
      <c r="DY18" s="102"/>
      <c r="DZ18" s="102"/>
      <c r="EA18" s="102"/>
      <c r="EB18" s="102"/>
      <c r="EC18" s="102"/>
      <c r="ED18" s="102"/>
      <c r="EE18" s="102"/>
      <c r="EF18" s="102"/>
      <c r="EG18" s="102"/>
      <c r="EH18" s="102"/>
      <c r="EI18" s="102"/>
      <c r="EJ18" s="102"/>
      <c r="EK18" s="102"/>
      <c r="EL18" s="102"/>
      <c r="EM18" s="102"/>
      <c r="EN18" s="102"/>
      <c r="EO18" s="102"/>
      <c r="EP18" s="102"/>
      <c r="EQ18" s="102"/>
      <c r="ER18" s="102"/>
      <c r="ES18" s="102"/>
      <c r="ET18" s="102"/>
      <c r="EU18" s="102"/>
      <c r="EV18" s="102"/>
      <c r="EW18" s="102"/>
      <c r="EX18" s="102"/>
      <c r="EY18" s="102"/>
      <c r="EZ18" s="102"/>
      <c r="FA18" s="102"/>
      <c r="FB18" s="102"/>
      <c r="FC18" s="102"/>
      <c r="FD18" s="102"/>
      <c r="FE18" s="102"/>
      <c r="FF18" s="102"/>
      <c r="FG18" s="102"/>
      <c r="FH18" s="102"/>
      <c r="FI18" s="102"/>
      <c r="FJ18" s="102"/>
      <c r="FK18" s="102"/>
      <c r="FL18" s="102"/>
      <c r="FM18" s="102"/>
      <c r="FN18" s="102"/>
      <c r="FO18" s="102"/>
      <c r="FP18" s="102"/>
      <c r="FQ18" s="102"/>
      <c r="FR18" s="102"/>
      <c r="FS18" s="102"/>
      <c r="FT18" s="102"/>
      <c r="FU18" s="102"/>
      <c r="FV18" s="102"/>
      <c r="FW18" s="102"/>
      <c r="FX18" s="102"/>
      <c r="FY18" s="102"/>
      <c r="FZ18" s="102"/>
      <c r="GA18" s="102"/>
      <c r="GB18" s="102"/>
      <c r="GC18" s="102"/>
      <c r="GD18" s="102"/>
      <c r="GE18" s="102"/>
      <c r="GF18" s="102"/>
      <c r="GG18" s="102"/>
      <c r="GH18" s="102"/>
      <c r="GI18" s="102"/>
      <c r="GJ18" s="102"/>
      <c r="GK18" s="102"/>
      <c r="GL18" s="102"/>
      <c r="GM18" s="102"/>
      <c r="GN18" s="102"/>
      <c r="GO18" s="102"/>
      <c r="GP18" s="102"/>
      <c r="GQ18" s="102"/>
      <c r="GR18" s="102"/>
      <c r="GS18" s="102"/>
      <c r="GT18" s="102"/>
      <c r="GU18" s="102"/>
    </row>
    <row r="19" spans="1:203" x14ac:dyDescent="0.3">
      <c r="A19" s="108"/>
      <c r="B19" s="44"/>
      <c r="C19" s="69" t="s">
        <v>57</v>
      </c>
      <c r="D19" s="69"/>
      <c r="E19" s="69" t="s">
        <v>165</v>
      </c>
      <c r="F19" s="69"/>
      <c r="G19" s="69" t="s">
        <v>60</v>
      </c>
      <c r="H19" s="69"/>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2"/>
      <c r="CJ19" s="102"/>
      <c r="CK19" s="102"/>
      <c r="CL19" s="102"/>
      <c r="CM19" s="102"/>
      <c r="CN19" s="102"/>
      <c r="CO19" s="102"/>
      <c r="CP19" s="102"/>
      <c r="CQ19" s="102"/>
      <c r="CR19" s="102"/>
      <c r="CS19" s="102"/>
      <c r="CT19" s="102"/>
      <c r="CU19" s="102"/>
      <c r="CV19" s="102"/>
      <c r="CW19" s="102"/>
      <c r="CX19" s="102"/>
      <c r="CY19" s="102"/>
      <c r="CZ19" s="102"/>
      <c r="DA19" s="102"/>
      <c r="DB19" s="102"/>
      <c r="DC19" s="102"/>
      <c r="DD19" s="102"/>
      <c r="DE19" s="102"/>
      <c r="DF19" s="102"/>
      <c r="DG19" s="102"/>
      <c r="DH19" s="102"/>
      <c r="DI19" s="102"/>
      <c r="DJ19" s="102"/>
      <c r="DK19" s="102"/>
      <c r="DL19" s="102"/>
      <c r="DM19" s="102"/>
      <c r="DN19" s="102"/>
      <c r="DO19" s="102"/>
      <c r="DP19" s="102"/>
      <c r="DQ19" s="102"/>
      <c r="DR19" s="102"/>
      <c r="DS19" s="102"/>
      <c r="DT19" s="102"/>
      <c r="DU19" s="102"/>
      <c r="DV19" s="102"/>
      <c r="DW19" s="102"/>
      <c r="DX19" s="102"/>
      <c r="DY19" s="102"/>
      <c r="DZ19" s="102"/>
      <c r="EA19" s="102"/>
      <c r="EB19" s="102"/>
      <c r="EC19" s="102"/>
      <c r="ED19" s="102"/>
      <c r="EE19" s="102"/>
      <c r="EF19" s="102"/>
      <c r="EG19" s="102"/>
      <c r="EH19" s="102"/>
      <c r="EI19" s="102"/>
      <c r="EJ19" s="102"/>
      <c r="EK19" s="102"/>
      <c r="EL19" s="102"/>
      <c r="EM19" s="102"/>
      <c r="EN19" s="102"/>
      <c r="EO19" s="102"/>
      <c r="EP19" s="102"/>
      <c r="EQ19" s="102"/>
      <c r="ER19" s="102"/>
      <c r="ES19" s="102"/>
      <c r="ET19" s="102"/>
      <c r="EU19" s="102"/>
      <c r="EV19" s="102"/>
      <c r="EW19" s="102"/>
      <c r="EX19" s="102"/>
      <c r="EY19" s="102"/>
      <c r="EZ19" s="102"/>
      <c r="FA19" s="102"/>
      <c r="FB19" s="102"/>
      <c r="FC19" s="102"/>
      <c r="FD19" s="102"/>
      <c r="FE19" s="102"/>
      <c r="FF19" s="102"/>
      <c r="FG19" s="102"/>
      <c r="FH19" s="102"/>
      <c r="FI19" s="102"/>
      <c r="FJ19" s="102"/>
      <c r="FK19" s="102"/>
      <c r="FL19" s="102"/>
      <c r="FM19" s="102"/>
      <c r="FN19" s="102"/>
      <c r="FO19" s="102"/>
      <c r="FP19" s="102"/>
      <c r="FQ19" s="102"/>
      <c r="FR19" s="102"/>
      <c r="FS19" s="102"/>
      <c r="FT19" s="102"/>
      <c r="FU19" s="102"/>
      <c r="FV19" s="102"/>
      <c r="FW19" s="102"/>
      <c r="FX19" s="102"/>
      <c r="FY19" s="102"/>
      <c r="FZ19" s="102"/>
      <c r="GA19" s="102"/>
      <c r="GB19" s="102"/>
      <c r="GC19" s="102"/>
      <c r="GD19" s="102"/>
      <c r="GE19" s="102"/>
      <c r="GF19" s="102"/>
      <c r="GG19" s="102"/>
      <c r="GH19" s="102"/>
      <c r="GI19" s="102"/>
      <c r="GJ19" s="102"/>
      <c r="GK19" s="102"/>
      <c r="GL19" s="102"/>
      <c r="GM19" s="102"/>
      <c r="GN19" s="102"/>
      <c r="GO19" s="102"/>
      <c r="GP19" s="102"/>
      <c r="GQ19" s="102"/>
      <c r="GR19" s="102"/>
      <c r="GS19" s="102"/>
      <c r="GT19" s="102"/>
      <c r="GU19" s="102"/>
    </row>
    <row r="20" spans="1:203" x14ac:dyDescent="0.3">
      <c r="A20" s="108"/>
      <c r="B20" s="44" t="s">
        <v>41</v>
      </c>
      <c r="C20" s="27">
        <v>400</v>
      </c>
      <c r="D20" s="27">
        <v>725</v>
      </c>
      <c r="E20" s="72">
        <f>+C20</f>
        <v>400</v>
      </c>
      <c r="F20" s="72">
        <f>+D20</f>
        <v>725</v>
      </c>
      <c r="G20" s="72">
        <f>+E20</f>
        <v>400</v>
      </c>
      <c r="H20" s="72">
        <f>+F20</f>
        <v>725</v>
      </c>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2"/>
      <c r="CJ20" s="102"/>
      <c r="CK20" s="102"/>
      <c r="CL20" s="102"/>
      <c r="CM20" s="102"/>
      <c r="CN20" s="102"/>
      <c r="CO20" s="102"/>
      <c r="CP20" s="102"/>
      <c r="CQ20" s="102"/>
      <c r="CR20" s="102"/>
      <c r="CS20" s="102"/>
      <c r="CT20" s="102"/>
      <c r="CU20" s="102"/>
      <c r="CV20" s="102"/>
      <c r="CW20" s="102"/>
      <c r="CX20" s="102"/>
      <c r="CY20" s="102"/>
      <c r="CZ20" s="102"/>
      <c r="DA20" s="102"/>
      <c r="DB20" s="102"/>
      <c r="DC20" s="102"/>
      <c r="DD20" s="102"/>
      <c r="DE20" s="102"/>
      <c r="DF20" s="102"/>
      <c r="DG20" s="102"/>
      <c r="DH20" s="102"/>
      <c r="DI20" s="102"/>
      <c r="DJ20" s="102"/>
      <c r="DK20" s="102"/>
      <c r="DL20" s="102"/>
      <c r="DM20" s="102"/>
      <c r="DN20" s="102"/>
      <c r="DO20" s="102"/>
      <c r="DP20" s="102"/>
      <c r="DQ20" s="102"/>
      <c r="DR20" s="102"/>
      <c r="DS20" s="102"/>
      <c r="DT20" s="102"/>
      <c r="DU20" s="102"/>
      <c r="DV20" s="102"/>
      <c r="DW20" s="102"/>
      <c r="DX20" s="102"/>
      <c r="DY20" s="102"/>
      <c r="DZ20" s="102"/>
      <c r="EA20" s="102"/>
      <c r="EB20" s="102"/>
      <c r="EC20" s="102"/>
      <c r="ED20" s="102"/>
      <c r="EE20" s="102"/>
      <c r="EF20" s="102"/>
      <c r="EG20" s="102"/>
      <c r="EH20" s="102"/>
      <c r="EI20" s="102"/>
      <c r="EJ20" s="102"/>
      <c r="EK20" s="102"/>
      <c r="EL20" s="102"/>
      <c r="EM20" s="102"/>
      <c r="EN20" s="102"/>
      <c r="EO20" s="102"/>
      <c r="EP20" s="102"/>
      <c r="EQ20" s="102"/>
      <c r="ER20" s="102"/>
      <c r="ES20" s="102"/>
      <c r="ET20" s="102"/>
      <c r="EU20" s="102"/>
      <c r="EV20" s="102"/>
      <c r="EW20" s="102"/>
      <c r="EX20" s="102"/>
      <c r="EY20" s="102"/>
      <c r="EZ20" s="102"/>
      <c r="FA20" s="102"/>
      <c r="FB20" s="102"/>
      <c r="FC20" s="102"/>
      <c r="FD20" s="102"/>
      <c r="FE20" s="102"/>
      <c r="FF20" s="102"/>
      <c r="FG20" s="102"/>
      <c r="FH20" s="102"/>
      <c r="FI20" s="102"/>
      <c r="FJ20" s="102"/>
      <c r="FK20" s="102"/>
      <c r="FL20" s="102"/>
      <c r="FM20" s="102"/>
      <c r="FN20" s="102"/>
      <c r="FO20" s="102"/>
      <c r="FP20" s="102"/>
      <c r="FQ20" s="102"/>
      <c r="FR20" s="102"/>
      <c r="FS20" s="102"/>
      <c r="FT20" s="102"/>
      <c r="FU20" s="102"/>
      <c r="FV20" s="102"/>
      <c r="FW20" s="102"/>
      <c r="FX20" s="102"/>
      <c r="FY20" s="102"/>
      <c r="FZ20" s="102"/>
      <c r="GA20" s="102"/>
      <c r="GB20" s="102"/>
      <c r="GC20" s="102"/>
      <c r="GD20" s="102"/>
      <c r="GE20" s="102"/>
      <c r="GF20" s="102"/>
      <c r="GG20" s="102"/>
      <c r="GH20" s="102"/>
      <c r="GI20" s="102"/>
      <c r="GJ20" s="102"/>
      <c r="GK20" s="102"/>
      <c r="GL20" s="102"/>
      <c r="GM20" s="102"/>
      <c r="GN20" s="102"/>
      <c r="GO20" s="102"/>
      <c r="GP20" s="102"/>
      <c r="GQ20" s="102"/>
      <c r="GR20" s="102"/>
      <c r="GS20" s="102"/>
      <c r="GT20" s="102"/>
      <c r="GU20" s="102"/>
    </row>
    <row r="21" spans="1:203" x14ac:dyDescent="0.3">
      <c r="A21" s="108"/>
      <c r="B21" s="76"/>
      <c r="C21" s="105"/>
      <c r="D21" s="105"/>
      <c r="E21" s="105"/>
      <c r="F21" s="105"/>
      <c r="G21" s="105"/>
      <c r="H21" s="105"/>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c r="BP21" s="102"/>
      <c r="BQ21" s="102"/>
      <c r="BR21" s="102"/>
      <c r="BS21" s="102"/>
      <c r="BT21" s="102"/>
      <c r="BU21" s="102"/>
      <c r="BV21" s="102"/>
      <c r="BW21" s="102"/>
      <c r="BX21" s="102"/>
      <c r="BY21" s="102"/>
      <c r="BZ21" s="102"/>
      <c r="CA21" s="102"/>
      <c r="CB21" s="102"/>
      <c r="CC21" s="102"/>
      <c r="CD21" s="102"/>
      <c r="CE21" s="102"/>
      <c r="CF21" s="102"/>
      <c r="CG21" s="102"/>
      <c r="CH21" s="102"/>
      <c r="CI21" s="102"/>
      <c r="CJ21" s="102"/>
      <c r="CK21" s="102"/>
      <c r="CL21" s="102"/>
      <c r="CM21" s="102"/>
      <c r="CN21" s="102"/>
      <c r="CO21" s="102"/>
      <c r="CP21" s="102"/>
      <c r="CQ21" s="102"/>
      <c r="CR21" s="102"/>
      <c r="CS21" s="102"/>
      <c r="CT21" s="102"/>
      <c r="CU21" s="102"/>
      <c r="CV21" s="102"/>
      <c r="CW21" s="102"/>
      <c r="CX21" s="102"/>
      <c r="CY21" s="102"/>
      <c r="CZ21" s="102"/>
      <c r="DA21" s="102"/>
      <c r="DB21" s="102"/>
      <c r="DC21" s="102"/>
      <c r="DD21" s="102"/>
      <c r="DE21" s="102"/>
      <c r="DF21" s="102"/>
      <c r="DG21" s="102"/>
      <c r="DH21" s="102"/>
      <c r="DI21" s="102"/>
      <c r="DJ21" s="102"/>
      <c r="DK21" s="102"/>
      <c r="DL21" s="102"/>
      <c r="DM21" s="102"/>
      <c r="DN21" s="102"/>
      <c r="DO21" s="102"/>
      <c r="DP21" s="102"/>
      <c r="DQ21" s="102"/>
      <c r="DR21" s="102"/>
      <c r="DS21" s="102"/>
      <c r="DT21" s="102"/>
      <c r="DU21" s="102"/>
      <c r="DV21" s="102"/>
      <c r="DW21" s="102"/>
      <c r="DX21" s="102"/>
      <c r="DY21" s="102"/>
      <c r="DZ21" s="102"/>
      <c r="EA21" s="102"/>
      <c r="EB21" s="102"/>
      <c r="EC21" s="102"/>
      <c r="ED21" s="102"/>
      <c r="EE21" s="102"/>
      <c r="EF21" s="102"/>
      <c r="EG21" s="102"/>
      <c r="EH21" s="102"/>
      <c r="EI21" s="102"/>
      <c r="EJ21" s="102"/>
      <c r="EK21" s="102"/>
      <c r="EL21" s="102"/>
      <c r="EM21" s="102"/>
      <c r="EN21" s="102"/>
      <c r="EO21" s="102"/>
      <c r="EP21" s="102"/>
      <c r="EQ21" s="102"/>
      <c r="ER21" s="102"/>
      <c r="ES21" s="102"/>
      <c r="ET21" s="102"/>
      <c r="EU21" s="102"/>
      <c r="EV21" s="102"/>
      <c r="EW21" s="102"/>
      <c r="EX21" s="102"/>
      <c r="EY21" s="102"/>
      <c r="EZ21" s="102"/>
      <c r="FA21" s="102"/>
      <c r="FB21" s="102"/>
      <c r="FC21" s="102"/>
      <c r="FD21" s="102"/>
      <c r="FE21" s="102"/>
      <c r="FF21" s="102"/>
      <c r="FG21" s="102"/>
      <c r="FH21" s="102"/>
      <c r="FI21" s="102"/>
      <c r="FJ21" s="102"/>
      <c r="FK21" s="102"/>
      <c r="FL21" s="102"/>
      <c r="FM21" s="102"/>
      <c r="FN21" s="102"/>
      <c r="FO21" s="102"/>
      <c r="FP21" s="102"/>
      <c r="FQ21" s="102"/>
      <c r="FR21" s="102"/>
      <c r="FS21" s="102"/>
      <c r="FT21" s="102"/>
      <c r="FU21" s="102"/>
      <c r="FV21" s="102"/>
      <c r="FW21" s="102"/>
      <c r="FX21" s="102"/>
      <c r="FY21" s="102"/>
      <c r="FZ21" s="102"/>
      <c r="GA21" s="102"/>
      <c r="GB21" s="102"/>
      <c r="GC21" s="102"/>
      <c r="GD21" s="102"/>
      <c r="GE21" s="102"/>
      <c r="GF21" s="102"/>
      <c r="GG21" s="102"/>
      <c r="GH21" s="102"/>
      <c r="GI21" s="102"/>
      <c r="GJ21" s="102"/>
      <c r="GK21" s="102"/>
      <c r="GL21" s="102"/>
      <c r="GM21" s="102"/>
      <c r="GN21" s="102"/>
      <c r="GO21" s="102"/>
      <c r="GP21" s="102"/>
      <c r="GQ21" s="102"/>
      <c r="GR21" s="102"/>
      <c r="GS21" s="102"/>
      <c r="GT21" s="102"/>
      <c r="GU21" s="102"/>
    </row>
    <row r="22" spans="1:203" x14ac:dyDescent="0.3">
      <c r="A22" s="114"/>
      <c r="B22" s="41" t="s">
        <v>160</v>
      </c>
      <c r="C22" s="106" t="s">
        <v>14</v>
      </c>
      <c r="D22" s="106" t="s">
        <v>15</v>
      </c>
      <c r="E22" s="106" t="s">
        <v>14</v>
      </c>
      <c r="F22" s="106" t="s">
        <v>15</v>
      </c>
      <c r="G22" s="106" t="s">
        <v>14</v>
      </c>
      <c r="H22" s="106" t="s">
        <v>15</v>
      </c>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c r="BS22" s="102"/>
      <c r="BT22" s="102"/>
      <c r="BU22" s="102"/>
      <c r="BV22" s="102"/>
      <c r="BW22" s="102"/>
      <c r="BX22" s="102"/>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A22" s="102"/>
      <c r="DB22" s="102"/>
      <c r="DC22" s="102"/>
      <c r="DD22" s="102"/>
      <c r="DE22" s="102"/>
      <c r="DF22" s="102"/>
      <c r="DG22" s="102"/>
      <c r="DH22" s="102"/>
      <c r="DI22" s="102"/>
      <c r="DJ22" s="102"/>
      <c r="DK22" s="102"/>
      <c r="DL22" s="102"/>
      <c r="DM22" s="102"/>
      <c r="DN22" s="102"/>
      <c r="DO22" s="102"/>
      <c r="DP22" s="102"/>
      <c r="DQ22" s="102"/>
      <c r="DR22" s="102"/>
      <c r="DS22" s="102"/>
      <c r="DT22" s="102"/>
      <c r="DU22" s="102"/>
      <c r="DV22" s="102"/>
      <c r="DW22" s="102"/>
      <c r="DX22" s="102"/>
      <c r="DY22" s="102"/>
      <c r="DZ22" s="102"/>
      <c r="EA22" s="102"/>
      <c r="EB22" s="102"/>
      <c r="EC22" s="102"/>
      <c r="ED22" s="102"/>
      <c r="EE22" s="102"/>
      <c r="EF22" s="102"/>
      <c r="EG22" s="102"/>
      <c r="EH22" s="102"/>
      <c r="EI22" s="102"/>
      <c r="EJ22" s="102"/>
      <c r="EK22" s="102"/>
      <c r="EL22" s="102"/>
      <c r="EM22" s="102"/>
      <c r="EN22" s="102"/>
      <c r="EO22" s="102"/>
      <c r="EP22" s="102"/>
      <c r="EQ22" s="102"/>
      <c r="ER22" s="102"/>
      <c r="ES22" s="102"/>
      <c r="ET22" s="102"/>
      <c r="EU22" s="102"/>
      <c r="EV22" s="102"/>
      <c r="EW22" s="102"/>
      <c r="EX22" s="102"/>
      <c r="EY22" s="102"/>
      <c r="EZ22" s="102"/>
      <c r="FA22" s="102"/>
      <c r="FB22" s="102"/>
      <c r="FC22" s="102"/>
      <c r="FD22" s="102"/>
      <c r="FE22" s="102"/>
      <c r="FF22" s="102"/>
      <c r="FG22" s="102"/>
      <c r="FH22" s="102"/>
      <c r="FI22" s="102"/>
      <c r="FJ22" s="102"/>
      <c r="FK22" s="102"/>
      <c r="FL22" s="102"/>
      <c r="FM22" s="102"/>
      <c r="FN22" s="102"/>
      <c r="FO22" s="102"/>
      <c r="FP22" s="102"/>
      <c r="FQ22" s="102"/>
      <c r="FR22" s="102"/>
      <c r="FS22" s="102"/>
      <c r="FT22" s="102"/>
      <c r="FU22" s="102"/>
      <c r="FV22" s="102"/>
      <c r="FW22" s="102"/>
      <c r="FX22" s="102"/>
      <c r="FY22" s="102"/>
      <c r="FZ22" s="102"/>
      <c r="GA22" s="102"/>
      <c r="GB22" s="102"/>
      <c r="GC22" s="102"/>
      <c r="GD22" s="102"/>
      <c r="GE22" s="102"/>
      <c r="GF22" s="102"/>
      <c r="GG22" s="102"/>
      <c r="GH22" s="102"/>
      <c r="GI22" s="102"/>
      <c r="GJ22" s="102"/>
      <c r="GK22" s="102"/>
      <c r="GL22" s="102"/>
      <c r="GM22" s="102"/>
      <c r="GN22" s="102"/>
      <c r="GO22" s="102"/>
      <c r="GP22" s="102"/>
      <c r="GQ22" s="102"/>
      <c r="GR22" s="102"/>
      <c r="GS22" s="102"/>
      <c r="GT22" s="102"/>
      <c r="GU22" s="102"/>
    </row>
    <row r="23" spans="1:203" x14ac:dyDescent="0.3">
      <c r="A23" s="108" t="s">
        <v>49</v>
      </c>
      <c r="B23" s="44" t="str">
        <f>LEFT(A23,40)&amp;" @ $"&amp;FIXED(VLOOKUP(A23,Inputs!$B$5:$G$21,6),2)&amp;" per cwt."</f>
        <v>Corn gluten feed @ $11.25 per cwt.</v>
      </c>
      <c r="C23" s="27">
        <v>525</v>
      </c>
      <c r="D23" s="100">
        <f>C23/100*VLOOKUP($A23,Inputs!$B$5:$G$21,6)</f>
        <v>59.0625</v>
      </c>
      <c r="E23" s="27">
        <v>0</v>
      </c>
      <c r="F23" s="100">
        <f>E23/100*VLOOKUP($A23,Inputs!$B$5:$G$21,6)</f>
        <v>0</v>
      </c>
      <c r="G23" s="27">
        <v>270</v>
      </c>
      <c r="H23" s="100">
        <f>G23/100*VLOOKUP($A23,Inputs!$B$5:$G$21,6)</f>
        <v>30.375000000000004</v>
      </c>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102"/>
      <c r="CB23" s="102"/>
      <c r="CC23" s="102"/>
      <c r="CD23" s="102"/>
      <c r="CE23" s="102"/>
      <c r="CF23" s="102"/>
      <c r="CG23" s="102"/>
      <c r="CH23" s="102"/>
      <c r="CI23" s="102"/>
      <c r="CJ23" s="102"/>
      <c r="CK23" s="102"/>
      <c r="CL23" s="102"/>
      <c r="CM23" s="102"/>
      <c r="CN23" s="102"/>
      <c r="CO23" s="102"/>
      <c r="CP23" s="102"/>
      <c r="CQ23" s="102"/>
      <c r="CR23" s="102"/>
      <c r="CS23" s="102"/>
      <c r="CT23" s="102"/>
      <c r="CU23" s="102"/>
      <c r="CV23" s="102"/>
      <c r="CW23" s="102"/>
      <c r="CX23" s="102"/>
      <c r="CY23" s="102"/>
      <c r="CZ23" s="102"/>
      <c r="DA23" s="102"/>
      <c r="DB23" s="102"/>
      <c r="DC23" s="102"/>
      <c r="DD23" s="102"/>
      <c r="DE23" s="102"/>
      <c r="DF23" s="102"/>
      <c r="DG23" s="102"/>
      <c r="DH23" s="102"/>
      <c r="DI23" s="102"/>
      <c r="DJ23" s="102"/>
      <c r="DK23" s="102"/>
      <c r="DL23" s="102"/>
      <c r="DM23" s="102"/>
      <c r="DN23" s="102"/>
      <c r="DO23" s="102"/>
      <c r="DP23" s="102"/>
      <c r="DQ23" s="102"/>
      <c r="DR23" s="102"/>
      <c r="DS23" s="102"/>
      <c r="DT23" s="102"/>
      <c r="DU23" s="102"/>
      <c r="DV23" s="102"/>
      <c r="DW23" s="102"/>
      <c r="DX23" s="102"/>
      <c r="DY23" s="102"/>
      <c r="DZ23" s="102"/>
      <c r="EA23" s="102"/>
      <c r="EB23" s="102"/>
      <c r="EC23" s="102"/>
      <c r="ED23" s="102"/>
      <c r="EE23" s="102"/>
      <c r="EF23" s="102"/>
      <c r="EG23" s="102"/>
      <c r="EH23" s="102"/>
      <c r="EI23" s="102"/>
      <c r="EJ23" s="102"/>
      <c r="EK23" s="102"/>
      <c r="EL23" s="102"/>
      <c r="EM23" s="102"/>
      <c r="EN23" s="102"/>
      <c r="EO23" s="102"/>
      <c r="EP23" s="102"/>
      <c r="EQ23" s="102"/>
      <c r="ER23" s="102"/>
      <c r="ES23" s="102"/>
      <c r="ET23" s="102"/>
      <c r="EU23" s="102"/>
      <c r="EV23" s="102"/>
      <c r="EW23" s="102"/>
      <c r="EX23" s="102"/>
      <c r="EY23" s="102"/>
      <c r="EZ23" s="102"/>
      <c r="FA23" s="102"/>
      <c r="FB23" s="102"/>
      <c r="FC23" s="102"/>
      <c r="FD23" s="102"/>
      <c r="FE23" s="102"/>
      <c r="FF23" s="102"/>
      <c r="FG23" s="102"/>
      <c r="FH23" s="102"/>
      <c r="FI23" s="102"/>
      <c r="FJ23" s="102"/>
      <c r="FK23" s="102"/>
      <c r="FL23" s="102"/>
      <c r="FM23" s="102"/>
      <c r="FN23" s="102"/>
      <c r="FO23" s="102"/>
      <c r="FP23" s="102"/>
      <c r="FQ23" s="102"/>
      <c r="FR23" s="102"/>
      <c r="FS23" s="102"/>
      <c r="FT23" s="102"/>
      <c r="FU23" s="102"/>
      <c r="FV23" s="102"/>
      <c r="FW23" s="102"/>
      <c r="FX23" s="102"/>
      <c r="FY23" s="102"/>
      <c r="FZ23" s="102"/>
      <c r="GA23" s="102"/>
      <c r="GB23" s="102"/>
      <c r="GC23" s="102"/>
      <c r="GD23" s="102"/>
      <c r="GE23" s="102"/>
      <c r="GF23" s="102"/>
      <c r="GG23" s="102"/>
      <c r="GH23" s="102"/>
      <c r="GI23" s="102"/>
      <c r="GJ23" s="102"/>
      <c r="GK23" s="102"/>
      <c r="GL23" s="102"/>
      <c r="GM23" s="102"/>
      <c r="GN23" s="102"/>
      <c r="GO23" s="102"/>
      <c r="GP23" s="102"/>
      <c r="GQ23" s="102"/>
      <c r="GR23" s="102"/>
      <c r="GS23" s="102"/>
      <c r="GT23" s="102"/>
      <c r="GU23" s="102"/>
    </row>
    <row r="24" spans="1:203" x14ac:dyDescent="0.3">
      <c r="A24" s="108" t="s">
        <v>55</v>
      </c>
      <c r="B24" s="44" t="str">
        <f>LEFT(A24,40)&amp;" @ $"&amp;FIXED(VLOOKUP(A24,Inputs!$B$5:$G$21,6),2)&amp;" per cwt."</f>
        <v>Corn, cracked @ $11.43 per cwt.</v>
      </c>
      <c r="C24" s="27">
        <v>387</v>
      </c>
      <c r="D24" s="100">
        <f>C24/100*VLOOKUP($A24,Inputs!$B$5:$G$21,6)</f>
        <v>44.228571428571428</v>
      </c>
      <c r="E24" s="27">
        <v>252</v>
      </c>
      <c r="F24" s="100">
        <f>E24/100*VLOOKUP($A24,Inputs!$B$5:$G$21,6)</f>
        <v>28.8</v>
      </c>
      <c r="G24" s="27">
        <v>234</v>
      </c>
      <c r="H24" s="100">
        <f>G24/100*VLOOKUP($A24,Inputs!$B$5:$G$21,6)</f>
        <v>26.74285714285714</v>
      </c>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c r="CO24" s="102"/>
      <c r="CP24" s="102"/>
      <c r="CQ24" s="102"/>
      <c r="CR24" s="102"/>
      <c r="CS24" s="102"/>
      <c r="CT24" s="102"/>
      <c r="CU24" s="102"/>
      <c r="CV24" s="102"/>
      <c r="CW24" s="102"/>
      <c r="CX24" s="102"/>
      <c r="CY24" s="102"/>
      <c r="CZ24" s="102"/>
      <c r="DA24" s="102"/>
      <c r="DB24" s="102"/>
      <c r="DC24" s="102"/>
      <c r="DD24" s="102"/>
      <c r="DE24" s="102"/>
      <c r="DF24" s="102"/>
      <c r="DG24" s="102"/>
      <c r="DH24" s="102"/>
      <c r="DI24" s="102"/>
      <c r="DJ24" s="102"/>
      <c r="DK24" s="102"/>
      <c r="DL24" s="102"/>
      <c r="DM24" s="102"/>
      <c r="DN24" s="102"/>
      <c r="DO24" s="102"/>
      <c r="DP24" s="102"/>
      <c r="DQ24" s="102"/>
      <c r="DR24" s="102"/>
      <c r="DS24" s="102"/>
      <c r="DT24" s="102"/>
      <c r="DU24" s="102"/>
      <c r="DV24" s="102"/>
      <c r="DW24" s="102"/>
      <c r="DX24" s="102"/>
      <c r="DY24" s="102"/>
      <c r="DZ24" s="102"/>
      <c r="EA24" s="102"/>
      <c r="EB24" s="102"/>
      <c r="EC24" s="102"/>
      <c r="ED24" s="102"/>
      <c r="EE24" s="102"/>
      <c r="EF24" s="102"/>
      <c r="EG24" s="102"/>
      <c r="EH24" s="102"/>
      <c r="EI24" s="102"/>
      <c r="EJ24" s="102"/>
      <c r="EK24" s="102"/>
      <c r="EL24" s="102"/>
      <c r="EM24" s="102"/>
      <c r="EN24" s="102"/>
      <c r="EO24" s="102"/>
      <c r="EP24" s="102"/>
      <c r="EQ24" s="102"/>
      <c r="ER24" s="102"/>
      <c r="ES24" s="102"/>
      <c r="ET24" s="102"/>
      <c r="EU24" s="102"/>
      <c r="EV24" s="102"/>
      <c r="EW24" s="102"/>
      <c r="EX24" s="102"/>
      <c r="EY24" s="102"/>
      <c r="EZ24" s="102"/>
      <c r="FA24" s="102"/>
      <c r="FB24" s="102"/>
      <c r="FC24" s="102"/>
      <c r="FD24" s="102"/>
      <c r="FE24" s="102"/>
      <c r="FF24" s="102"/>
      <c r="FG24" s="102"/>
      <c r="FH24" s="102"/>
      <c r="FI24" s="102"/>
      <c r="FJ24" s="102"/>
      <c r="FK24" s="102"/>
      <c r="FL24" s="102"/>
      <c r="FM24" s="102"/>
      <c r="FN24" s="102"/>
      <c r="FO24" s="102"/>
      <c r="FP24" s="102"/>
      <c r="FQ24" s="102"/>
      <c r="FR24" s="102"/>
      <c r="FS24" s="102"/>
      <c r="FT24" s="102"/>
      <c r="FU24" s="102"/>
      <c r="FV24" s="102"/>
      <c r="FW24" s="102"/>
      <c r="FX24" s="102"/>
      <c r="FY24" s="102"/>
      <c r="FZ24" s="102"/>
      <c r="GA24" s="102"/>
      <c r="GB24" s="102"/>
      <c r="GC24" s="102"/>
      <c r="GD24" s="102"/>
      <c r="GE24" s="102"/>
      <c r="GF24" s="102"/>
      <c r="GG24" s="102"/>
      <c r="GH24" s="102"/>
      <c r="GI24" s="102"/>
      <c r="GJ24" s="102"/>
      <c r="GK24" s="102"/>
      <c r="GL24" s="102"/>
      <c r="GM24" s="102"/>
      <c r="GN24" s="102"/>
      <c r="GO24" s="102"/>
      <c r="GP24" s="102"/>
      <c r="GQ24" s="102"/>
      <c r="GR24" s="102"/>
      <c r="GS24" s="102"/>
      <c r="GT24" s="102"/>
      <c r="GU24" s="102"/>
    </row>
    <row r="25" spans="1:203" x14ac:dyDescent="0.3">
      <c r="A25" s="108" t="s">
        <v>52</v>
      </c>
      <c r="B25" s="44" t="str">
        <f>LEFT(A25,40)&amp;" @ $"&amp;FIXED(VLOOKUP(A25,Inputs!$B$5:$G$21,2),2)&amp;" per ton"</f>
        <v>Soybean hulls @ $145.00 per ton</v>
      </c>
      <c r="C25" s="27">
        <v>262.5</v>
      </c>
      <c r="D25" s="100">
        <f>C25/100*VLOOKUP($A25,Inputs!$B$5:$G$21,6)</f>
        <v>19.03125</v>
      </c>
      <c r="E25" s="27">
        <v>360</v>
      </c>
      <c r="F25" s="100">
        <f>E25/100*VLOOKUP($A25,Inputs!$B$5:$G$21,6)</f>
        <v>26.1</v>
      </c>
      <c r="G25" s="27">
        <v>270</v>
      </c>
      <c r="H25" s="100">
        <f>G25/100*VLOOKUP($A25,Inputs!$B$5:$G$21,6)</f>
        <v>19.575000000000003</v>
      </c>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c r="BK25" s="102"/>
      <c r="BL25" s="102"/>
      <c r="BM25" s="102"/>
      <c r="BN25" s="102"/>
      <c r="BO25" s="102"/>
      <c r="BP25" s="102"/>
      <c r="BQ25" s="102"/>
      <c r="BR25" s="102"/>
      <c r="BS25" s="102"/>
      <c r="BT25" s="102"/>
      <c r="BU25" s="102"/>
      <c r="BV25" s="102"/>
      <c r="BW25" s="102"/>
      <c r="BX25" s="102"/>
      <c r="BY25" s="102"/>
      <c r="BZ25" s="102"/>
      <c r="CA25" s="102"/>
      <c r="CB25" s="102"/>
      <c r="CC25" s="102"/>
      <c r="CD25" s="102"/>
      <c r="CE25" s="102"/>
      <c r="CF25" s="102"/>
      <c r="CG25" s="102"/>
      <c r="CH25" s="102"/>
      <c r="CI25" s="102"/>
      <c r="CJ25" s="102"/>
      <c r="CK25" s="102"/>
      <c r="CL25" s="102"/>
      <c r="CM25" s="102"/>
      <c r="CN25" s="102"/>
      <c r="CO25" s="102"/>
      <c r="CP25" s="102"/>
      <c r="CQ25" s="102"/>
      <c r="CR25" s="102"/>
      <c r="CS25" s="102"/>
      <c r="CT25" s="102"/>
      <c r="CU25" s="102"/>
      <c r="CV25" s="102"/>
      <c r="CW25" s="102"/>
      <c r="CX25" s="102"/>
      <c r="CY25" s="102"/>
      <c r="CZ25" s="102"/>
      <c r="DA25" s="102"/>
      <c r="DB25" s="102"/>
      <c r="DC25" s="102"/>
      <c r="DD25" s="102"/>
      <c r="DE25" s="102"/>
      <c r="DF25" s="102"/>
      <c r="DG25" s="102"/>
      <c r="DH25" s="102"/>
      <c r="DI25" s="102"/>
      <c r="DJ25" s="102"/>
      <c r="DK25" s="102"/>
      <c r="DL25" s="102"/>
      <c r="DM25" s="102"/>
      <c r="DN25" s="102"/>
      <c r="DO25" s="102"/>
      <c r="DP25" s="102"/>
      <c r="DQ25" s="102"/>
      <c r="DR25" s="102"/>
      <c r="DS25" s="102"/>
      <c r="DT25" s="102"/>
      <c r="DU25" s="102"/>
      <c r="DV25" s="102"/>
      <c r="DW25" s="102"/>
      <c r="DX25" s="102"/>
      <c r="DY25" s="102"/>
      <c r="DZ25" s="102"/>
      <c r="EA25" s="102"/>
      <c r="EB25" s="102"/>
      <c r="EC25" s="102"/>
      <c r="ED25" s="102"/>
      <c r="EE25" s="102"/>
      <c r="EF25" s="102"/>
      <c r="EG25" s="102"/>
      <c r="EH25" s="102"/>
      <c r="EI25" s="102"/>
      <c r="EJ25" s="102"/>
      <c r="EK25" s="102"/>
      <c r="EL25" s="102"/>
      <c r="EM25" s="102"/>
      <c r="EN25" s="102"/>
      <c r="EO25" s="102"/>
      <c r="EP25" s="102"/>
      <c r="EQ25" s="102"/>
      <c r="ER25" s="102"/>
      <c r="ES25" s="102"/>
      <c r="ET25" s="102"/>
      <c r="EU25" s="102"/>
      <c r="EV25" s="102"/>
      <c r="EW25" s="102"/>
      <c r="EX25" s="102"/>
      <c r="EY25" s="102"/>
      <c r="EZ25" s="102"/>
      <c r="FA25" s="102"/>
      <c r="FB25" s="102"/>
      <c r="FC25" s="102"/>
      <c r="FD25" s="102"/>
      <c r="FE25" s="102"/>
      <c r="FF25" s="102"/>
      <c r="FG25" s="102"/>
      <c r="FH25" s="102"/>
      <c r="FI25" s="102"/>
      <c r="FJ25" s="102"/>
      <c r="FK25" s="102"/>
      <c r="FL25" s="102"/>
      <c r="FM25" s="102"/>
      <c r="FN25" s="102"/>
      <c r="FO25" s="102"/>
      <c r="FP25" s="102"/>
      <c r="FQ25" s="102"/>
      <c r="FR25" s="102"/>
      <c r="FS25" s="102"/>
      <c r="FT25" s="102"/>
      <c r="FU25" s="102"/>
      <c r="FV25" s="102"/>
      <c r="FW25" s="102"/>
      <c r="FX25" s="102"/>
      <c r="FY25" s="102"/>
      <c r="FZ25" s="102"/>
      <c r="GA25" s="102"/>
      <c r="GB25" s="102"/>
      <c r="GC25" s="102"/>
      <c r="GD25" s="102"/>
      <c r="GE25" s="102"/>
      <c r="GF25" s="102"/>
      <c r="GG25" s="102"/>
      <c r="GH25" s="102"/>
      <c r="GI25" s="102"/>
      <c r="GJ25" s="102"/>
      <c r="GK25" s="102"/>
      <c r="GL25" s="102"/>
      <c r="GM25" s="102"/>
      <c r="GN25" s="102"/>
      <c r="GO25" s="102"/>
      <c r="GP25" s="102"/>
      <c r="GQ25" s="102"/>
      <c r="GR25" s="102"/>
      <c r="GS25" s="102"/>
      <c r="GT25" s="102"/>
      <c r="GU25" s="102"/>
    </row>
    <row r="26" spans="1:203" x14ac:dyDescent="0.3">
      <c r="A26" s="108" t="s">
        <v>48</v>
      </c>
      <c r="B26" s="44" t="str">
        <f>LEFT(A26,40)&amp;" @ $"&amp;FIXED(VLOOKUP(A26,Inputs!$B$5:$G$21,2),2)&amp;" per ton"</f>
        <v>Grass hay @ $110.00 per ton</v>
      </c>
      <c r="C26" s="27">
        <v>1350</v>
      </c>
      <c r="D26" s="100">
        <f>C26/100*VLOOKUP($A26,Inputs!$B$5:$G$21,6)</f>
        <v>74.25</v>
      </c>
      <c r="E26" s="27">
        <v>0</v>
      </c>
      <c r="F26" s="100">
        <f>E26/100*VLOOKUP($A26,Inputs!$B$5:$G$21,6)</f>
        <v>0</v>
      </c>
      <c r="G26" s="27">
        <v>0</v>
      </c>
      <c r="H26" s="100">
        <f>G26/100*VLOOKUP($A26,Inputs!$B$5:$G$21,6)</f>
        <v>0</v>
      </c>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c r="BY26" s="102"/>
      <c r="BZ26" s="102"/>
      <c r="CA26" s="102"/>
      <c r="CB26" s="102"/>
      <c r="CC26" s="102"/>
      <c r="CD26" s="102"/>
      <c r="CE26" s="102"/>
      <c r="CF26" s="102"/>
      <c r="CG26" s="102"/>
      <c r="CH26" s="102"/>
      <c r="CI26" s="102"/>
      <c r="CJ26" s="102"/>
      <c r="CK26" s="102"/>
      <c r="CL26" s="102"/>
      <c r="CM26" s="102"/>
      <c r="CN26" s="102"/>
      <c r="CO26" s="102"/>
      <c r="CP26" s="102"/>
      <c r="CQ26" s="102"/>
      <c r="CR26" s="102"/>
      <c r="CS26" s="102"/>
      <c r="CT26" s="102"/>
      <c r="CU26" s="102"/>
      <c r="CV26" s="102"/>
      <c r="CW26" s="102"/>
      <c r="CX26" s="102"/>
      <c r="CY26" s="102"/>
      <c r="CZ26" s="102"/>
      <c r="DA26" s="102"/>
      <c r="DB26" s="102"/>
      <c r="DC26" s="102"/>
      <c r="DD26" s="102"/>
      <c r="DE26" s="102"/>
      <c r="DF26" s="102"/>
      <c r="DG26" s="102"/>
      <c r="DH26" s="102"/>
      <c r="DI26" s="102"/>
      <c r="DJ26" s="102"/>
      <c r="DK26" s="102"/>
      <c r="DL26" s="102"/>
      <c r="DM26" s="102"/>
      <c r="DN26" s="102"/>
      <c r="DO26" s="102"/>
      <c r="DP26" s="102"/>
      <c r="DQ26" s="102"/>
      <c r="DR26" s="102"/>
      <c r="DS26" s="102"/>
      <c r="DT26" s="102"/>
      <c r="DU26" s="102"/>
      <c r="DV26" s="102"/>
      <c r="DW26" s="102"/>
      <c r="DX26" s="102"/>
      <c r="DY26" s="102"/>
      <c r="DZ26" s="102"/>
      <c r="EA26" s="102"/>
      <c r="EB26" s="102"/>
      <c r="EC26" s="102"/>
      <c r="ED26" s="102"/>
      <c r="EE26" s="102"/>
      <c r="EF26" s="102"/>
      <c r="EG26" s="102"/>
      <c r="EH26" s="102"/>
      <c r="EI26" s="102"/>
      <c r="EJ26" s="102"/>
      <c r="EK26" s="102"/>
      <c r="EL26" s="102"/>
      <c r="EM26" s="102"/>
      <c r="EN26" s="102"/>
      <c r="EO26" s="102"/>
      <c r="EP26" s="102"/>
      <c r="EQ26" s="102"/>
      <c r="ER26" s="102"/>
      <c r="ES26" s="102"/>
      <c r="ET26" s="102"/>
      <c r="EU26" s="102"/>
      <c r="EV26" s="102"/>
      <c r="EW26" s="102"/>
      <c r="EX26" s="102"/>
      <c r="EY26" s="102"/>
      <c r="EZ26" s="102"/>
      <c r="FA26" s="102"/>
      <c r="FB26" s="102"/>
      <c r="FC26" s="102"/>
      <c r="FD26" s="102"/>
      <c r="FE26" s="102"/>
      <c r="FF26" s="102"/>
      <c r="FG26" s="102"/>
      <c r="FH26" s="102"/>
      <c r="FI26" s="102"/>
      <c r="FJ26" s="102"/>
      <c r="FK26" s="102"/>
      <c r="FL26" s="102"/>
      <c r="FM26" s="102"/>
      <c r="FN26" s="102"/>
      <c r="FO26" s="102"/>
      <c r="FP26" s="102"/>
      <c r="FQ26" s="102"/>
      <c r="FR26" s="102"/>
      <c r="FS26" s="102"/>
      <c r="FT26" s="102"/>
      <c r="FU26" s="102"/>
      <c r="FV26" s="102"/>
      <c r="FW26" s="102"/>
      <c r="FX26" s="102"/>
      <c r="FY26" s="102"/>
      <c r="FZ26" s="102"/>
      <c r="GA26" s="102"/>
      <c r="GB26" s="102"/>
      <c r="GC26" s="102"/>
      <c r="GD26" s="102"/>
      <c r="GE26" s="102"/>
      <c r="GF26" s="102"/>
      <c r="GG26" s="102"/>
      <c r="GH26" s="102"/>
      <c r="GI26" s="102"/>
      <c r="GJ26" s="102"/>
      <c r="GK26" s="102"/>
      <c r="GL26" s="102"/>
      <c r="GM26" s="102"/>
      <c r="GN26" s="102"/>
      <c r="GO26" s="102"/>
      <c r="GP26" s="102"/>
      <c r="GQ26" s="102"/>
      <c r="GR26" s="102"/>
      <c r="GS26" s="102"/>
      <c r="GT26" s="102"/>
      <c r="GU26" s="102"/>
    </row>
    <row r="27" spans="1:203" x14ac:dyDescent="0.3">
      <c r="A27" s="108" t="s">
        <v>67</v>
      </c>
      <c r="B27" s="44" t="str">
        <f>LEFT(A27,40)&amp;" @ $"&amp;FIXED(VLOOKUP(A27,Inputs!$B$5:$G$21,6),2)&amp;" per cwt."</f>
        <v>Minerals (w/lasalocid) @ $50.00 per cwt.</v>
      </c>
      <c r="C27" s="27">
        <v>36</v>
      </c>
      <c r="D27" s="100">
        <f>C27/100*VLOOKUP($A27,Inputs!$B$5:$G$21,6)</f>
        <v>18</v>
      </c>
      <c r="E27" s="27">
        <v>36</v>
      </c>
      <c r="F27" s="100">
        <f>E27/100*VLOOKUP($A27,Inputs!$B$5:$G$21,6)</f>
        <v>18</v>
      </c>
      <c r="G27" s="27">
        <v>36</v>
      </c>
      <c r="H27" s="100">
        <f>G27/100*VLOOKUP($A27,Inputs!$B$5:$G$21,6)</f>
        <v>18</v>
      </c>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c r="BV27" s="102"/>
      <c r="BW27" s="102"/>
      <c r="BX27" s="102"/>
      <c r="BY27" s="102"/>
      <c r="BZ27" s="102"/>
      <c r="CA27" s="102"/>
      <c r="CB27" s="102"/>
      <c r="CC27" s="102"/>
      <c r="CD27" s="102"/>
      <c r="CE27" s="102"/>
      <c r="CF27" s="102"/>
      <c r="CG27" s="102"/>
      <c r="CH27" s="102"/>
      <c r="CI27" s="102"/>
      <c r="CJ27" s="102"/>
      <c r="CK27" s="102"/>
      <c r="CL27" s="102"/>
      <c r="CM27" s="102"/>
      <c r="CN27" s="102"/>
      <c r="CO27" s="102"/>
      <c r="CP27" s="102"/>
      <c r="CQ27" s="102"/>
      <c r="CR27" s="102"/>
      <c r="CS27" s="102"/>
      <c r="CT27" s="102"/>
      <c r="CU27" s="102"/>
      <c r="CV27" s="102"/>
      <c r="CW27" s="102"/>
      <c r="CX27" s="102"/>
      <c r="CY27" s="102"/>
      <c r="CZ27" s="102"/>
      <c r="DA27" s="102"/>
      <c r="DB27" s="102"/>
      <c r="DC27" s="102"/>
      <c r="DD27" s="102"/>
      <c r="DE27" s="102"/>
      <c r="DF27" s="102"/>
      <c r="DG27" s="102"/>
      <c r="DH27" s="102"/>
      <c r="DI27" s="102"/>
      <c r="DJ27" s="102"/>
      <c r="DK27" s="102"/>
      <c r="DL27" s="102"/>
      <c r="DM27" s="102"/>
      <c r="DN27" s="102"/>
      <c r="DO27" s="102"/>
      <c r="DP27" s="102"/>
      <c r="DQ27" s="102"/>
      <c r="DR27" s="102"/>
      <c r="DS27" s="102"/>
      <c r="DT27" s="102"/>
      <c r="DU27" s="102"/>
      <c r="DV27" s="102"/>
      <c r="DW27" s="102"/>
      <c r="DX27" s="102"/>
      <c r="DY27" s="102"/>
      <c r="DZ27" s="102"/>
      <c r="EA27" s="102"/>
      <c r="EB27" s="102"/>
      <c r="EC27" s="102"/>
      <c r="ED27" s="102"/>
      <c r="EE27" s="102"/>
      <c r="EF27" s="102"/>
      <c r="EG27" s="102"/>
      <c r="EH27" s="102"/>
      <c r="EI27" s="102"/>
      <c r="EJ27" s="102"/>
      <c r="EK27" s="102"/>
      <c r="EL27" s="102"/>
      <c r="EM27" s="102"/>
      <c r="EN27" s="102"/>
      <c r="EO27" s="102"/>
      <c r="EP27" s="102"/>
      <c r="EQ27" s="102"/>
      <c r="ER27" s="102"/>
      <c r="ES27" s="102"/>
      <c r="ET27" s="102"/>
      <c r="EU27" s="102"/>
      <c r="EV27" s="102"/>
      <c r="EW27" s="102"/>
      <c r="EX27" s="102"/>
      <c r="EY27" s="102"/>
      <c r="EZ27" s="102"/>
      <c r="FA27" s="102"/>
      <c r="FB27" s="102"/>
      <c r="FC27" s="102"/>
      <c r="FD27" s="102"/>
      <c r="FE27" s="102"/>
      <c r="FF27" s="102"/>
      <c r="FG27" s="102"/>
      <c r="FH27" s="102"/>
      <c r="FI27" s="102"/>
      <c r="FJ27" s="102"/>
      <c r="FK27" s="102"/>
      <c r="FL27" s="102"/>
      <c r="FM27" s="102"/>
      <c r="FN27" s="102"/>
      <c r="FO27" s="102"/>
      <c r="FP27" s="102"/>
      <c r="FQ27" s="102"/>
      <c r="FR27" s="102"/>
      <c r="FS27" s="102"/>
      <c r="FT27" s="102"/>
      <c r="FU27" s="102"/>
      <c r="FV27" s="102"/>
      <c r="FW27" s="102"/>
      <c r="FX27" s="102"/>
      <c r="FY27" s="102"/>
      <c r="FZ27" s="102"/>
      <c r="GA27" s="102"/>
      <c r="GB27" s="102"/>
      <c r="GC27" s="102"/>
      <c r="GD27" s="102"/>
      <c r="GE27" s="102"/>
      <c r="GF27" s="102"/>
      <c r="GG27" s="102"/>
      <c r="GH27" s="102"/>
      <c r="GI27" s="102"/>
      <c r="GJ27" s="102"/>
      <c r="GK27" s="102"/>
      <c r="GL27" s="102"/>
      <c r="GM27" s="102"/>
      <c r="GN27" s="102"/>
      <c r="GO27" s="102"/>
      <c r="GP27" s="102"/>
      <c r="GQ27" s="102"/>
      <c r="GR27" s="102"/>
      <c r="GS27" s="102"/>
      <c r="GT27" s="102"/>
      <c r="GU27" s="102"/>
    </row>
    <row r="28" spans="1:203" x14ac:dyDescent="0.3">
      <c r="A28" s="108" t="s">
        <v>63</v>
      </c>
      <c r="B28" s="44" t="str">
        <f>LEFT(A28,40)&amp;" @ $"&amp;FIXED(VLOOKUP(A28,Inputs!$B$5:$G$21,2),2)&amp;" per AUM"</f>
        <v>Pasture @ $30.00 per AUM</v>
      </c>
      <c r="C28" s="27">
        <v>0</v>
      </c>
      <c r="D28" s="100">
        <f>C28*VLOOKUP($A28,Inputs!$B$5:$G$21,2)</f>
        <v>0</v>
      </c>
      <c r="E28" s="28">
        <f>2*((E20+F20)/2/1000)</f>
        <v>1.125</v>
      </c>
      <c r="F28" s="100">
        <f>E28*VLOOKUP($A28,Inputs!$B$5:$G$21,2)</f>
        <v>33.75</v>
      </c>
      <c r="G28" s="28">
        <f>3*((G20+H20)/2/1000)</f>
        <v>1.6875</v>
      </c>
      <c r="H28" s="100">
        <f>G28*VLOOKUP($A28,Inputs!$B$5:$G$21,2)</f>
        <v>50.625</v>
      </c>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c r="BV28" s="102"/>
      <c r="BW28" s="102"/>
      <c r="BX28" s="102"/>
      <c r="BY28" s="102"/>
      <c r="BZ28" s="102"/>
      <c r="CA28" s="102"/>
      <c r="CB28" s="102"/>
      <c r="CC28" s="102"/>
      <c r="CD28" s="102"/>
      <c r="CE28" s="102"/>
      <c r="CF28" s="102"/>
      <c r="CG28" s="102"/>
      <c r="CH28" s="102"/>
      <c r="CI28" s="102"/>
      <c r="CJ28" s="102"/>
      <c r="CK28" s="102"/>
      <c r="CL28" s="102"/>
      <c r="CM28" s="102"/>
      <c r="CN28" s="102"/>
      <c r="CO28" s="102"/>
      <c r="CP28" s="102"/>
      <c r="CQ28" s="102"/>
      <c r="CR28" s="102"/>
      <c r="CS28" s="102"/>
      <c r="CT28" s="102"/>
      <c r="CU28" s="102"/>
      <c r="CV28" s="102"/>
      <c r="CW28" s="102"/>
      <c r="CX28" s="102"/>
      <c r="CY28" s="102"/>
      <c r="CZ28" s="102"/>
      <c r="DA28" s="102"/>
      <c r="DB28" s="102"/>
      <c r="DC28" s="102"/>
      <c r="DD28" s="102"/>
      <c r="DE28" s="102"/>
      <c r="DF28" s="102"/>
      <c r="DG28" s="102"/>
      <c r="DH28" s="102"/>
      <c r="DI28" s="102"/>
      <c r="DJ28" s="102"/>
      <c r="DK28" s="102"/>
      <c r="DL28" s="102"/>
      <c r="DM28" s="102"/>
      <c r="DN28" s="102"/>
      <c r="DO28" s="102"/>
      <c r="DP28" s="102"/>
      <c r="DQ28" s="102"/>
      <c r="DR28" s="102"/>
      <c r="DS28" s="102"/>
      <c r="DT28" s="102"/>
      <c r="DU28" s="102"/>
      <c r="DV28" s="102"/>
      <c r="DW28" s="102"/>
      <c r="DX28" s="102"/>
      <c r="DY28" s="102"/>
      <c r="DZ28" s="102"/>
      <c r="EA28" s="102"/>
      <c r="EB28" s="102"/>
      <c r="EC28" s="102"/>
      <c r="ED28" s="102"/>
      <c r="EE28" s="102"/>
      <c r="EF28" s="102"/>
      <c r="EG28" s="102"/>
      <c r="EH28" s="102"/>
      <c r="EI28" s="102"/>
      <c r="EJ28" s="102"/>
      <c r="EK28" s="102"/>
      <c r="EL28" s="102"/>
      <c r="EM28" s="102"/>
      <c r="EN28" s="102"/>
      <c r="EO28" s="102"/>
      <c r="EP28" s="102"/>
      <c r="EQ28" s="102"/>
      <c r="ER28" s="102"/>
      <c r="ES28" s="102"/>
      <c r="ET28" s="102"/>
      <c r="EU28" s="102"/>
      <c r="EV28" s="102"/>
      <c r="EW28" s="102"/>
      <c r="EX28" s="102"/>
      <c r="EY28" s="102"/>
      <c r="EZ28" s="102"/>
      <c r="FA28" s="102"/>
      <c r="FB28" s="102"/>
      <c r="FC28" s="102"/>
      <c r="FD28" s="102"/>
      <c r="FE28" s="102"/>
      <c r="FF28" s="102"/>
      <c r="FG28" s="102"/>
      <c r="FH28" s="102"/>
      <c r="FI28" s="102"/>
      <c r="FJ28" s="102"/>
      <c r="FK28" s="102"/>
      <c r="FL28" s="102"/>
      <c r="FM28" s="102"/>
      <c r="FN28" s="102"/>
      <c r="FO28" s="102"/>
      <c r="FP28" s="102"/>
      <c r="FQ28" s="102"/>
      <c r="FR28" s="102"/>
      <c r="FS28" s="102"/>
      <c r="FT28" s="102"/>
      <c r="FU28" s="102"/>
      <c r="FV28" s="102"/>
      <c r="FW28" s="102"/>
      <c r="FX28" s="102"/>
      <c r="FY28" s="102"/>
      <c r="FZ28" s="102"/>
      <c r="GA28" s="102"/>
      <c r="GB28" s="102"/>
      <c r="GC28" s="102"/>
      <c r="GD28" s="102"/>
      <c r="GE28" s="102"/>
      <c r="GF28" s="102"/>
      <c r="GG28" s="102"/>
      <c r="GH28" s="102"/>
      <c r="GI28" s="102"/>
      <c r="GJ28" s="102"/>
      <c r="GK28" s="102"/>
      <c r="GL28" s="102"/>
      <c r="GM28" s="102"/>
      <c r="GN28" s="102"/>
      <c r="GO28" s="102"/>
      <c r="GP28" s="102"/>
      <c r="GQ28" s="102"/>
      <c r="GR28" s="102"/>
      <c r="GS28" s="102"/>
      <c r="GT28" s="102"/>
      <c r="GU28" s="102"/>
    </row>
    <row r="29" spans="1:203" x14ac:dyDescent="0.3">
      <c r="A29" s="108"/>
      <c r="B29" s="109" t="s">
        <v>124</v>
      </c>
      <c r="C29" s="76"/>
      <c r="D29" s="110">
        <f>SUM(D23:D28)</f>
        <v>214.57232142857143</v>
      </c>
      <c r="E29" s="76"/>
      <c r="F29" s="110">
        <f>SUM(F23:F28)</f>
        <v>106.65</v>
      </c>
      <c r="G29" s="76"/>
      <c r="H29" s="115">
        <f>SUM(H23:H28)</f>
        <v>145.31785714285715</v>
      </c>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c r="BJ29" s="102"/>
      <c r="BK29" s="102"/>
      <c r="BL29" s="102"/>
      <c r="BM29" s="102"/>
      <c r="BN29" s="102"/>
      <c r="BO29" s="102"/>
      <c r="BP29" s="102"/>
      <c r="BQ29" s="102"/>
      <c r="BR29" s="102"/>
      <c r="BS29" s="102"/>
      <c r="BT29" s="102"/>
      <c r="BU29" s="102"/>
      <c r="BV29" s="102"/>
      <c r="BW29" s="102"/>
      <c r="BX29" s="102"/>
      <c r="BY29" s="102"/>
      <c r="BZ29" s="102"/>
      <c r="CA29" s="102"/>
      <c r="CB29" s="102"/>
      <c r="CC29" s="102"/>
      <c r="CD29" s="102"/>
      <c r="CE29" s="102"/>
      <c r="CF29" s="102"/>
      <c r="CG29" s="102"/>
      <c r="CH29" s="102"/>
      <c r="CI29" s="102"/>
      <c r="CJ29" s="102"/>
      <c r="CK29" s="102"/>
      <c r="CL29" s="102"/>
      <c r="CM29" s="102"/>
      <c r="CN29" s="102"/>
      <c r="CO29" s="102"/>
      <c r="CP29" s="102"/>
      <c r="CQ29" s="102"/>
      <c r="CR29" s="102"/>
      <c r="CS29" s="102"/>
      <c r="CT29" s="102"/>
      <c r="CU29" s="102"/>
      <c r="CV29" s="102"/>
      <c r="CW29" s="102"/>
      <c r="CX29" s="102"/>
      <c r="CY29" s="102"/>
      <c r="CZ29" s="102"/>
      <c r="DA29" s="102"/>
      <c r="DB29" s="102"/>
      <c r="DC29" s="102"/>
      <c r="DD29" s="102"/>
      <c r="DE29" s="102"/>
      <c r="DF29" s="102"/>
      <c r="DG29" s="102"/>
      <c r="DH29" s="102"/>
      <c r="DI29" s="102"/>
      <c r="DJ29" s="102"/>
      <c r="DK29" s="102"/>
      <c r="DL29" s="102"/>
      <c r="DM29" s="102"/>
      <c r="DN29" s="102"/>
      <c r="DO29" s="102"/>
      <c r="DP29" s="102"/>
      <c r="DQ29" s="102"/>
      <c r="DR29" s="102"/>
      <c r="DS29" s="102"/>
      <c r="DT29" s="102"/>
      <c r="DU29" s="102"/>
      <c r="DV29" s="102"/>
      <c r="DW29" s="102"/>
      <c r="DX29" s="102"/>
      <c r="DY29" s="102"/>
      <c r="DZ29" s="102"/>
      <c r="EA29" s="102"/>
      <c r="EB29" s="102"/>
      <c r="EC29" s="102"/>
      <c r="ED29" s="102"/>
      <c r="EE29" s="102"/>
      <c r="EF29" s="102"/>
      <c r="EG29" s="102"/>
      <c r="EH29" s="102"/>
      <c r="EI29" s="102"/>
      <c r="EJ29" s="102"/>
      <c r="EK29" s="102"/>
      <c r="EL29" s="102"/>
      <c r="EM29" s="102"/>
      <c r="EN29" s="102"/>
      <c r="EO29" s="102"/>
      <c r="EP29" s="102"/>
      <c r="EQ29" s="102"/>
      <c r="ER29" s="102"/>
      <c r="ES29" s="102"/>
      <c r="ET29" s="102"/>
      <c r="EU29" s="102"/>
      <c r="EV29" s="102"/>
      <c r="EW29" s="102"/>
      <c r="EX29" s="102"/>
      <c r="EY29" s="102"/>
      <c r="EZ29" s="102"/>
      <c r="FA29" s="102"/>
      <c r="FB29" s="102"/>
      <c r="FC29" s="102"/>
      <c r="FD29" s="102"/>
      <c r="FE29" s="102"/>
      <c r="FF29" s="102"/>
      <c r="FG29" s="102"/>
      <c r="FH29" s="102"/>
      <c r="FI29" s="102"/>
      <c r="FJ29" s="102"/>
      <c r="FK29" s="102"/>
      <c r="FL29" s="102"/>
      <c r="FM29" s="102"/>
      <c r="FN29" s="102"/>
      <c r="FO29" s="102"/>
      <c r="FP29" s="102"/>
      <c r="FQ29" s="102"/>
      <c r="FR29" s="102"/>
      <c r="FS29" s="102"/>
      <c r="FT29" s="102"/>
      <c r="FU29" s="102"/>
      <c r="FV29" s="102"/>
      <c r="FW29" s="102"/>
      <c r="FX29" s="102"/>
      <c r="FY29" s="102"/>
      <c r="FZ29" s="102"/>
      <c r="GA29" s="102"/>
      <c r="GB29" s="102"/>
      <c r="GC29" s="102"/>
      <c r="GD29" s="102"/>
      <c r="GE29" s="102"/>
      <c r="GF29" s="102"/>
      <c r="GG29" s="102"/>
      <c r="GH29" s="102"/>
      <c r="GI29" s="102"/>
      <c r="GJ29" s="102"/>
      <c r="GK29" s="102"/>
      <c r="GL29" s="102"/>
      <c r="GM29" s="102"/>
      <c r="GN29" s="102"/>
      <c r="GO29" s="102"/>
      <c r="GP29" s="102"/>
      <c r="GQ29" s="102"/>
      <c r="GR29" s="102"/>
      <c r="GS29" s="102"/>
      <c r="GT29" s="102"/>
      <c r="GU29" s="102"/>
    </row>
    <row r="30" spans="1:203" x14ac:dyDescent="0.3">
      <c r="A30" s="108"/>
      <c r="B30" s="109" t="s">
        <v>126</v>
      </c>
      <c r="C30" s="76"/>
      <c r="D30" s="110">
        <f>(D29+F29*2+H29)/2</f>
        <v>286.59508928571432</v>
      </c>
      <c r="E30" s="76"/>
      <c r="F30" s="76"/>
      <c r="G30" s="76"/>
      <c r="H30" s="76"/>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c r="BM30" s="102"/>
      <c r="BN30" s="102"/>
      <c r="BO30" s="102"/>
      <c r="BP30" s="102"/>
      <c r="BQ30" s="102"/>
      <c r="BR30" s="102"/>
      <c r="BS30" s="102"/>
      <c r="BT30" s="102"/>
      <c r="BU30" s="102"/>
      <c r="BV30" s="102"/>
      <c r="BW30" s="102"/>
      <c r="BX30" s="102"/>
      <c r="BY30" s="102"/>
      <c r="BZ30" s="102"/>
      <c r="CA30" s="102"/>
      <c r="CB30" s="102"/>
      <c r="CC30" s="102"/>
      <c r="CD30" s="102"/>
      <c r="CE30" s="102"/>
      <c r="CF30" s="102"/>
      <c r="CG30" s="102"/>
      <c r="CH30" s="102"/>
      <c r="CI30" s="102"/>
      <c r="CJ30" s="102"/>
      <c r="CK30" s="102"/>
      <c r="CL30" s="102"/>
      <c r="CM30" s="102"/>
      <c r="CN30" s="102"/>
      <c r="CO30" s="102"/>
      <c r="CP30" s="102"/>
      <c r="CQ30" s="102"/>
      <c r="CR30" s="102"/>
      <c r="CS30" s="102"/>
      <c r="CT30" s="102"/>
      <c r="CU30" s="102"/>
      <c r="CV30" s="102"/>
      <c r="CW30" s="102"/>
      <c r="CX30" s="102"/>
      <c r="CY30" s="102"/>
      <c r="CZ30" s="102"/>
      <c r="DA30" s="102"/>
      <c r="DB30" s="102"/>
      <c r="DC30" s="102"/>
      <c r="DD30" s="102"/>
      <c r="DE30" s="102"/>
      <c r="DF30" s="102"/>
      <c r="DG30" s="102"/>
      <c r="DH30" s="102"/>
      <c r="DI30" s="102"/>
      <c r="DJ30" s="102"/>
      <c r="DK30" s="102"/>
      <c r="DL30" s="102"/>
      <c r="DM30" s="102"/>
      <c r="DN30" s="102"/>
      <c r="DO30" s="102"/>
      <c r="DP30" s="102"/>
      <c r="DQ30" s="102"/>
      <c r="DR30" s="102"/>
      <c r="DS30" s="102"/>
      <c r="DT30" s="102"/>
      <c r="DU30" s="102"/>
      <c r="DV30" s="102"/>
      <c r="DW30" s="102"/>
      <c r="DX30" s="102"/>
      <c r="DY30" s="102"/>
      <c r="DZ30" s="102"/>
      <c r="EA30" s="102"/>
      <c r="EB30" s="102"/>
      <c r="EC30" s="102"/>
      <c r="ED30" s="102"/>
      <c r="EE30" s="102"/>
      <c r="EF30" s="102"/>
      <c r="EG30" s="102"/>
      <c r="EH30" s="102"/>
      <c r="EI30" s="102"/>
      <c r="EJ30" s="102"/>
      <c r="EK30" s="102"/>
      <c r="EL30" s="102"/>
      <c r="EM30" s="102"/>
      <c r="EN30" s="102"/>
      <c r="EO30" s="102"/>
      <c r="EP30" s="102"/>
      <c r="EQ30" s="102"/>
      <c r="ER30" s="102"/>
      <c r="ES30" s="102"/>
      <c r="ET30" s="102"/>
      <c r="EU30" s="102"/>
      <c r="EV30" s="102"/>
      <c r="EW30" s="102"/>
      <c r="EX30" s="102"/>
      <c r="EY30" s="102"/>
      <c r="EZ30" s="102"/>
      <c r="FA30" s="102"/>
      <c r="FB30" s="102"/>
      <c r="FC30" s="102"/>
      <c r="FD30" s="102"/>
      <c r="FE30" s="102"/>
      <c r="FF30" s="102"/>
      <c r="FG30" s="102"/>
      <c r="FH30" s="102"/>
      <c r="FI30" s="102"/>
      <c r="FJ30" s="102"/>
      <c r="FK30" s="102"/>
      <c r="FL30" s="102"/>
      <c r="FM30" s="102"/>
      <c r="FN30" s="102"/>
      <c r="FO30" s="102"/>
      <c r="FP30" s="102"/>
      <c r="FQ30" s="102"/>
      <c r="FR30" s="102"/>
      <c r="FS30" s="102"/>
      <c r="FT30" s="102"/>
      <c r="FU30" s="102"/>
      <c r="FV30" s="102"/>
      <c r="FW30" s="102"/>
      <c r="FX30" s="102"/>
      <c r="FY30" s="102"/>
      <c r="FZ30" s="102"/>
      <c r="GA30" s="102"/>
      <c r="GB30" s="102"/>
      <c r="GC30" s="102"/>
      <c r="GD30" s="102"/>
      <c r="GE30" s="102"/>
      <c r="GF30" s="102"/>
      <c r="GG30" s="102"/>
      <c r="GH30" s="102"/>
      <c r="GI30" s="102"/>
      <c r="GJ30" s="102"/>
      <c r="GK30" s="102"/>
      <c r="GL30" s="102"/>
      <c r="GM30" s="102"/>
      <c r="GN30" s="102"/>
      <c r="GO30" s="102"/>
      <c r="GP30" s="102"/>
      <c r="GQ30" s="102"/>
      <c r="GR30" s="102"/>
      <c r="GS30" s="102"/>
      <c r="GT30" s="102"/>
      <c r="GU30" s="102"/>
    </row>
    <row r="31" spans="1:203" ht="18" thickBot="1" x14ac:dyDescent="0.35">
      <c r="A31" s="108"/>
      <c r="B31" s="102"/>
      <c r="C31" s="102"/>
      <c r="D31" s="102"/>
      <c r="E31" s="102"/>
      <c r="F31" s="102"/>
      <c r="G31" s="102"/>
      <c r="H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S31" s="102"/>
      <c r="BT31" s="102"/>
      <c r="BU31" s="102"/>
      <c r="BV31" s="102"/>
      <c r="BW31" s="102"/>
      <c r="BX31" s="102"/>
      <c r="BY31" s="102"/>
      <c r="BZ31" s="102"/>
      <c r="CA31" s="102"/>
      <c r="CB31" s="102"/>
      <c r="CC31" s="102"/>
      <c r="CD31" s="102"/>
      <c r="CE31" s="102"/>
      <c r="CF31" s="102"/>
      <c r="CG31" s="102"/>
      <c r="CH31" s="102"/>
      <c r="CI31" s="102"/>
      <c r="CJ31" s="102"/>
      <c r="CK31" s="102"/>
      <c r="CL31" s="102"/>
      <c r="CM31" s="102"/>
      <c r="CN31" s="102"/>
      <c r="CO31" s="102"/>
      <c r="CP31" s="102"/>
      <c r="CQ31" s="102"/>
      <c r="CR31" s="102"/>
      <c r="CS31" s="102"/>
      <c r="CT31" s="102"/>
      <c r="CU31" s="102"/>
      <c r="CV31" s="102"/>
      <c r="CW31" s="102"/>
      <c r="CX31" s="102"/>
      <c r="CY31" s="102"/>
      <c r="CZ31" s="102"/>
      <c r="DA31" s="102"/>
      <c r="DB31" s="102"/>
      <c r="DC31" s="102"/>
      <c r="DD31" s="102"/>
      <c r="DE31" s="102"/>
      <c r="DF31" s="102"/>
      <c r="DG31" s="102"/>
      <c r="DH31" s="102"/>
      <c r="DI31" s="102"/>
      <c r="DJ31" s="102"/>
      <c r="DK31" s="102"/>
      <c r="DL31" s="102"/>
      <c r="DM31" s="102"/>
      <c r="DN31" s="102"/>
      <c r="DO31" s="102"/>
      <c r="DP31" s="102"/>
      <c r="DQ31" s="102"/>
      <c r="DR31" s="102"/>
      <c r="DS31" s="102"/>
      <c r="DT31" s="102"/>
      <c r="DU31" s="102"/>
      <c r="DV31" s="102"/>
      <c r="DW31" s="102"/>
      <c r="DX31" s="102"/>
      <c r="DY31" s="102"/>
      <c r="DZ31" s="102"/>
      <c r="EA31" s="102"/>
      <c r="EB31" s="102"/>
      <c r="EC31" s="102"/>
      <c r="ED31" s="102"/>
      <c r="EE31" s="102"/>
      <c r="EF31" s="102"/>
      <c r="EG31" s="102"/>
      <c r="EH31" s="102"/>
      <c r="EI31" s="102"/>
      <c r="EJ31" s="102"/>
      <c r="EK31" s="102"/>
      <c r="EL31" s="102"/>
      <c r="EM31" s="102"/>
      <c r="EN31" s="102"/>
      <c r="EO31" s="102"/>
      <c r="EP31" s="102"/>
      <c r="EQ31" s="102"/>
      <c r="ER31" s="102"/>
      <c r="ES31" s="102"/>
      <c r="ET31" s="102"/>
      <c r="EU31" s="102"/>
      <c r="EV31" s="102"/>
      <c r="EW31" s="102"/>
      <c r="EX31" s="102"/>
      <c r="EY31" s="102"/>
      <c r="EZ31" s="102"/>
      <c r="FA31" s="102"/>
      <c r="FB31" s="102"/>
      <c r="FC31" s="102"/>
      <c r="FD31" s="102"/>
      <c r="FE31" s="102"/>
      <c r="FF31" s="102"/>
      <c r="FG31" s="102"/>
      <c r="FH31" s="102"/>
      <c r="FI31" s="102"/>
      <c r="FJ31" s="102"/>
      <c r="FK31" s="102"/>
      <c r="FL31" s="102"/>
      <c r="FM31" s="102"/>
      <c r="FN31" s="102"/>
      <c r="FO31" s="102"/>
      <c r="FP31" s="102"/>
      <c r="FQ31" s="102"/>
      <c r="FR31" s="102"/>
      <c r="FS31" s="102"/>
      <c r="FT31" s="102"/>
      <c r="FU31" s="102"/>
      <c r="FV31" s="102"/>
      <c r="FW31" s="102"/>
      <c r="FX31" s="102"/>
      <c r="FY31" s="102"/>
      <c r="FZ31" s="102"/>
      <c r="GA31" s="102"/>
      <c r="GB31" s="102"/>
      <c r="GC31" s="102"/>
      <c r="GD31" s="102"/>
      <c r="GE31" s="102"/>
      <c r="GF31" s="102"/>
      <c r="GG31" s="102"/>
      <c r="GH31" s="102"/>
      <c r="GI31" s="102"/>
      <c r="GJ31" s="102"/>
      <c r="GK31" s="102"/>
      <c r="GL31" s="102"/>
      <c r="GM31" s="102"/>
      <c r="GN31" s="102"/>
      <c r="GO31" s="102"/>
      <c r="GP31" s="102"/>
      <c r="GQ31" s="102"/>
      <c r="GR31" s="102"/>
      <c r="GS31" s="102"/>
      <c r="GT31" s="102"/>
      <c r="GU31" s="102"/>
    </row>
    <row r="32" spans="1:203" ht="21.75" thickBot="1" x14ac:dyDescent="0.4">
      <c r="A32" s="108"/>
      <c r="B32" s="54" t="s">
        <v>127</v>
      </c>
      <c r="C32" s="112"/>
      <c r="D32" s="112"/>
      <c r="E32" s="112"/>
      <c r="F32" s="112"/>
      <c r="G32" s="112"/>
      <c r="H32" s="113"/>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2"/>
      <c r="CI32" s="102"/>
      <c r="CJ32" s="102"/>
      <c r="CK32" s="102"/>
      <c r="CL32" s="102"/>
      <c r="CM32" s="102"/>
      <c r="CN32" s="102"/>
      <c r="CO32" s="102"/>
      <c r="CP32" s="102"/>
      <c r="CQ32" s="102"/>
      <c r="CR32" s="102"/>
      <c r="CS32" s="102"/>
      <c r="CT32" s="102"/>
      <c r="CU32" s="102"/>
      <c r="CV32" s="102"/>
      <c r="CW32" s="102"/>
      <c r="CX32" s="102"/>
      <c r="CY32" s="102"/>
      <c r="CZ32" s="102"/>
      <c r="DA32" s="102"/>
      <c r="DB32" s="102"/>
      <c r="DC32" s="102"/>
      <c r="DD32" s="102"/>
      <c r="DE32" s="102"/>
      <c r="DF32" s="102"/>
      <c r="DG32" s="102"/>
      <c r="DH32" s="102"/>
      <c r="DI32" s="102"/>
      <c r="DJ32" s="102"/>
      <c r="DK32" s="102"/>
      <c r="DL32" s="102"/>
      <c r="DM32" s="102"/>
      <c r="DN32" s="102"/>
      <c r="DO32" s="102"/>
      <c r="DP32" s="102"/>
      <c r="DQ32" s="102"/>
      <c r="DR32" s="102"/>
      <c r="DS32" s="102"/>
      <c r="DT32" s="102"/>
      <c r="DU32" s="102"/>
      <c r="DV32" s="102"/>
      <c r="DW32" s="102"/>
      <c r="DX32" s="102"/>
      <c r="DY32" s="102"/>
      <c r="DZ32" s="102"/>
      <c r="EA32" s="102"/>
      <c r="EB32" s="102"/>
      <c r="EC32" s="102"/>
      <c r="ED32" s="102"/>
      <c r="EE32" s="102"/>
      <c r="EF32" s="102"/>
      <c r="EG32" s="102"/>
      <c r="EH32" s="102"/>
      <c r="EI32" s="102"/>
      <c r="EJ32" s="102"/>
      <c r="EK32" s="102"/>
      <c r="EL32" s="102"/>
      <c r="EM32" s="102"/>
      <c r="EN32" s="102"/>
      <c r="EO32" s="102"/>
      <c r="EP32" s="102"/>
      <c r="EQ32" s="102"/>
      <c r="ER32" s="102"/>
      <c r="ES32" s="102"/>
      <c r="ET32" s="102"/>
      <c r="EU32" s="102"/>
      <c r="EV32" s="102"/>
      <c r="EW32" s="102"/>
      <c r="EX32" s="102"/>
      <c r="EY32" s="102"/>
      <c r="EZ32" s="102"/>
      <c r="FA32" s="102"/>
      <c r="FB32" s="102"/>
      <c r="FC32" s="102"/>
      <c r="FD32" s="102"/>
      <c r="FE32" s="102"/>
      <c r="FF32" s="102"/>
      <c r="FG32" s="102"/>
      <c r="FH32" s="102"/>
      <c r="FI32" s="102"/>
      <c r="FJ32" s="102"/>
      <c r="FK32" s="102"/>
      <c r="FL32" s="102"/>
      <c r="FM32" s="102"/>
      <c r="FN32" s="102"/>
      <c r="FO32" s="102"/>
      <c r="FP32" s="102"/>
      <c r="FQ32" s="102"/>
      <c r="FR32" s="102"/>
      <c r="FS32" s="102"/>
      <c r="FT32" s="102"/>
      <c r="FU32" s="102"/>
      <c r="FV32" s="102"/>
      <c r="FW32" s="102"/>
      <c r="FX32" s="102"/>
      <c r="FY32" s="102"/>
      <c r="FZ32" s="102"/>
      <c r="GA32" s="102"/>
      <c r="GB32" s="102"/>
      <c r="GC32" s="102"/>
      <c r="GD32" s="102"/>
      <c r="GE32" s="102"/>
      <c r="GF32" s="102"/>
      <c r="GG32" s="102"/>
      <c r="GH32" s="102"/>
      <c r="GI32" s="102"/>
      <c r="GJ32" s="102"/>
      <c r="GK32" s="102"/>
      <c r="GL32" s="102"/>
      <c r="GM32" s="102"/>
      <c r="GN32" s="102"/>
      <c r="GO32" s="102"/>
      <c r="GP32" s="102"/>
      <c r="GQ32" s="102"/>
      <c r="GR32" s="102"/>
      <c r="GS32" s="102"/>
      <c r="GT32" s="102"/>
      <c r="GU32" s="102"/>
    </row>
    <row r="33" spans="1:203" x14ac:dyDescent="0.3">
      <c r="A33" s="108"/>
      <c r="B33" s="44"/>
      <c r="C33" s="69" t="s">
        <v>64</v>
      </c>
      <c r="D33" s="69"/>
      <c r="E33" s="69" t="s">
        <v>65</v>
      </c>
      <c r="F33" s="69"/>
      <c r="G33" s="69" t="s">
        <v>66</v>
      </c>
      <c r="H33" s="69"/>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02"/>
      <c r="BY33" s="102"/>
      <c r="BZ33" s="102"/>
      <c r="CA33" s="102"/>
      <c r="CB33" s="102"/>
      <c r="CC33" s="102"/>
      <c r="CD33" s="102"/>
      <c r="CE33" s="102"/>
      <c r="CF33" s="102"/>
      <c r="CG33" s="102"/>
      <c r="CH33" s="102"/>
      <c r="CI33" s="102"/>
      <c r="CJ33" s="102"/>
      <c r="CK33" s="102"/>
      <c r="CL33" s="102"/>
      <c r="CM33" s="102"/>
      <c r="CN33" s="102"/>
      <c r="CO33" s="102"/>
      <c r="CP33" s="102"/>
      <c r="CQ33" s="102"/>
      <c r="CR33" s="102"/>
      <c r="CS33" s="102"/>
      <c r="CT33" s="102"/>
      <c r="CU33" s="102"/>
      <c r="CV33" s="102"/>
      <c r="CW33" s="102"/>
      <c r="CX33" s="102"/>
      <c r="CY33" s="102"/>
      <c r="CZ33" s="102"/>
      <c r="DA33" s="102"/>
      <c r="DB33" s="102"/>
      <c r="DC33" s="102"/>
      <c r="DD33" s="102"/>
      <c r="DE33" s="102"/>
      <c r="DF33" s="102"/>
      <c r="DG33" s="102"/>
      <c r="DH33" s="102"/>
      <c r="DI33" s="102"/>
      <c r="DJ33" s="102"/>
      <c r="DK33" s="102"/>
      <c r="DL33" s="102"/>
      <c r="DM33" s="102"/>
      <c r="DN33" s="102"/>
      <c r="DO33" s="102"/>
      <c r="DP33" s="102"/>
      <c r="DQ33" s="102"/>
      <c r="DR33" s="102"/>
      <c r="DS33" s="102"/>
      <c r="DT33" s="102"/>
      <c r="DU33" s="102"/>
      <c r="DV33" s="102"/>
      <c r="DW33" s="102"/>
      <c r="DX33" s="102"/>
      <c r="DY33" s="102"/>
      <c r="DZ33" s="102"/>
      <c r="EA33" s="102"/>
      <c r="EB33" s="102"/>
      <c r="EC33" s="102"/>
      <c r="ED33" s="102"/>
      <c r="EE33" s="102"/>
      <c r="EF33" s="102"/>
      <c r="EG33" s="102"/>
      <c r="EH33" s="102"/>
      <c r="EI33" s="102"/>
      <c r="EJ33" s="102"/>
      <c r="EK33" s="102"/>
      <c r="EL33" s="102"/>
      <c r="EM33" s="102"/>
      <c r="EN33" s="102"/>
      <c r="EO33" s="102"/>
      <c r="EP33" s="102"/>
      <c r="EQ33" s="102"/>
      <c r="ER33" s="102"/>
      <c r="ES33" s="102"/>
      <c r="ET33" s="102"/>
      <c r="EU33" s="102"/>
      <c r="EV33" s="102"/>
      <c r="EW33" s="102"/>
      <c r="EX33" s="102"/>
      <c r="EY33" s="102"/>
      <c r="EZ33" s="102"/>
      <c r="FA33" s="102"/>
      <c r="FB33" s="102"/>
      <c r="FC33" s="102"/>
      <c r="FD33" s="102"/>
      <c r="FE33" s="102"/>
      <c r="FF33" s="102"/>
      <c r="FG33" s="102"/>
      <c r="FH33" s="102"/>
      <c r="FI33" s="102"/>
      <c r="FJ33" s="102"/>
      <c r="FK33" s="102"/>
      <c r="FL33" s="102"/>
      <c r="FM33" s="102"/>
      <c r="FN33" s="102"/>
      <c r="FO33" s="102"/>
      <c r="FP33" s="102"/>
      <c r="FQ33" s="102"/>
      <c r="FR33" s="102"/>
      <c r="FS33" s="102"/>
      <c r="FT33" s="102"/>
      <c r="FU33" s="102"/>
      <c r="FV33" s="102"/>
      <c r="FW33" s="102"/>
      <c r="FX33" s="102"/>
      <c r="FY33" s="102"/>
      <c r="FZ33" s="102"/>
      <c r="GA33" s="102"/>
      <c r="GB33" s="102"/>
      <c r="GC33" s="102"/>
      <c r="GD33" s="102"/>
      <c r="GE33" s="102"/>
      <c r="GF33" s="102"/>
      <c r="GG33" s="102"/>
      <c r="GH33" s="102"/>
      <c r="GI33" s="102"/>
      <c r="GJ33" s="102"/>
      <c r="GK33" s="102"/>
      <c r="GL33" s="102"/>
      <c r="GM33" s="102"/>
      <c r="GN33" s="102"/>
      <c r="GO33" s="102"/>
      <c r="GP33" s="102"/>
      <c r="GQ33" s="102"/>
      <c r="GR33" s="102"/>
      <c r="GS33" s="102"/>
      <c r="GT33" s="102"/>
      <c r="GU33" s="102"/>
    </row>
    <row r="34" spans="1:203" x14ac:dyDescent="0.3">
      <c r="A34" s="108"/>
      <c r="B34" s="44"/>
      <c r="C34" s="69" t="s">
        <v>57</v>
      </c>
      <c r="D34" s="69"/>
      <c r="E34" s="69" t="s">
        <v>165</v>
      </c>
      <c r="F34" s="69"/>
      <c r="G34" s="69" t="s">
        <v>60</v>
      </c>
      <c r="H34" s="69"/>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2"/>
      <c r="BU34" s="102"/>
      <c r="BV34" s="102"/>
      <c r="BW34" s="102"/>
      <c r="BX34" s="102"/>
      <c r="BY34" s="102"/>
      <c r="BZ34" s="102"/>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2"/>
      <c r="DJ34" s="102"/>
      <c r="DK34" s="102"/>
      <c r="DL34" s="102"/>
      <c r="DM34" s="102"/>
      <c r="DN34" s="102"/>
      <c r="DO34" s="102"/>
      <c r="DP34" s="102"/>
      <c r="DQ34" s="102"/>
      <c r="DR34" s="102"/>
      <c r="DS34" s="102"/>
      <c r="DT34" s="102"/>
      <c r="DU34" s="102"/>
      <c r="DV34" s="102"/>
      <c r="DW34" s="102"/>
      <c r="DX34" s="102"/>
      <c r="DY34" s="102"/>
      <c r="DZ34" s="102"/>
      <c r="EA34" s="102"/>
      <c r="EB34" s="102"/>
      <c r="EC34" s="102"/>
      <c r="ED34" s="102"/>
      <c r="EE34" s="102"/>
      <c r="EF34" s="102"/>
      <c r="EG34" s="102"/>
      <c r="EH34" s="102"/>
      <c r="EI34" s="102"/>
      <c r="EJ34" s="102"/>
      <c r="EK34" s="102"/>
      <c r="EL34" s="102"/>
      <c r="EM34" s="102"/>
      <c r="EN34" s="102"/>
      <c r="EO34" s="102"/>
      <c r="EP34" s="102"/>
      <c r="EQ34" s="102"/>
      <c r="ER34" s="102"/>
      <c r="ES34" s="102"/>
      <c r="ET34" s="102"/>
      <c r="EU34" s="102"/>
      <c r="EV34" s="102"/>
      <c r="EW34" s="102"/>
      <c r="EX34" s="102"/>
      <c r="EY34" s="102"/>
      <c r="EZ34" s="102"/>
      <c r="FA34" s="102"/>
      <c r="FB34" s="102"/>
      <c r="FC34" s="102"/>
      <c r="FD34" s="102"/>
      <c r="FE34" s="102"/>
      <c r="FF34" s="102"/>
      <c r="FG34" s="102"/>
      <c r="FH34" s="102"/>
      <c r="FI34" s="102"/>
      <c r="FJ34" s="102"/>
      <c r="FK34" s="102"/>
      <c r="FL34" s="102"/>
      <c r="FM34" s="102"/>
      <c r="FN34" s="102"/>
      <c r="FO34" s="102"/>
      <c r="FP34" s="102"/>
      <c r="FQ34" s="102"/>
      <c r="FR34" s="102"/>
      <c r="FS34" s="102"/>
      <c r="FT34" s="102"/>
      <c r="FU34" s="102"/>
      <c r="FV34" s="102"/>
      <c r="FW34" s="102"/>
      <c r="FX34" s="102"/>
      <c r="FY34" s="102"/>
      <c r="FZ34" s="102"/>
      <c r="GA34" s="102"/>
      <c r="GB34" s="102"/>
      <c r="GC34" s="102"/>
      <c r="GD34" s="102"/>
      <c r="GE34" s="102"/>
      <c r="GF34" s="102"/>
      <c r="GG34" s="102"/>
      <c r="GH34" s="102"/>
      <c r="GI34" s="102"/>
      <c r="GJ34" s="102"/>
      <c r="GK34" s="102"/>
      <c r="GL34" s="102"/>
      <c r="GM34" s="102"/>
      <c r="GN34" s="102"/>
      <c r="GO34" s="102"/>
      <c r="GP34" s="102"/>
      <c r="GQ34" s="102"/>
      <c r="GR34" s="102"/>
      <c r="GS34" s="102"/>
      <c r="GT34" s="102"/>
      <c r="GU34" s="102"/>
    </row>
    <row r="35" spans="1:203" x14ac:dyDescent="0.3">
      <c r="A35" s="108"/>
      <c r="B35" s="44" t="s">
        <v>41</v>
      </c>
      <c r="C35" s="27">
        <v>725</v>
      </c>
      <c r="D35" s="27">
        <v>1380</v>
      </c>
      <c r="E35" s="72">
        <f>+C35</f>
        <v>725</v>
      </c>
      <c r="F35" s="72">
        <f>+D35</f>
        <v>1380</v>
      </c>
      <c r="G35" s="72">
        <f>+E35</f>
        <v>725</v>
      </c>
      <c r="H35" s="72">
        <f>+F35</f>
        <v>1380</v>
      </c>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102"/>
      <c r="BV35" s="102"/>
      <c r="BW35" s="102"/>
      <c r="BX35" s="102"/>
      <c r="BY35" s="102"/>
      <c r="BZ35" s="102"/>
      <c r="CA35" s="102"/>
      <c r="CB35" s="102"/>
      <c r="CC35" s="102"/>
      <c r="CD35" s="102"/>
      <c r="CE35" s="102"/>
      <c r="CF35" s="102"/>
      <c r="CG35" s="102"/>
      <c r="CH35" s="102"/>
      <c r="CI35" s="102"/>
      <c r="CJ35" s="102"/>
      <c r="CK35" s="102"/>
      <c r="CL35" s="102"/>
      <c r="CM35" s="102"/>
      <c r="CN35" s="102"/>
      <c r="CO35" s="102"/>
      <c r="CP35" s="102"/>
      <c r="CQ35" s="102"/>
      <c r="CR35" s="102"/>
      <c r="CS35" s="102"/>
      <c r="CT35" s="102"/>
      <c r="CU35" s="102"/>
      <c r="CV35" s="102"/>
      <c r="CW35" s="102"/>
      <c r="CX35" s="102"/>
      <c r="CY35" s="102"/>
      <c r="CZ35" s="102"/>
      <c r="DA35" s="102"/>
      <c r="DB35" s="102"/>
      <c r="DC35" s="102"/>
      <c r="DD35" s="102"/>
      <c r="DE35" s="102"/>
      <c r="DF35" s="102"/>
      <c r="DG35" s="102"/>
      <c r="DH35" s="102"/>
      <c r="DI35" s="102"/>
      <c r="DJ35" s="102"/>
      <c r="DK35" s="102"/>
      <c r="DL35" s="102"/>
      <c r="DM35" s="102"/>
      <c r="DN35" s="102"/>
      <c r="DO35" s="102"/>
      <c r="DP35" s="102"/>
      <c r="DQ35" s="102"/>
      <c r="DR35" s="102"/>
      <c r="DS35" s="102"/>
      <c r="DT35" s="102"/>
      <c r="DU35" s="102"/>
      <c r="DV35" s="102"/>
      <c r="DW35" s="102"/>
      <c r="DX35" s="102"/>
      <c r="DY35" s="102"/>
      <c r="DZ35" s="102"/>
      <c r="EA35" s="102"/>
      <c r="EB35" s="102"/>
      <c r="EC35" s="102"/>
      <c r="ED35" s="102"/>
      <c r="EE35" s="102"/>
      <c r="EF35" s="102"/>
      <c r="EG35" s="102"/>
      <c r="EH35" s="102"/>
      <c r="EI35" s="102"/>
      <c r="EJ35" s="102"/>
      <c r="EK35" s="102"/>
      <c r="EL35" s="102"/>
      <c r="EM35" s="102"/>
      <c r="EN35" s="102"/>
      <c r="EO35" s="102"/>
      <c r="EP35" s="102"/>
      <c r="EQ35" s="102"/>
      <c r="ER35" s="102"/>
      <c r="ES35" s="102"/>
      <c r="ET35" s="102"/>
      <c r="EU35" s="102"/>
      <c r="EV35" s="102"/>
      <c r="EW35" s="102"/>
      <c r="EX35" s="102"/>
      <c r="EY35" s="102"/>
      <c r="EZ35" s="102"/>
      <c r="FA35" s="102"/>
      <c r="FB35" s="102"/>
      <c r="FC35" s="102"/>
      <c r="FD35" s="102"/>
      <c r="FE35" s="102"/>
      <c r="FF35" s="102"/>
      <c r="FG35" s="102"/>
      <c r="FH35" s="102"/>
      <c r="FI35" s="102"/>
      <c r="FJ35" s="102"/>
      <c r="FK35" s="102"/>
      <c r="FL35" s="102"/>
      <c r="FM35" s="102"/>
      <c r="FN35" s="102"/>
      <c r="FO35" s="102"/>
      <c r="FP35" s="102"/>
      <c r="FQ35" s="102"/>
      <c r="FR35" s="102"/>
      <c r="FS35" s="102"/>
      <c r="FT35" s="102"/>
      <c r="FU35" s="102"/>
      <c r="FV35" s="102"/>
      <c r="FW35" s="102"/>
      <c r="FX35" s="102"/>
      <c r="FY35" s="102"/>
      <c r="FZ35" s="102"/>
      <c r="GA35" s="102"/>
      <c r="GB35" s="102"/>
      <c r="GC35" s="102"/>
      <c r="GD35" s="102"/>
      <c r="GE35" s="102"/>
      <c r="GF35" s="102"/>
      <c r="GG35" s="102"/>
      <c r="GH35" s="102"/>
      <c r="GI35" s="102"/>
      <c r="GJ35" s="102"/>
      <c r="GK35" s="102"/>
      <c r="GL35" s="102"/>
      <c r="GM35" s="102"/>
      <c r="GN35" s="102"/>
      <c r="GO35" s="102"/>
      <c r="GP35" s="102"/>
      <c r="GQ35" s="102"/>
      <c r="GR35" s="102"/>
      <c r="GS35" s="102"/>
      <c r="GT35" s="102"/>
      <c r="GU35" s="102"/>
    </row>
    <row r="36" spans="1:203" x14ac:dyDescent="0.3">
      <c r="A36" s="108"/>
      <c r="B36" s="76"/>
      <c r="C36" s="105"/>
      <c r="D36" s="105"/>
      <c r="E36" s="105"/>
      <c r="F36" s="105"/>
      <c r="G36" s="105"/>
      <c r="H36" s="105"/>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2"/>
      <c r="BX36" s="102"/>
      <c r="BY36" s="102"/>
      <c r="BZ36" s="102"/>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02"/>
      <c r="DM36" s="102"/>
      <c r="DN36" s="102"/>
      <c r="DO36" s="102"/>
      <c r="DP36" s="102"/>
      <c r="DQ36" s="102"/>
      <c r="DR36" s="102"/>
      <c r="DS36" s="102"/>
      <c r="DT36" s="102"/>
      <c r="DU36" s="102"/>
      <c r="DV36" s="102"/>
      <c r="DW36" s="102"/>
      <c r="DX36" s="102"/>
      <c r="DY36" s="102"/>
      <c r="DZ36" s="102"/>
      <c r="EA36" s="102"/>
      <c r="EB36" s="102"/>
      <c r="EC36" s="102"/>
      <c r="ED36" s="102"/>
      <c r="EE36" s="102"/>
      <c r="EF36" s="102"/>
      <c r="EG36" s="102"/>
      <c r="EH36" s="102"/>
      <c r="EI36" s="102"/>
      <c r="EJ36" s="102"/>
      <c r="EK36" s="102"/>
      <c r="EL36" s="102"/>
      <c r="EM36" s="102"/>
      <c r="EN36" s="102"/>
      <c r="EO36" s="102"/>
      <c r="EP36" s="102"/>
      <c r="EQ36" s="102"/>
      <c r="ER36" s="102"/>
      <c r="ES36" s="102"/>
      <c r="ET36" s="102"/>
      <c r="EU36" s="102"/>
      <c r="EV36" s="102"/>
      <c r="EW36" s="102"/>
      <c r="EX36" s="102"/>
      <c r="EY36" s="102"/>
      <c r="EZ36" s="102"/>
      <c r="FA36" s="102"/>
      <c r="FB36" s="102"/>
      <c r="FC36" s="102"/>
      <c r="FD36" s="102"/>
      <c r="FE36" s="102"/>
      <c r="FF36" s="102"/>
      <c r="FG36" s="102"/>
      <c r="FH36" s="102"/>
      <c r="FI36" s="102"/>
      <c r="FJ36" s="102"/>
      <c r="FK36" s="102"/>
      <c r="FL36" s="102"/>
      <c r="FM36" s="102"/>
      <c r="FN36" s="102"/>
      <c r="FO36" s="102"/>
      <c r="FP36" s="102"/>
      <c r="FQ36" s="102"/>
      <c r="FR36" s="102"/>
      <c r="FS36" s="102"/>
      <c r="FT36" s="102"/>
      <c r="FU36" s="102"/>
      <c r="FV36" s="102"/>
      <c r="FW36" s="102"/>
      <c r="FX36" s="102"/>
      <c r="FY36" s="102"/>
      <c r="FZ36" s="102"/>
      <c r="GA36" s="102"/>
      <c r="GB36" s="102"/>
      <c r="GC36" s="102"/>
      <c r="GD36" s="102"/>
      <c r="GE36" s="102"/>
      <c r="GF36" s="102"/>
      <c r="GG36" s="102"/>
      <c r="GH36" s="102"/>
      <c r="GI36" s="102"/>
      <c r="GJ36" s="102"/>
      <c r="GK36" s="102"/>
      <c r="GL36" s="102"/>
      <c r="GM36" s="102"/>
      <c r="GN36" s="102"/>
      <c r="GO36" s="102"/>
      <c r="GP36" s="102"/>
      <c r="GQ36" s="102"/>
      <c r="GR36" s="102"/>
      <c r="GS36" s="102"/>
      <c r="GT36" s="102"/>
      <c r="GU36" s="102"/>
    </row>
    <row r="37" spans="1:203" x14ac:dyDescent="0.3">
      <c r="A37" s="101"/>
      <c r="B37" s="41" t="s">
        <v>160</v>
      </c>
      <c r="C37" s="106" t="s">
        <v>14</v>
      </c>
      <c r="D37" s="106" t="s">
        <v>15</v>
      </c>
      <c r="E37" s="106" t="s">
        <v>14</v>
      </c>
      <c r="F37" s="106" t="s">
        <v>15</v>
      </c>
      <c r="G37" s="106" t="s">
        <v>14</v>
      </c>
      <c r="H37" s="106" t="s">
        <v>15</v>
      </c>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2"/>
      <c r="BQ37" s="102"/>
      <c r="BR37" s="102"/>
      <c r="BS37" s="102"/>
      <c r="BT37" s="102"/>
      <c r="BU37" s="102"/>
      <c r="BV37" s="102"/>
      <c r="BW37" s="102"/>
      <c r="BX37" s="102"/>
      <c r="BY37" s="102"/>
      <c r="BZ37" s="102"/>
      <c r="CA37" s="102"/>
      <c r="CB37" s="102"/>
      <c r="CC37" s="102"/>
      <c r="CD37" s="102"/>
      <c r="CE37" s="102"/>
      <c r="CF37" s="102"/>
      <c r="CG37" s="102"/>
      <c r="CH37" s="102"/>
      <c r="CI37" s="102"/>
      <c r="CJ37" s="102"/>
      <c r="CK37" s="102"/>
      <c r="CL37" s="102"/>
      <c r="CM37" s="102"/>
      <c r="CN37" s="102"/>
      <c r="CO37" s="102"/>
      <c r="CP37" s="102"/>
      <c r="CQ37" s="102"/>
      <c r="CR37" s="102"/>
      <c r="CS37" s="102"/>
      <c r="CT37" s="102"/>
      <c r="CU37" s="102"/>
      <c r="CV37" s="102"/>
      <c r="CW37" s="102"/>
      <c r="CX37" s="102"/>
      <c r="CY37" s="102"/>
      <c r="CZ37" s="102"/>
      <c r="DA37" s="102"/>
      <c r="DB37" s="102"/>
      <c r="DC37" s="102"/>
      <c r="DD37" s="102"/>
      <c r="DE37" s="102"/>
      <c r="DF37" s="102"/>
      <c r="DG37" s="102"/>
      <c r="DH37" s="102"/>
      <c r="DI37" s="102"/>
      <c r="DJ37" s="102"/>
      <c r="DK37" s="102"/>
      <c r="DL37" s="102"/>
      <c r="DM37" s="102"/>
      <c r="DN37" s="102"/>
      <c r="DO37" s="102"/>
      <c r="DP37" s="102"/>
      <c r="DQ37" s="102"/>
      <c r="DR37" s="102"/>
      <c r="DS37" s="102"/>
      <c r="DT37" s="102"/>
      <c r="DU37" s="102"/>
      <c r="DV37" s="102"/>
      <c r="DW37" s="102"/>
      <c r="DX37" s="102"/>
      <c r="DY37" s="102"/>
      <c r="DZ37" s="102"/>
      <c r="EA37" s="102"/>
      <c r="EB37" s="102"/>
      <c r="EC37" s="102"/>
      <c r="ED37" s="102"/>
      <c r="EE37" s="102"/>
      <c r="EF37" s="102"/>
      <c r="EG37" s="102"/>
      <c r="EH37" s="102"/>
      <c r="EI37" s="102"/>
      <c r="EJ37" s="102"/>
      <c r="EK37" s="102"/>
      <c r="EL37" s="102"/>
      <c r="EM37" s="102"/>
      <c r="EN37" s="102"/>
      <c r="EO37" s="102"/>
      <c r="EP37" s="102"/>
      <c r="EQ37" s="102"/>
      <c r="ER37" s="102"/>
      <c r="ES37" s="102"/>
      <c r="ET37" s="102"/>
      <c r="EU37" s="102"/>
      <c r="EV37" s="102"/>
      <c r="EW37" s="102"/>
      <c r="EX37" s="102"/>
      <c r="EY37" s="102"/>
      <c r="EZ37" s="102"/>
      <c r="FA37" s="102"/>
      <c r="FB37" s="102"/>
      <c r="FC37" s="102"/>
      <c r="FD37" s="102"/>
      <c r="FE37" s="102"/>
      <c r="FF37" s="102"/>
      <c r="FG37" s="102"/>
      <c r="FH37" s="102"/>
      <c r="FI37" s="102"/>
      <c r="FJ37" s="102"/>
      <c r="FK37" s="102"/>
      <c r="FL37" s="102"/>
      <c r="FM37" s="102"/>
      <c r="FN37" s="102"/>
      <c r="FO37" s="102"/>
      <c r="FP37" s="102"/>
      <c r="FQ37" s="102"/>
      <c r="FR37" s="102"/>
      <c r="FS37" s="102"/>
      <c r="FT37" s="102"/>
      <c r="FU37" s="102"/>
      <c r="FV37" s="102"/>
      <c r="FW37" s="102"/>
      <c r="FX37" s="102"/>
      <c r="FY37" s="102"/>
      <c r="FZ37" s="102"/>
      <c r="GA37" s="102"/>
      <c r="GB37" s="102"/>
      <c r="GC37" s="102"/>
      <c r="GD37" s="102"/>
      <c r="GE37" s="102"/>
      <c r="GF37" s="102"/>
      <c r="GG37" s="102"/>
      <c r="GH37" s="102"/>
      <c r="GI37" s="102"/>
      <c r="GJ37" s="102"/>
      <c r="GK37" s="102"/>
      <c r="GL37" s="102"/>
      <c r="GM37" s="102"/>
      <c r="GN37" s="102"/>
      <c r="GO37" s="102"/>
      <c r="GP37" s="102"/>
      <c r="GQ37" s="102"/>
      <c r="GR37" s="102"/>
      <c r="GS37" s="102"/>
      <c r="GT37" s="102"/>
      <c r="GU37" s="102"/>
    </row>
    <row r="38" spans="1:203" x14ac:dyDescent="0.3">
      <c r="A38" s="108" t="s">
        <v>49</v>
      </c>
      <c r="B38" s="44" t="str">
        <f>LEFT(A38,40)&amp;" @ $"&amp;FIXED(VLOOKUP(A38,Inputs!$B$5:$G$21,6),2)&amp;" per cwt."</f>
        <v>Corn gluten feed @ $11.25 per cwt.</v>
      </c>
      <c r="C38" s="27">
        <v>225</v>
      </c>
      <c r="D38" s="100">
        <f>C38/100*VLOOKUP($A38,Inputs!$B$5:$G$21,6)</f>
        <v>25.3125</v>
      </c>
      <c r="E38" s="27">
        <v>0</v>
      </c>
      <c r="F38" s="100">
        <f>E38/100*VLOOKUP($A38,Inputs!$B$5:$G$21,6)</f>
        <v>0</v>
      </c>
      <c r="G38" s="27">
        <v>207</v>
      </c>
      <c r="H38" s="100">
        <f>G38/100*VLOOKUP($A38,Inputs!$B$5:$G$21,6)</f>
        <v>23.287499999999998</v>
      </c>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2"/>
      <c r="BR38" s="102"/>
      <c r="BS38" s="102"/>
      <c r="BT38" s="102"/>
      <c r="BU38" s="102"/>
      <c r="BV38" s="102"/>
      <c r="BW38" s="102"/>
      <c r="BX38" s="102"/>
      <c r="BY38" s="102"/>
      <c r="BZ38" s="102"/>
      <c r="CA38" s="102"/>
      <c r="CB38" s="102"/>
      <c r="CC38" s="102"/>
      <c r="CD38" s="102"/>
      <c r="CE38" s="102"/>
      <c r="CF38" s="102"/>
      <c r="CG38" s="102"/>
      <c r="CH38" s="102"/>
      <c r="CI38" s="102"/>
      <c r="CJ38" s="102"/>
      <c r="CK38" s="102"/>
      <c r="CL38" s="102"/>
      <c r="CM38" s="102"/>
      <c r="CN38" s="102"/>
      <c r="CO38" s="102"/>
      <c r="CP38" s="102"/>
      <c r="CQ38" s="102"/>
      <c r="CR38" s="102"/>
      <c r="CS38" s="102"/>
      <c r="CT38" s="102"/>
      <c r="CU38" s="102"/>
      <c r="CV38" s="102"/>
      <c r="CW38" s="102"/>
      <c r="CX38" s="102"/>
      <c r="CY38" s="102"/>
      <c r="CZ38" s="102"/>
      <c r="DA38" s="102"/>
      <c r="DB38" s="102"/>
      <c r="DC38" s="102"/>
      <c r="DD38" s="102"/>
      <c r="DE38" s="102"/>
      <c r="DF38" s="102"/>
      <c r="DG38" s="102"/>
      <c r="DH38" s="102"/>
      <c r="DI38" s="102"/>
      <c r="DJ38" s="102"/>
      <c r="DK38" s="102"/>
      <c r="DL38" s="102"/>
      <c r="DM38" s="102"/>
      <c r="DN38" s="102"/>
      <c r="DO38" s="102"/>
      <c r="DP38" s="102"/>
      <c r="DQ38" s="102"/>
      <c r="DR38" s="102"/>
      <c r="DS38" s="102"/>
      <c r="DT38" s="102"/>
      <c r="DU38" s="102"/>
      <c r="DV38" s="102"/>
      <c r="DW38" s="102"/>
      <c r="DX38" s="102"/>
      <c r="DY38" s="102"/>
      <c r="DZ38" s="102"/>
      <c r="EA38" s="102"/>
      <c r="EB38" s="102"/>
      <c r="EC38" s="102"/>
      <c r="ED38" s="102"/>
      <c r="EE38" s="102"/>
      <c r="EF38" s="102"/>
      <c r="EG38" s="102"/>
      <c r="EH38" s="102"/>
      <c r="EI38" s="102"/>
      <c r="EJ38" s="102"/>
      <c r="EK38" s="102"/>
      <c r="EL38" s="102"/>
      <c r="EM38" s="102"/>
      <c r="EN38" s="102"/>
      <c r="EO38" s="102"/>
      <c r="EP38" s="102"/>
      <c r="EQ38" s="102"/>
      <c r="ER38" s="102"/>
      <c r="ES38" s="102"/>
      <c r="ET38" s="102"/>
      <c r="EU38" s="102"/>
      <c r="EV38" s="102"/>
      <c r="EW38" s="102"/>
      <c r="EX38" s="102"/>
      <c r="EY38" s="102"/>
      <c r="EZ38" s="102"/>
      <c r="FA38" s="102"/>
      <c r="FB38" s="102"/>
      <c r="FC38" s="102"/>
      <c r="FD38" s="102"/>
      <c r="FE38" s="102"/>
      <c r="FF38" s="102"/>
      <c r="FG38" s="102"/>
      <c r="FH38" s="102"/>
      <c r="FI38" s="102"/>
      <c r="FJ38" s="102"/>
      <c r="FK38" s="102"/>
      <c r="FL38" s="102"/>
      <c r="FM38" s="102"/>
      <c r="FN38" s="102"/>
      <c r="FO38" s="102"/>
      <c r="FP38" s="102"/>
      <c r="FQ38" s="102"/>
      <c r="FR38" s="102"/>
      <c r="FS38" s="102"/>
      <c r="FT38" s="102"/>
      <c r="FU38" s="102"/>
      <c r="FV38" s="102"/>
      <c r="FW38" s="102"/>
      <c r="FX38" s="102"/>
      <c r="FY38" s="102"/>
      <c r="FZ38" s="102"/>
      <c r="GA38" s="102"/>
      <c r="GB38" s="102"/>
      <c r="GC38" s="102"/>
      <c r="GD38" s="102"/>
      <c r="GE38" s="102"/>
      <c r="GF38" s="102"/>
      <c r="GG38" s="102"/>
      <c r="GH38" s="102"/>
      <c r="GI38" s="102"/>
      <c r="GJ38" s="102"/>
      <c r="GK38" s="102"/>
      <c r="GL38" s="102"/>
      <c r="GM38" s="102"/>
      <c r="GN38" s="102"/>
      <c r="GO38" s="102"/>
      <c r="GP38" s="102"/>
      <c r="GQ38" s="102"/>
      <c r="GR38" s="102"/>
      <c r="GS38" s="102"/>
      <c r="GT38" s="102"/>
      <c r="GU38" s="102"/>
    </row>
    <row r="39" spans="1:203" x14ac:dyDescent="0.3">
      <c r="A39" s="108" t="s">
        <v>55</v>
      </c>
      <c r="B39" s="44" t="str">
        <f>LEFT(A39,40)&amp;" @ $"&amp;FIXED(VLOOKUP(A39,Inputs!$B$5:$G$21,6),2)&amp;" per cwt."</f>
        <v>Corn, cracked @ $11.43 per cwt.</v>
      </c>
      <c r="C39" s="27">
        <v>135</v>
      </c>
      <c r="D39" s="100">
        <f>C39/100*VLOOKUP($A39,Inputs!$B$5:$G$21,6)</f>
        <v>15.428571428571431</v>
      </c>
      <c r="E39" s="27">
        <v>90</v>
      </c>
      <c r="F39" s="100">
        <f>E39/100*VLOOKUP($A39,Inputs!$B$5:$G$21,6)</f>
        <v>10.285714285714286</v>
      </c>
      <c r="G39" s="27">
        <v>117</v>
      </c>
      <c r="H39" s="100">
        <f>G39/100*VLOOKUP($A39,Inputs!$B$5:$G$21,6)</f>
        <v>13.37142857142857</v>
      </c>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2"/>
      <c r="BR39" s="102"/>
      <c r="BS39" s="102"/>
      <c r="BT39" s="102"/>
      <c r="BU39" s="102"/>
      <c r="BV39" s="102"/>
      <c r="BW39" s="102"/>
      <c r="BX39" s="102"/>
      <c r="BY39" s="102"/>
      <c r="BZ39" s="102"/>
      <c r="CA39" s="102"/>
      <c r="CB39" s="102"/>
      <c r="CC39" s="102"/>
      <c r="CD39" s="102"/>
      <c r="CE39" s="102"/>
      <c r="CF39" s="102"/>
      <c r="CG39" s="102"/>
      <c r="CH39" s="102"/>
      <c r="CI39" s="102"/>
      <c r="CJ39" s="102"/>
      <c r="CK39" s="102"/>
      <c r="CL39" s="102"/>
      <c r="CM39" s="102"/>
      <c r="CN39" s="102"/>
      <c r="CO39" s="102"/>
      <c r="CP39" s="102"/>
      <c r="CQ39" s="102"/>
      <c r="CR39" s="102"/>
      <c r="CS39" s="102"/>
      <c r="CT39" s="102"/>
      <c r="CU39" s="102"/>
      <c r="CV39" s="102"/>
      <c r="CW39" s="102"/>
      <c r="CX39" s="102"/>
      <c r="CY39" s="102"/>
      <c r="CZ39" s="102"/>
      <c r="DA39" s="102"/>
      <c r="DB39" s="102"/>
      <c r="DC39" s="102"/>
      <c r="DD39" s="102"/>
      <c r="DE39" s="102"/>
      <c r="DF39" s="102"/>
      <c r="DG39" s="102"/>
      <c r="DH39" s="102"/>
      <c r="DI39" s="102"/>
      <c r="DJ39" s="102"/>
      <c r="DK39" s="102"/>
      <c r="DL39" s="102"/>
      <c r="DM39" s="102"/>
      <c r="DN39" s="102"/>
      <c r="DO39" s="102"/>
      <c r="DP39" s="102"/>
      <c r="DQ39" s="102"/>
      <c r="DR39" s="102"/>
      <c r="DS39" s="102"/>
      <c r="DT39" s="102"/>
      <c r="DU39" s="102"/>
      <c r="DV39" s="102"/>
      <c r="DW39" s="102"/>
      <c r="DX39" s="102"/>
      <c r="DY39" s="102"/>
      <c r="DZ39" s="102"/>
      <c r="EA39" s="102"/>
      <c r="EB39" s="102"/>
      <c r="EC39" s="102"/>
      <c r="ED39" s="102"/>
      <c r="EE39" s="102"/>
      <c r="EF39" s="102"/>
      <c r="EG39" s="102"/>
      <c r="EH39" s="102"/>
      <c r="EI39" s="102"/>
      <c r="EJ39" s="102"/>
      <c r="EK39" s="102"/>
      <c r="EL39" s="102"/>
      <c r="EM39" s="102"/>
      <c r="EN39" s="102"/>
      <c r="EO39" s="102"/>
      <c r="EP39" s="102"/>
      <c r="EQ39" s="102"/>
      <c r="ER39" s="102"/>
      <c r="ES39" s="102"/>
      <c r="ET39" s="102"/>
      <c r="EU39" s="102"/>
      <c r="EV39" s="102"/>
      <c r="EW39" s="102"/>
      <c r="EX39" s="102"/>
      <c r="EY39" s="102"/>
      <c r="EZ39" s="102"/>
      <c r="FA39" s="102"/>
      <c r="FB39" s="102"/>
      <c r="FC39" s="102"/>
      <c r="FD39" s="102"/>
      <c r="FE39" s="102"/>
      <c r="FF39" s="102"/>
      <c r="FG39" s="102"/>
      <c r="FH39" s="102"/>
      <c r="FI39" s="102"/>
      <c r="FJ39" s="102"/>
      <c r="FK39" s="102"/>
      <c r="FL39" s="102"/>
      <c r="FM39" s="102"/>
      <c r="FN39" s="102"/>
      <c r="FO39" s="102"/>
      <c r="FP39" s="102"/>
      <c r="FQ39" s="102"/>
      <c r="FR39" s="102"/>
      <c r="FS39" s="102"/>
      <c r="FT39" s="102"/>
      <c r="FU39" s="102"/>
      <c r="FV39" s="102"/>
      <c r="FW39" s="102"/>
      <c r="FX39" s="102"/>
      <c r="FY39" s="102"/>
      <c r="FZ39" s="102"/>
      <c r="GA39" s="102"/>
      <c r="GB39" s="102"/>
      <c r="GC39" s="102"/>
      <c r="GD39" s="102"/>
      <c r="GE39" s="102"/>
      <c r="GF39" s="102"/>
      <c r="GG39" s="102"/>
      <c r="GH39" s="102"/>
      <c r="GI39" s="102"/>
      <c r="GJ39" s="102"/>
      <c r="GK39" s="102"/>
      <c r="GL39" s="102"/>
      <c r="GM39" s="102"/>
      <c r="GN39" s="102"/>
      <c r="GO39" s="102"/>
      <c r="GP39" s="102"/>
      <c r="GQ39" s="102"/>
      <c r="GR39" s="102"/>
      <c r="GS39" s="102"/>
      <c r="GT39" s="102"/>
      <c r="GU39" s="102"/>
    </row>
    <row r="40" spans="1:203" x14ac:dyDescent="0.3">
      <c r="A40" s="108" t="s">
        <v>52</v>
      </c>
      <c r="B40" s="44" t="str">
        <f>LEFT(A40,40)&amp;" @ $"&amp;FIXED(VLOOKUP(A40,Inputs!$B$5:$G$21,2),2)&amp;" per ton"</f>
        <v>Soybean hulls @ $145.00 per ton</v>
      </c>
      <c r="C40" s="27">
        <v>90</v>
      </c>
      <c r="D40" s="100">
        <f>C40/100*VLOOKUP($A40,Inputs!$B$5:$G$21,6)</f>
        <v>6.5250000000000004</v>
      </c>
      <c r="E40" s="27">
        <v>180</v>
      </c>
      <c r="F40" s="100">
        <f>E40/100*VLOOKUP($A40,Inputs!$B$5:$G$21,6)</f>
        <v>13.05</v>
      </c>
      <c r="G40" s="27">
        <v>207</v>
      </c>
      <c r="H40" s="100">
        <f>G40/100*VLOOKUP($A40,Inputs!$B$5:$G$21,6)</f>
        <v>15.007499999999999</v>
      </c>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BW40" s="102"/>
      <c r="BX40" s="102"/>
      <c r="BY40" s="102"/>
      <c r="BZ40" s="102"/>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102"/>
      <c r="DL40" s="102"/>
      <c r="DM40" s="102"/>
      <c r="DN40" s="102"/>
      <c r="DO40" s="102"/>
      <c r="DP40" s="102"/>
      <c r="DQ40" s="102"/>
      <c r="DR40" s="102"/>
      <c r="DS40" s="102"/>
      <c r="DT40" s="102"/>
      <c r="DU40" s="102"/>
      <c r="DV40" s="102"/>
      <c r="DW40" s="102"/>
      <c r="DX40" s="102"/>
      <c r="DY40" s="102"/>
      <c r="DZ40" s="102"/>
      <c r="EA40" s="102"/>
      <c r="EB40" s="102"/>
      <c r="EC40" s="102"/>
      <c r="ED40" s="102"/>
      <c r="EE40" s="102"/>
      <c r="EF40" s="102"/>
      <c r="EG40" s="102"/>
      <c r="EH40" s="102"/>
      <c r="EI40" s="102"/>
      <c r="EJ40" s="102"/>
      <c r="EK40" s="102"/>
      <c r="EL40" s="102"/>
      <c r="EM40" s="102"/>
      <c r="EN40" s="102"/>
      <c r="EO40" s="102"/>
      <c r="EP40" s="102"/>
      <c r="EQ40" s="102"/>
      <c r="ER40" s="102"/>
      <c r="ES40" s="102"/>
      <c r="ET40" s="102"/>
      <c r="EU40" s="102"/>
      <c r="EV40" s="102"/>
      <c r="EW40" s="102"/>
      <c r="EX40" s="102"/>
      <c r="EY40" s="102"/>
      <c r="EZ40" s="102"/>
      <c r="FA40" s="102"/>
      <c r="FB40" s="102"/>
      <c r="FC40" s="102"/>
      <c r="FD40" s="102"/>
      <c r="FE40" s="102"/>
      <c r="FF40" s="102"/>
      <c r="FG40" s="102"/>
      <c r="FH40" s="102"/>
      <c r="FI40" s="102"/>
      <c r="FJ40" s="102"/>
      <c r="FK40" s="102"/>
      <c r="FL40" s="102"/>
      <c r="FM40" s="102"/>
      <c r="FN40" s="102"/>
      <c r="FO40" s="102"/>
      <c r="FP40" s="102"/>
      <c r="FQ40" s="102"/>
      <c r="FR40" s="102"/>
      <c r="FS40" s="102"/>
      <c r="FT40" s="102"/>
      <c r="FU40" s="102"/>
      <c r="FV40" s="102"/>
      <c r="FW40" s="102"/>
      <c r="FX40" s="102"/>
      <c r="FY40" s="102"/>
      <c r="FZ40" s="102"/>
      <c r="GA40" s="102"/>
      <c r="GB40" s="102"/>
      <c r="GC40" s="102"/>
      <c r="GD40" s="102"/>
      <c r="GE40" s="102"/>
      <c r="GF40" s="102"/>
      <c r="GG40" s="102"/>
      <c r="GH40" s="102"/>
      <c r="GI40" s="102"/>
      <c r="GJ40" s="102"/>
      <c r="GK40" s="102"/>
      <c r="GL40" s="102"/>
      <c r="GM40" s="102"/>
      <c r="GN40" s="102"/>
      <c r="GO40" s="102"/>
      <c r="GP40" s="102"/>
      <c r="GQ40" s="102"/>
      <c r="GR40" s="102"/>
      <c r="GS40" s="102"/>
      <c r="GT40" s="102"/>
      <c r="GU40" s="102"/>
    </row>
    <row r="41" spans="1:203" x14ac:dyDescent="0.3">
      <c r="A41" s="108" t="s">
        <v>48</v>
      </c>
      <c r="B41" s="44" t="str">
        <f>LEFT(A41,40)&amp;" @ $"&amp;FIXED(VLOOKUP(A41,Inputs!$B$5:$G$21,2),2)&amp;" per ton"</f>
        <v>Grass hay @ $110.00 per ton</v>
      </c>
      <c r="C41" s="27">
        <v>1710</v>
      </c>
      <c r="D41" s="100">
        <f>C41/100*VLOOKUP($A41,Inputs!$B$5:$G$21,6)</f>
        <v>94.050000000000011</v>
      </c>
      <c r="E41" s="27">
        <v>0</v>
      </c>
      <c r="F41" s="100">
        <f>E41/100*VLOOKUP($A41,Inputs!$B$5:$G$21,6)</f>
        <v>0</v>
      </c>
      <c r="G41" s="27">
        <v>0</v>
      </c>
      <c r="H41" s="100">
        <f>G41/100*VLOOKUP($A41,Inputs!$B$5:$G$21,6)</f>
        <v>0</v>
      </c>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102"/>
      <c r="BV41" s="102"/>
      <c r="BW41" s="102"/>
      <c r="BX41" s="102"/>
      <c r="BY41" s="102"/>
      <c r="BZ41" s="102"/>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2"/>
      <c r="DE41" s="102"/>
      <c r="DF41" s="102"/>
      <c r="DG41" s="102"/>
      <c r="DH41" s="102"/>
      <c r="DI41" s="102"/>
      <c r="DJ41" s="102"/>
      <c r="DK41" s="102"/>
      <c r="DL41" s="102"/>
      <c r="DM41" s="102"/>
      <c r="DN41" s="102"/>
      <c r="DO41" s="102"/>
      <c r="DP41" s="102"/>
      <c r="DQ41" s="102"/>
      <c r="DR41" s="102"/>
      <c r="DS41" s="102"/>
      <c r="DT41" s="102"/>
      <c r="DU41" s="102"/>
      <c r="DV41" s="102"/>
      <c r="DW41" s="102"/>
      <c r="DX41" s="102"/>
      <c r="DY41" s="102"/>
      <c r="DZ41" s="102"/>
      <c r="EA41" s="102"/>
      <c r="EB41" s="102"/>
      <c r="EC41" s="102"/>
      <c r="ED41" s="102"/>
      <c r="EE41" s="102"/>
      <c r="EF41" s="102"/>
      <c r="EG41" s="102"/>
      <c r="EH41" s="102"/>
      <c r="EI41" s="102"/>
      <c r="EJ41" s="102"/>
      <c r="EK41" s="102"/>
      <c r="EL41" s="102"/>
      <c r="EM41" s="102"/>
      <c r="EN41" s="102"/>
      <c r="EO41" s="102"/>
      <c r="EP41" s="102"/>
      <c r="EQ41" s="102"/>
      <c r="ER41" s="102"/>
      <c r="ES41" s="102"/>
      <c r="ET41" s="102"/>
      <c r="EU41" s="102"/>
      <c r="EV41" s="102"/>
      <c r="EW41" s="102"/>
      <c r="EX41" s="102"/>
      <c r="EY41" s="102"/>
      <c r="EZ41" s="102"/>
      <c r="FA41" s="102"/>
      <c r="FB41" s="102"/>
      <c r="FC41" s="102"/>
      <c r="FD41" s="102"/>
      <c r="FE41" s="102"/>
      <c r="FF41" s="102"/>
      <c r="FG41" s="102"/>
      <c r="FH41" s="102"/>
      <c r="FI41" s="102"/>
      <c r="FJ41" s="102"/>
      <c r="FK41" s="102"/>
      <c r="FL41" s="102"/>
      <c r="FM41" s="102"/>
      <c r="FN41" s="102"/>
      <c r="FO41" s="102"/>
      <c r="FP41" s="102"/>
      <c r="FQ41" s="102"/>
      <c r="FR41" s="102"/>
      <c r="FS41" s="102"/>
      <c r="FT41" s="102"/>
      <c r="FU41" s="102"/>
      <c r="FV41" s="102"/>
      <c r="FW41" s="102"/>
      <c r="FX41" s="102"/>
      <c r="FY41" s="102"/>
      <c r="FZ41" s="102"/>
      <c r="GA41" s="102"/>
      <c r="GB41" s="102"/>
      <c r="GC41" s="102"/>
      <c r="GD41" s="102"/>
      <c r="GE41" s="102"/>
      <c r="GF41" s="102"/>
      <c r="GG41" s="102"/>
      <c r="GH41" s="102"/>
      <c r="GI41" s="102"/>
      <c r="GJ41" s="102"/>
      <c r="GK41" s="102"/>
      <c r="GL41" s="102"/>
      <c r="GM41" s="102"/>
      <c r="GN41" s="102"/>
      <c r="GO41" s="102"/>
      <c r="GP41" s="102"/>
      <c r="GQ41" s="102"/>
      <c r="GR41" s="102"/>
      <c r="GS41" s="102"/>
      <c r="GT41" s="102"/>
      <c r="GU41" s="102"/>
    </row>
    <row r="42" spans="1:203" x14ac:dyDescent="0.3">
      <c r="A42" s="108" t="s">
        <v>67</v>
      </c>
      <c r="B42" s="44" t="str">
        <f>LEFT(A42,40)&amp;" @ $"&amp;FIXED(VLOOKUP(A42,Inputs!$B$5:$G$21,6),2)&amp;" per cwt."</f>
        <v>Minerals (w/lasalocid) @ $50.00 per cwt.</v>
      </c>
      <c r="C42" s="27">
        <v>18</v>
      </c>
      <c r="D42" s="100">
        <f>C42/100*VLOOKUP($A42,Inputs!$B$5:$G$21,6)</f>
        <v>9</v>
      </c>
      <c r="E42" s="27">
        <v>18</v>
      </c>
      <c r="F42" s="100">
        <f>E42/100*VLOOKUP($A42,Inputs!$B$5:$G$21,6)</f>
        <v>9</v>
      </c>
      <c r="G42" s="27">
        <v>18</v>
      </c>
      <c r="H42" s="100">
        <f>G42/100*VLOOKUP($A42,Inputs!$B$5:$G$21,6)</f>
        <v>9</v>
      </c>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2"/>
      <c r="BU42" s="102"/>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2"/>
      <c r="DJ42" s="102"/>
      <c r="DK42" s="102"/>
      <c r="DL42" s="102"/>
      <c r="DM42" s="102"/>
      <c r="DN42" s="102"/>
      <c r="DO42" s="102"/>
      <c r="DP42" s="102"/>
      <c r="DQ42" s="102"/>
      <c r="DR42" s="102"/>
      <c r="DS42" s="102"/>
      <c r="DT42" s="102"/>
      <c r="DU42" s="102"/>
      <c r="DV42" s="102"/>
      <c r="DW42" s="102"/>
      <c r="DX42" s="102"/>
      <c r="DY42" s="102"/>
      <c r="DZ42" s="102"/>
      <c r="EA42" s="102"/>
      <c r="EB42" s="102"/>
      <c r="EC42" s="102"/>
      <c r="ED42" s="102"/>
      <c r="EE42" s="102"/>
      <c r="EF42" s="102"/>
      <c r="EG42" s="102"/>
      <c r="EH42" s="102"/>
      <c r="EI42" s="102"/>
      <c r="EJ42" s="102"/>
      <c r="EK42" s="102"/>
      <c r="EL42" s="102"/>
      <c r="EM42" s="102"/>
      <c r="EN42" s="102"/>
      <c r="EO42" s="102"/>
      <c r="EP42" s="102"/>
      <c r="EQ42" s="102"/>
      <c r="ER42" s="102"/>
      <c r="ES42" s="102"/>
      <c r="ET42" s="102"/>
      <c r="EU42" s="102"/>
      <c r="EV42" s="102"/>
      <c r="EW42" s="102"/>
      <c r="EX42" s="102"/>
      <c r="EY42" s="102"/>
      <c r="EZ42" s="102"/>
      <c r="FA42" s="102"/>
      <c r="FB42" s="102"/>
      <c r="FC42" s="102"/>
      <c r="FD42" s="102"/>
      <c r="FE42" s="102"/>
      <c r="FF42" s="102"/>
      <c r="FG42" s="102"/>
      <c r="FH42" s="102"/>
      <c r="FI42" s="102"/>
      <c r="FJ42" s="102"/>
      <c r="FK42" s="102"/>
      <c r="FL42" s="102"/>
      <c r="FM42" s="102"/>
      <c r="FN42" s="102"/>
      <c r="FO42" s="102"/>
      <c r="FP42" s="102"/>
      <c r="FQ42" s="102"/>
      <c r="FR42" s="102"/>
      <c r="FS42" s="102"/>
      <c r="FT42" s="102"/>
      <c r="FU42" s="102"/>
      <c r="FV42" s="102"/>
      <c r="FW42" s="102"/>
      <c r="FX42" s="102"/>
      <c r="FY42" s="102"/>
      <c r="FZ42" s="102"/>
      <c r="GA42" s="102"/>
      <c r="GB42" s="102"/>
      <c r="GC42" s="102"/>
      <c r="GD42" s="102"/>
      <c r="GE42" s="102"/>
      <c r="GF42" s="102"/>
      <c r="GG42" s="102"/>
      <c r="GH42" s="102"/>
      <c r="GI42" s="102"/>
      <c r="GJ42" s="102"/>
      <c r="GK42" s="102"/>
      <c r="GL42" s="102"/>
      <c r="GM42" s="102"/>
      <c r="GN42" s="102"/>
      <c r="GO42" s="102"/>
      <c r="GP42" s="102"/>
      <c r="GQ42" s="102"/>
      <c r="GR42" s="102"/>
      <c r="GS42" s="102"/>
      <c r="GT42" s="102"/>
      <c r="GU42" s="102"/>
    </row>
    <row r="43" spans="1:203" x14ac:dyDescent="0.3">
      <c r="A43" s="108" t="s">
        <v>63</v>
      </c>
      <c r="B43" s="44" t="str">
        <f>LEFT(A43,40)&amp;" @ $"&amp;FIXED(VLOOKUP(A43,Inputs!$B$5:$G$21,2),2)&amp;" per AUM"</f>
        <v>Pasture @ $30.00 per AUM</v>
      </c>
      <c r="C43" s="27">
        <v>0</v>
      </c>
      <c r="D43" s="100">
        <f>C43*VLOOKUP($A43,Inputs!$B$5:$G$21,2)</f>
        <v>0</v>
      </c>
      <c r="E43" s="28">
        <f>2*((E35+F35)/2/1000)</f>
        <v>2.105</v>
      </c>
      <c r="F43" s="100">
        <f>E43*VLOOKUP($A43,Inputs!$B$5:$G$21,2)</f>
        <v>63.15</v>
      </c>
      <c r="G43" s="28">
        <f>3*((G35+H35)/2/1000)</f>
        <v>3.1574999999999998</v>
      </c>
      <c r="H43" s="100">
        <f>G43*VLOOKUP($A43,Inputs!$B$5:$G$21,2)</f>
        <v>94.724999999999994</v>
      </c>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102"/>
      <c r="BC43" s="102"/>
      <c r="BD43" s="102"/>
      <c r="BE43" s="102"/>
      <c r="BF43" s="102"/>
      <c r="BG43" s="102"/>
      <c r="BH43" s="102"/>
      <c r="BI43" s="102"/>
      <c r="BJ43" s="102"/>
      <c r="BK43" s="102"/>
      <c r="BL43" s="102"/>
      <c r="BM43" s="102"/>
      <c r="BN43" s="102"/>
      <c r="BO43" s="102"/>
      <c r="BP43" s="102"/>
      <c r="BQ43" s="102"/>
      <c r="BR43" s="102"/>
      <c r="BS43" s="102"/>
      <c r="BT43" s="102"/>
      <c r="BU43" s="102"/>
      <c r="BV43" s="102"/>
      <c r="BW43" s="102"/>
      <c r="BX43" s="102"/>
      <c r="BY43" s="102"/>
      <c r="BZ43" s="102"/>
      <c r="CA43" s="102"/>
      <c r="CB43" s="102"/>
      <c r="CC43" s="102"/>
      <c r="CD43" s="102"/>
      <c r="CE43" s="102"/>
      <c r="CF43" s="102"/>
      <c r="CG43" s="102"/>
      <c r="CH43" s="102"/>
      <c r="CI43" s="102"/>
      <c r="CJ43" s="102"/>
      <c r="CK43" s="102"/>
      <c r="CL43" s="102"/>
      <c r="CM43" s="102"/>
      <c r="CN43" s="102"/>
      <c r="CO43" s="102"/>
      <c r="CP43" s="102"/>
      <c r="CQ43" s="102"/>
      <c r="CR43" s="102"/>
      <c r="CS43" s="102"/>
      <c r="CT43" s="102"/>
      <c r="CU43" s="102"/>
      <c r="CV43" s="102"/>
      <c r="CW43" s="102"/>
      <c r="CX43" s="102"/>
      <c r="CY43" s="102"/>
      <c r="CZ43" s="102"/>
      <c r="DA43" s="102"/>
      <c r="DB43" s="102"/>
      <c r="DC43" s="102"/>
      <c r="DD43" s="102"/>
      <c r="DE43" s="102"/>
      <c r="DF43" s="102"/>
      <c r="DG43" s="102"/>
      <c r="DH43" s="102"/>
      <c r="DI43" s="102"/>
      <c r="DJ43" s="102"/>
      <c r="DK43" s="102"/>
      <c r="DL43" s="102"/>
      <c r="DM43" s="102"/>
      <c r="DN43" s="102"/>
      <c r="DO43" s="102"/>
      <c r="DP43" s="102"/>
      <c r="DQ43" s="102"/>
      <c r="DR43" s="102"/>
      <c r="DS43" s="102"/>
      <c r="DT43" s="102"/>
      <c r="DU43" s="102"/>
      <c r="DV43" s="102"/>
      <c r="DW43" s="102"/>
      <c r="DX43" s="102"/>
      <c r="DY43" s="102"/>
      <c r="DZ43" s="102"/>
      <c r="EA43" s="102"/>
      <c r="EB43" s="102"/>
      <c r="EC43" s="102"/>
      <c r="ED43" s="102"/>
      <c r="EE43" s="102"/>
      <c r="EF43" s="102"/>
      <c r="EG43" s="102"/>
      <c r="EH43" s="102"/>
      <c r="EI43" s="102"/>
      <c r="EJ43" s="102"/>
      <c r="EK43" s="102"/>
      <c r="EL43" s="102"/>
      <c r="EM43" s="102"/>
      <c r="EN43" s="102"/>
      <c r="EO43" s="102"/>
      <c r="EP43" s="102"/>
      <c r="EQ43" s="102"/>
      <c r="ER43" s="102"/>
      <c r="ES43" s="102"/>
      <c r="ET43" s="102"/>
      <c r="EU43" s="102"/>
      <c r="EV43" s="102"/>
      <c r="EW43" s="102"/>
      <c r="EX43" s="102"/>
      <c r="EY43" s="102"/>
      <c r="EZ43" s="102"/>
      <c r="FA43" s="102"/>
      <c r="FB43" s="102"/>
      <c r="FC43" s="102"/>
      <c r="FD43" s="102"/>
      <c r="FE43" s="102"/>
      <c r="FF43" s="102"/>
      <c r="FG43" s="102"/>
      <c r="FH43" s="102"/>
      <c r="FI43" s="102"/>
      <c r="FJ43" s="102"/>
      <c r="FK43" s="102"/>
      <c r="FL43" s="102"/>
      <c r="FM43" s="102"/>
      <c r="FN43" s="102"/>
      <c r="FO43" s="102"/>
      <c r="FP43" s="102"/>
      <c r="FQ43" s="102"/>
      <c r="FR43" s="102"/>
      <c r="FS43" s="102"/>
      <c r="FT43" s="102"/>
      <c r="FU43" s="102"/>
      <c r="FV43" s="102"/>
      <c r="FW43" s="102"/>
      <c r="FX43" s="102"/>
      <c r="FY43" s="102"/>
      <c r="FZ43" s="102"/>
      <c r="GA43" s="102"/>
      <c r="GB43" s="102"/>
      <c r="GC43" s="102"/>
      <c r="GD43" s="102"/>
      <c r="GE43" s="102"/>
      <c r="GF43" s="102"/>
      <c r="GG43" s="102"/>
      <c r="GH43" s="102"/>
      <c r="GI43" s="102"/>
      <c r="GJ43" s="102"/>
      <c r="GK43" s="102"/>
      <c r="GL43" s="102"/>
      <c r="GM43" s="102"/>
      <c r="GN43" s="102"/>
      <c r="GO43" s="102"/>
      <c r="GP43" s="102"/>
      <c r="GQ43" s="102"/>
      <c r="GR43" s="102"/>
      <c r="GS43" s="102"/>
      <c r="GT43" s="102"/>
      <c r="GU43" s="102"/>
    </row>
    <row r="44" spans="1:203" x14ac:dyDescent="0.3">
      <c r="A44" s="102"/>
      <c r="B44" s="109" t="s">
        <v>124</v>
      </c>
      <c r="C44" s="76"/>
      <c r="D44" s="115">
        <f>SUM(D38:D43)</f>
        <v>150.31607142857143</v>
      </c>
      <c r="E44" s="76"/>
      <c r="F44" s="115">
        <f>SUM(F38:F43)</f>
        <v>95.485714285714295</v>
      </c>
      <c r="G44" s="76"/>
      <c r="H44" s="115">
        <f>SUM(H38:H43)</f>
        <v>155.39142857142855</v>
      </c>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2"/>
      <c r="BB44" s="102"/>
      <c r="BC44" s="102"/>
      <c r="BD44" s="102"/>
      <c r="BE44" s="102"/>
      <c r="BF44" s="102"/>
      <c r="BG44" s="102"/>
      <c r="BH44" s="102"/>
      <c r="BI44" s="102"/>
      <c r="BJ44" s="102"/>
      <c r="BK44" s="102"/>
      <c r="BL44" s="102"/>
      <c r="BM44" s="102"/>
      <c r="BN44" s="102"/>
      <c r="BO44" s="102"/>
      <c r="BP44" s="102"/>
      <c r="BQ44" s="102"/>
      <c r="BR44" s="102"/>
      <c r="BS44" s="102"/>
      <c r="BT44" s="102"/>
      <c r="BU44" s="102"/>
      <c r="BV44" s="102"/>
      <c r="BW44" s="102"/>
      <c r="BX44" s="102"/>
      <c r="BY44" s="102"/>
      <c r="BZ44" s="102"/>
      <c r="CA44" s="102"/>
      <c r="CB44" s="102"/>
      <c r="CC44" s="102"/>
      <c r="CD44" s="102"/>
      <c r="CE44" s="102"/>
      <c r="CF44" s="102"/>
      <c r="CG44" s="102"/>
      <c r="CH44" s="102"/>
      <c r="CI44" s="102"/>
      <c r="CJ44" s="102"/>
      <c r="CK44" s="102"/>
      <c r="CL44" s="102"/>
      <c r="CM44" s="102"/>
      <c r="CN44" s="102"/>
      <c r="CO44" s="102"/>
      <c r="CP44" s="102"/>
      <c r="CQ44" s="102"/>
      <c r="CR44" s="102"/>
      <c r="CS44" s="102"/>
      <c r="CT44" s="102"/>
      <c r="CU44" s="102"/>
      <c r="CV44" s="102"/>
      <c r="CW44" s="102"/>
      <c r="CX44" s="102"/>
      <c r="CY44" s="102"/>
      <c r="CZ44" s="102"/>
      <c r="DA44" s="102"/>
      <c r="DB44" s="102"/>
      <c r="DC44" s="102"/>
      <c r="DD44" s="102"/>
      <c r="DE44" s="102"/>
      <c r="DF44" s="102"/>
      <c r="DG44" s="102"/>
      <c r="DH44" s="102"/>
      <c r="DI44" s="102"/>
      <c r="DJ44" s="102"/>
      <c r="DK44" s="102"/>
      <c r="DL44" s="102"/>
      <c r="DM44" s="102"/>
      <c r="DN44" s="102"/>
      <c r="DO44" s="102"/>
      <c r="DP44" s="102"/>
      <c r="DQ44" s="102"/>
      <c r="DR44" s="102"/>
      <c r="DS44" s="102"/>
      <c r="DT44" s="102"/>
      <c r="DU44" s="102"/>
      <c r="DV44" s="102"/>
      <c r="DW44" s="102"/>
      <c r="DX44" s="102"/>
      <c r="DY44" s="102"/>
      <c r="DZ44" s="102"/>
      <c r="EA44" s="102"/>
      <c r="EB44" s="102"/>
      <c r="EC44" s="102"/>
      <c r="ED44" s="102"/>
      <c r="EE44" s="102"/>
      <c r="EF44" s="102"/>
      <c r="EG44" s="102"/>
      <c r="EH44" s="102"/>
      <c r="EI44" s="102"/>
      <c r="EJ44" s="102"/>
      <c r="EK44" s="102"/>
      <c r="EL44" s="102"/>
      <c r="EM44" s="102"/>
      <c r="EN44" s="102"/>
      <c r="EO44" s="102"/>
      <c r="EP44" s="102"/>
      <c r="EQ44" s="102"/>
      <c r="ER44" s="102"/>
      <c r="ES44" s="102"/>
      <c r="ET44" s="102"/>
      <c r="EU44" s="102"/>
      <c r="EV44" s="102"/>
      <c r="EW44" s="102"/>
      <c r="EX44" s="102"/>
      <c r="EY44" s="102"/>
      <c r="EZ44" s="102"/>
      <c r="FA44" s="102"/>
      <c r="FB44" s="102"/>
      <c r="FC44" s="102"/>
      <c r="FD44" s="102"/>
      <c r="FE44" s="102"/>
      <c r="FF44" s="102"/>
      <c r="FG44" s="102"/>
      <c r="FH44" s="102"/>
      <c r="FI44" s="102"/>
      <c r="FJ44" s="102"/>
      <c r="FK44" s="102"/>
      <c r="FL44" s="102"/>
      <c r="FM44" s="102"/>
      <c r="FN44" s="102"/>
      <c r="FO44" s="102"/>
      <c r="FP44" s="102"/>
      <c r="FQ44" s="102"/>
      <c r="FR44" s="102"/>
      <c r="FS44" s="102"/>
      <c r="FT44" s="102"/>
      <c r="FU44" s="102"/>
      <c r="FV44" s="102"/>
      <c r="FW44" s="102"/>
      <c r="FX44" s="102"/>
      <c r="FY44" s="102"/>
      <c r="FZ44" s="102"/>
      <c r="GA44" s="102"/>
      <c r="GB44" s="102"/>
      <c r="GC44" s="102"/>
      <c r="GD44" s="102"/>
      <c r="GE44" s="102"/>
      <c r="GF44" s="102"/>
      <c r="GG44" s="102"/>
      <c r="GH44" s="102"/>
      <c r="GI44" s="102"/>
      <c r="GJ44" s="102"/>
      <c r="GK44" s="102"/>
      <c r="GL44" s="102"/>
      <c r="GM44" s="102"/>
      <c r="GN44" s="102"/>
      <c r="GO44" s="102"/>
      <c r="GP44" s="102"/>
      <c r="GQ44" s="102"/>
      <c r="GR44" s="102"/>
      <c r="GS44" s="102"/>
      <c r="GT44" s="102"/>
      <c r="GU44" s="102"/>
    </row>
    <row r="45" spans="1:203" x14ac:dyDescent="0.3">
      <c r="A45" s="102"/>
      <c r="B45" s="109" t="s">
        <v>126</v>
      </c>
      <c r="C45" s="76"/>
      <c r="D45" s="110">
        <f>(D44+F44*2+H44)</f>
        <v>496.67892857142857</v>
      </c>
      <c r="E45" s="76"/>
      <c r="F45" s="76"/>
      <c r="G45" s="76"/>
      <c r="H45" s="76"/>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2"/>
      <c r="AQ45" s="102"/>
      <c r="AR45" s="102"/>
      <c r="AS45" s="102"/>
      <c r="AT45" s="102"/>
      <c r="AU45" s="102"/>
      <c r="AV45" s="102"/>
      <c r="AW45" s="102"/>
      <c r="AX45" s="102"/>
      <c r="AY45" s="102"/>
      <c r="AZ45" s="102"/>
      <c r="BA45" s="102"/>
      <c r="BB45" s="102"/>
      <c r="BC45" s="102"/>
      <c r="BD45" s="102"/>
      <c r="BE45" s="102"/>
      <c r="BF45" s="102"/>
      <c r="BG45" s="102"/>
      <c r="BH45" s="102"/>
      <c r="BI45" s="102"/>
      <c r="BJ45" s="102"/>
      <c r="BK45" s="102"/>
      <c r="BL45" s="102"/>
      <c r="BM45" s="102"/>
      <c r="BN45" s="102"/>
      <c r="BO45" s="102"/>
      <c r="BP45" s="102"/>
      <c r="BQ45" s="102"/>
      <c r="BR45" s="102"/>
      <c r="BS45" s="102"/>
      <c r="BT45" s="102"/>
      <c r="BU45" s="102"/>
      <c r="BV45" s="102"/>
      <c r="BW45" s="102"/>
      <c r="BX45" s="102"/>
      <c r="BY45" s="102"/>
      <c r="BZ45" s="102"/>
      <c r="CA45" s="102"/>
      <c r="CB45" s="102"/>
      <c r="CC45" s="102"/>
      <c r="CD45" s="102"/>
      <c r="CE45" s="102"/>
      <c r="CF45" s="102"/>
      <c r="CG45" s="102"/>
      <c r="CH45" s="102"/>
      <c r="CI45" s="102"/>
      <c r="CJ45" s="102"/>
      <c r="CK45" s="102"/>
      <c r="CL45" s="102"/>
      <c r="CM45" s="102"/>
      <c r="CN45" s="102"/>
      <c r="CO45" s="102"/>
      <c r="CP45" s="102"/>
      <c r="CQ45" s="102"/>
      <c r="CR45" s="102"/>
      <c r="CS45" s="102"/>
      <c r="CT45" s="102"/>
      <c r="CU45" s="102"/>
      <c r="CV45" s="102"/>
      <c r="CW45" s="102"/>
      <c r="CX45" s="102"/>
      <c r="CY45" s="102"/>
      <c r="CZ45" s="102"/>
      <c r="DA45" s="102"/>
      <c r="DB45" s="102"/>
      <c r="DC45" s="102"/>
      <c r="DD45" s="102"/>
      <c r="DE45" s="102"/>
      <c r="DF45" s="102"/>
      <c r="DG45" s="102"/>
      <c r="DH45" s="102"/>
      <c r="DI45" s="102"/>
      <c r="DJ45" s="102"/>
      <c r="DK45" s="102"/>
      <c r="DL45" s="102"/>
      <c r="DM45" s="102"/>
      <c r="DN45" s="102"/>
      <c r="DO45" s="102"/>
      <c r="DP45" s="102"/>
      <c r="DQ45" s="102"/>
      <c r="DR45" s="102"/>
      <c r="DS45" s="102"/>
      <c r="DT45" s="102"/>
      <c r="DU45" s="102"/>
      <c r="DV45" s="102"/>
      <c r="DW45" s="102"/>
      <c r="DX45" s="102"/>
      <c r="DY45" s="102"/>
      <c r="DZ45" s="102"/>
      <c r="EA45" s="102"/>
      <c r="EB45" s="102"/>
      <c r="EC45" s="102"/>
      <c r="ED45" s="102"/>
      <c r="EE45" s="102"/>
      <c r="EF45" s="102"/>
      <c r="EG45" s="102"/>
      <c r="EH45" s="102"/>
      <c r="EI45" s="102"/>
      <c r="EJ45" s="102"/>
      <c r="EK45" s="102"/>
      <c r="EL45" s="102"/>
      <c r="EM45" s="102"/>
      <c r="EN45" s="102"/>
      <c r="EO45" s="102"/>
      <c r="EP45" s="102"/>
      <c r="EQ45" s="102"/>
      <c r="ER45" s="102"/>
      <c r="ES45" s="102"/>
      <c r="ET45" s="102"/>
      <c r="EU45" s="102"/>
      <c r="EV45" s="102"/>
      <c r="EW45" s="102"/>
      <c r="EX45" s="102"/>
      <c r="EY45" s="102"/>
      <c r="EZ45" s="102"/>
      <c r="FA45" s="102"/>
      <c r="FB45" s="102"/>
      <c r="FC45" s="102"/>
      <c r="FD45" s="102"/>
      <c r="FE45" s="102"/>
      <c r="FF45" s="102"/>
      <c r="FG45" s="102"/>
      <c r="FH45" s="102"/>
      <c r="FI45" s="102"/>
      <c r="FJ45" s="102"/>
      <c r="FK45" s="102"/>
      <c r="FL45" s="102"/>
      <c r="FM45" s="102"/>
      <c r="FN45" s="102"/>
      <c r="FO45" s="102"/>
      <c r="FP45" s="102"/>
      <c r="FQ45" s="102"/>
      <c r="FR45" s="102"/>
      <c r="FS45" s="102"/>
      <c r="FT45" s="102"/>
      <c r="FU45" s="102"/>
      <c r="FV45" s="102"/>
      <c r="FW45" s="102"/>
      <c r="FX45" s="102"/>
      <c r="FY45" s="102"/>
      <c r="FZ45" s="102"/>
      <c r="GA45" s="102"/>
      <c r="GB45" s="102"/>
      <c r="GC45" s="102"/>
      <c r="GD45" s="102"/>
      <c r="GE45" s="102"/>
      <c r="GF45" s="102"/>
      <c r="GG45" s="102"/>
      <c r="GH45" s="102"/>
      <c r="GI45" s="102"/>
      <c r="GJ45" s="102"/>
      <c r="GK45" s="102"/>
      <c r="GL45" s="102"/>
      <c r="GM45" s="102"/>
      <c r="GN45" s="102"/>
      <c r="GO45" s="102"/>
      <c r="GP45" s="102"/>
      <c r="GQ45" s="102"/>
      <c r="GR45" s="102"/>
      <c r="GS45" s="102"/>
      <c r="GT45" s="102"/>
      <c r="GU45" s="102"/>
    </row>
    <row r="46" spans="1:203" x14ac:dyDescent="0.3">
      <c r="I46" s="4"/>
    </row>
    <row r="47" spans="1:203" x14ac:dyDescent="0.3">
      <c r="B47" s="116" t="s">
        <v>128</v>
      </c>
      <c r="I47" s="4"/>
    </row>
    <row r="48" spans="1:203" x14ac:dyDescent="0.3">
      <c r="B48" s="117" t="s">
        <v>70</v>
      </c>
      <c r="C48" s="118">
        <f>D15+(D8+D9)/2*Heifer!G8</f>
        <v>417.76499999999999</v>
      </c>
      <c r="I48" s="4"/>
    </row>
    <row r="49" spans="2:9" x14ac:dyDescent="0.3">
      <c r="B49" s="44" t="s">
        <v>68</v>
      </c>
      <c r="C49" s="80">
        <f>D30</f>
        <v>286.59508928571432</v>
      </c>
      <c r="I49" s="4"/>
    </row>
    <row r="50" spans="2:9" x14ac:dyDescent="0.3">
      <c r="B50" s="44" t="s">
        <v>71</v>
      </c>
      <c r="C50" s="80">
        <f>D45*(1-Heifer!D7)</f>
        <v>484.26195535714282</v>
      </c>
      <c r="I50" s="4"/>
    </row>
    <row r="51" spans="2:9" x14ac:dyDescent="0.3">
      <c r="B51" s="63" t="s">
        <v>72</v>
      </c>
      <c r="C51" s="89">
        <f>C48+C49+C50</f>
        <v>1188.6220446428572</v>
      </c>
      <c r="I51" s="4"/>
    </row>
    <row r="52" spans="2:9" x14ac:dyDescent="0.3">
      <c r="B52" s="45" t="s">
        <v>96</v>
      </c>
      <c r="C52" s="44"/>
      <c r="I52" s="4"/>
    </row>
    <row r="53" spans="2:9" x14ac:dyDescent="0.3">
      <c r="B53" s="45" t="s">
        <v>97</v>
      </c>
      <c r="C53" s="44"/>
    </row>
    <row r="61" spans="2:9" hidden="1" x14ac:dyDescent="0.3">
      <c r="B61" s="5"/>
    </row>
    <row r="62" spans="2:9" hidden="1" x14ac:dyDescent="0.3">
      <c r="B62" s="5"/>
    </row>
  </sheetData>
  <sheetProtection sheet="1" objects="1" scenarios="1"/>
  <phoneticPr fontId="0" type="noConversion"/>
  <pageMargins left="0.5" right="0.3" top="0.7" bottom="0.5" header="0" footer="0"/>
  <pageSetup scale="78" orientation="portrait" r:id="rId1"/>
  <headerFooter alignWithMargins="0"/>
  <ignoredErrors>
    <ignoredError sqref="E20:H20 E35:H35" unlockedFormula="1"/>
    <ignoredError sqref="F11 E43" formula="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84"/>
  <sheetViews>
    <sheetView showGridLines="0" topLeftCell="A5" zoomScale="120" zoomScaleNormal="120" zoomScaleSheetLayoutView="100" workbookViewId="0">
      <selection activeCell="I31" sqref="I31"/>
    </sheetView>
  </sheetViews>
  <sheetFormatPr defaultColWidth="0" defaultRowHeight="15" zeroHeight="1" x14ac:dyDescent="0.2"/>
  <cols>
    <col min="1" max="1" width="3.33203125" style="121" customWidth="1"/>
    <col min="2" max="2" width="1.77734375" style="119" customWidth="1"/>
    <col min="3" max="3" width="31" style="119" customWidth="1"/>
    <col min="4" max="4" width="7.5546875" style="119" customWidth="1"/>
    <col min="5" max="5" width="9.77734375" style="119" customWidth="1"/>
    <col min="6" max="6" width="8.21875" style="119" customWidth="1"/>
    <col min="7" max="7" width="11.44140625" style="119" customWidth="1"/>
    <col min="8" max="8" width="12.77734375" style="120" customWidth="1"/>
    <col min="9" max="9" width="3.33203125" style="119" customWidth="1"/>
    <col min="10" max="10" width="10.77734375" style="119" hidden="1" customWidth="1"/>
    <col min="11" max="11" width="10.77734375" style="121" hidden="1" customWidth="1"/>
    <col min="12" max="15" width="8.88671875" style="121" hidden="1" customWidth="1"/>
    <col min="16" max="16" width="30.88671875" style="121" hidden="1" customWidth="1"/>
    <col min="17" max="17" width="11.77734375" style="121" hidden="1" customWidth="1"/>
    <col min="18" max="16384" width="8.88671875" style="121" hidden="1"/>
  </cols>
  <sheetData>
    <row r="1" spans="2:19" x14ac:dyDescent="0.2"/>
    <row r="2" spans="2:19" ht="21" x14ac:dyDescent="0.35">
      <c r="B2" s="334" t="s">
        <v>166</v>
      </c>
      <c r="C2" s="334"/>
      <c r="D2" s="334"/>
      <c r="E2" s="334"/>
      <c r="F2" s="334"/>
      <c r="G2" s="334"/>
      <c r="H2" s="334"/>
      <c r="I2" s="122"/>
    </row>
    <row r="3" spans="2:19" ht="15.95" customHeight="1" x14ac:dyDescent="0.2">
      <c r="B3" s="240"/>
      <c r="C3" s="123"/>
      <c r="D3" s="123"/>
      <c r="E3" s="123"/>
      <c r="F3" s="123"/>
      <c r="G3" s="123"/>
      <c r="H3" s="123"/>
      <c r="I3" s="123"/>
    </row>
    <row r="4" spans="2:19" ht="32.1" customHeight="1" x14ac:dyDescent="0.25">
      <c r="B4" s="41" t="s">
        <v>106</v>
      </c>
      <c r="C4" s="66"/>
      <c r="D4" s="241" t="s">
        <v>202</v>
      </c>
      <c r="E4" s="242" t="s">
        <v>120</v>
      </c>
      <c r="F4" s="106" t="s">
        <v>147</v>
      </c>
      <c r="G4" s="243" t="s">
        <v>187</v>
      </c>
      <c r="H4" s="243" t="s">
        <v>200</v>
      </c>
      <c r="I4" s="124"/>
      <c r="J4" s="200"/>
      <c r="K4" s="201"/>
      <c r="P4" s="125"/>
      <c r="Q4" s="125"/>
    </row>
    <row r="5" spans="2:19" ht="15.95" customHeight="1" x14ac:dyDescent="0.25">
      <c r="B5" s="44"/>
      <c r="C5" s="244" t="str">
        <f>"Springer heifer sales"</f>
        <v>Springer heifer sales</v>
      </c>
      <c r="D5" s="195">
        <v>0.95</v>
      </c>
      <c r="E5" s="245" t="s">
        <v>19</v>
      </c>
      <c r="F5" s="44"/>
      <c r="G5" s="23">
        <v>2550</v>
      </c>
      <c r="H5" s="126">
        <f>G5*D5</f>
        <v>2422.5</v>
      </c>
      <c r="I5" s="44"/>
      <c r="K5" s="44"/>
      <c r="L5" s="44"/>
      <c r="M5" s="44"/>
      <c r="N5" s="44"/>
      <c r="O5" s="44"/>
      <c r="P5" s="202"/>
      <c r="Q5" s="203"/>
      <c r="R5" s="211"/>
    </row>
    <row r="6" spans="2:19" ht="15.95" customHeight="1" x14ac:dyDescent="0.25">
      <c r="B6" s="44"/>
      <c r="C6" s="244" t="str">
        <f>"Cull heifer sales"</f>
        <v>Cull heifer sales</v>
      </c>
      <c r="D6" s="195">
        <v>2.5000000000000001E-2</v>
      </c>
      <c r="E6" s="245" t="s">
        <v>195</v>
      </c>
      <c r="F6" s="27">
        <v>1300</v>
      </c>
      <c r="G6" s="23">
        <v>1.65</v>
      </c>
      <c r="H6" s="246">
        <f>D6*G6*F6</f>
        <v>53.625</v>
      </c>
      <c r="I6" s="44"/>
      <c r="K6" s="44"/>
      <c r="P6" s="202"/>
      <c r="Q6" s="203"/>
      <c r="R6" s="127"/>
      <c r="S6" s="125"/>
    </row>
    <row r="7" spans="2:19" ht="15.95" customHeight="1" x14ac:dyDescent="0.25">
      <c r="B7" s="44"/>
      <c r="C7" s="244" t="str">
        <f>"Yearling heifer sales"</f>
        <v>Yearling heifer sales</v>
      </c>
      <c r="D7" s="195">
        <v>2.5000000000000001E-2</v>
      </c>
      <c r="E7" s="245" t="s">
        <v>195</v>
      </c>
      <c r="F7" s="27">
        <v>725</v>
      </c>
      <c r="G7" s="23">
        <v>1.95</v>
      </c>
      <c r="H7" s="246">
        <f>D7*G7*F7</f>
        <v>35.34375</v>
      </c>
      <c r="I7" s="44"/>
      <c r="K7" s="44"/>
      <c r="P7" s="202"/>
      <c r="Q7" s="128"/>
      <c r="R7" s="129"/>
      <c r="S7" s="125"/>
    </row>
    <row r="8" spans="2:19" ht="15.95" customHeight="1" x14ac:dyDescent="0.25">
      <c r="B8" s="44"/>
      <c r="C8" s="44" t="str">
        <f>"Less death loss (purchased calves)"</f>
        <v>Less death loss (purchased calves)</v>
      </c>
      <c r="D8" s="44"/>
      <c r="E8" s="245" t="s">
        <v>177</v>
      </c>
      <c r="F8" s="44"/>
      <c r="G8" s="22">
        <v>3.5999999999999997E-2</v>
      </c>
      <c r="H8" s="247">
        <f>-H12*G8</f>
        <v>-25.2</v>
      </c>
      <c r="I8" s="44"/>
      <c r="K8" s="44"/>
      <c r="Q8" s="128"/>
      <c r="R8" s="129"/>
      <c r="S8" s="125"/>
    </row>
    <row r="9" spans="2:19" ht="15.95" customHeight="1" x14ac:dyDescent="0.25">
      <c r="B9" s="92"/>
      <c r="C9" s="92"/>
      <c r="D9" s="92"/>
      <c r="E9" s="44"/>
      <c r="G9" s="124" t="s">
        <v>108</v>
      </c>
      <c r="H9" s="130">
        <f>SUM(H5:H8)</f>
        <v>2486.2687500000002</v>
      </c>
      <c r="I9" s="44"/>
      <c r="P9" s="131"/>
    </row>
    <row r="10" spans="2:19" ht="15.95" customHeight="1" x14ac:dyDescent="0.25">
      <c r="B10" s="44"/>
      <c r="C10" s="44"/>
      <c r="D10" s="44"/>
      <c r="E10" s="44"/>
      <c r="F10" s="44"/>
      <c r="G10" s="44"/>
      <c r="H10" s="44"/>
      <c r="I10" s="44"/>
      <c r="K10" s="132"/>
      <c r="L10" s="119"/>
    </row>
    <row r="11" spans="2:19" ht="32.1" customHeight="1" x14ac:dyDescent="0.25">
      <c r="B11" s="41" t="s">
        <v>107</v>
      </c>
      <c r="C11" s="66"/>
      <c r="D11" s="66"/>
      <c r="E11" s="242" t="s">
        <v>120</v>
      </c>
      <c r="F11" s="106" t="s">
        <v>147</v>
      </c>
      <c r="G11" s="243" t="s">
        <v>187</v>
      </c>
      <c r="H11" s="243" t="s">
        <v>200</v>
      </c>
      <c r="I11" s="44"/>
    </row>
    <row r="12" spans="2:19" ht="15.95" customHeight="1" x14ac:dyDescent="0.25">
      <c r="B12" s="44"/>
      <c r="C12" s="44" t="str">
        <f>"Purchased heifer calf"</f>
        <v>Purchased heifer calf</v>
      </c>
      <c r="D12" s="44"/>
      <c r="E12" s="245" t="s">
        <v>19</v>
      </c>
      <c r="F12" s="44"/>
      <c r="G12" s="47">
        <f>Inputs!C28</f>
        <v>700</v>
      </c>
      <c r="H12" s="126">
        <f>G12</f>
        <v>700</v>
      </c>
      <c r="I12" s="44"/>
      <c r="K12" s="212"/>
    </row>
    <row r="13" spans="2:19" ht="15.95" customHeight="1" x14ac:dyDescent="0.25">
      <c r="B13" s="44"/>
      <c r="C13" s="44" t="s">
        <v>86</v>
      </c>
      <c r="D13" s="44"/>
      <c r="E13" s="245" t="s">
        <v>177</v>
      </c>
      <c r="F13" s="44"/>
      <c r="G13" s="248">
        <f>Inputs!C34</f>
        <v>7.4999999999999997E-2</v>
      </c>
      <c r="H13" s="246">
        <f>(G12*(1+G8)*G13)*H43/12*1</f>
        <v>108.78000000000002</v>
      </c>
      <c r="I13" s="44"/>
    </row>
    <row r="14" spans="2:19" ht="15.95" customHeight="1" x14ac:dyDescent="0.25">
      <c r="B14" s="44"/>
      <c r="C14" s="244" t="s">
        <v>87</v>
      </c>
      <c r="D14" s="244"/>
      <c r="E14" s="62"/>
      <c r="F14" s="44"/>
      <c r="G14" s="44"/>
      <c r="H14" s="246">
        <f>'Heifer feed'!C51</f>
        <v>1188.6220446428572</v>
      </c>
      <c r="I14" s="44"/>
      <c r="K14" s="44"/>
      <c r="L14" s="44"/>
      <c r="M14" s="44"/>
      <c r="N14" s="44"/>
      <c r="O14" s="44"/>
      <c r="P14" s="44"/>
    </row>
    <row r="15" spans="2:19" ht="15.95" customHeight="1" x14ac:dyDescent="0.25">
      <c r="B15" s="44"/>
      <c r="C15" s="244" t="str">
        <f>"Labor"</f>
        <v>Labor</v>
      </c>
      <c r="D15" s="244"/>
      <c r="E15" s="245" t="s">
        <v>183</v>
      </c>
      <c r="F15" s="24">
        <v>6.46</v>
      </c>
      <c r="G15" s="23">
        <v>22.5</v>
      </c>
      <c r="H15" s="246">
        <f>G15*F15</f>
        <v>145.35</v>
      </c>
      <c r="I15" s="44"/>
      <c r="K15" s="44"/>
      <c r="L15" s="44"/>
      <c r="M15" s="44"/>
      <c r="N15" s="44"/>
      <c r="O15" s="44"/>
      <c r="P15" s="44"/>
    </row>
    <row r="16" spans="2:19" ht="15.95" customHeight="1" x14ac:dyDescent="0.25">
      <c r="B16" s="44"/>
      <c r="C16" s="244" t="s">
        <v>0</v>
      </c>
      <c r="D16" s="244"/>
      <c r="E16" s="245" t="s">
        <v>201</v>
      </c>
      <c r="F16" s="44"/>
      <c r="G16" s="44"/>
      <c r="H16" s="198">
        <v>38</v>
      </c>
      <c r="I16" s="44"/>
      <c r="K16" s="44"/>
      <c r="L16" s="44"/>
      <c r="M16" s="44"/>
      <c r="N16" s="44"/>
      <c r="O16" s="44"/>
      <c r="P16" s="44"/>
    </row>
    <row r="17" spans="2:16" ht="15.95" customHeight="1" x14ac:dyDescent="0.25">
      <c r="B17" s="44"/>
      <c r="C17" s="244" t="s">
        <v>88</v>
      </c>
      <c r="D17" s="244"/>
      <c r="E17" s="245" t="s">
        <v>201</v>
      </c>
      <c r="F17" s="70"/>
      <c r="G17" s="47"/>
      <c r="H17" s="198">
        <v>18</v>
      </c>
      <c r="I17" s="44"/>
      <c r="K17" s="44"/>
      <c r="L17" s="44"/>
      <c r="M17" s="44"/>
      <c r="N17" s="44"/>
      <c r="O17" s="44"/>
      <c r="P17" s="44"/>
    </row>
    <row r="18" spans="2:16" ht="15.95" customHeight="1" x14ac:dyDescent="0.25">
      <c r="B18" s="44"/>
      <c r="C18" s="244" t="s">
        <v>89</v>
      </c>
      <c r="D18" s="244"/>
      <c r="E18" s="245" t="s">
        <v>201</v>
      </c>
      <c r="F18" s="44"/>
      <c r="G18" s="44"/>
      <c r="H18" s="198">
        <v>8</v>
      </c>
      <c r="I18" s="44"/>
      <c r="K18" s="44"/>
      <c r="L18" s="44"/>
      <c r="M18" s="44"/>
      <c r="N18" s="44"/>
      <c r="O18" s="44"/>
      <c r="P18" s="44"/>
    </row>
    <row r="19" spans="2:16" ht="15.95" customHeight="1" x14ac:dyDescent="0.25">
      <c r="B19" s="44"/>
      <c r="C19" s="244" t="s">
        <v>90</v>
      </c>
      <c r="D19" s="244"/>
      <c r="E19" s="245" t="s">
        <v>201</v>
      </c>
      <c r="F19" s="92"/>
      <c r="G19" s="44"/>
      <c r="H19" s="198">
        <v>33</v>
      </c>
      <c r="I19" s="44"/>
      <c r="K19" s="44"/>
      <c r="L19" s="44"/>
      <c r="M19" s="44"/>
      <c r="N19" s="44"/>
      <c r="O19" s="44"/>
      <c r="P19" s="44"/>
    </row>
    <row r="20" spans="2:16" ht="15.95" customHeight="1" x14ac:dyDescent="0.25">
      <c r="B20" s="44"/>
      <c r="C20" s="244" t="s">
        <v>16</v>
      </c>
      <c r="D20" s="244"/>
      <c r="E20" s="245" t="s">
        <v>177</v>
      </c>
      <c r="F20" s="44"/>
      <c r="G20" s="22">
        <v>0.05</v>
      </c>
      <c r="H20" s="246">
        <f>G20*(H46+H52)</f>
        <v>22.25</v>
      </c>
      <c r="I20" s="44"/>
      <c r="K20" s="44"/>
      <c r="L20" s="44"/>
      <c r="M20" s="44"/>
      <c r="N20" s="44"/>
      <c r="O20" s="44"/>
      <c r="P20" s="44"/>
    </row>
    <row r="21" spans="2:16" ht="15.95" customHeight="1" x14ac:dyDescent="0.25">
      <c r="B21" s="44"/>
      <c r="C21" s="244" t="s">
        <v>211</v>
      </c>
      <c r="D21" s="244"/>
      <c r="E21" s="245" t="s">
        <v>201</v>
      </c>
      <c r="F21" s="44"/>
      <c r="G21" s="44"/>
      <c r="H21" s="198">
        <v>19</v>
      </c>
      <c r="I21" s="44"/>
      <c r="K21" s="44"/>
      <c r="L21" s="44"/>
      <c r="M21" s="44"/>
      <c r="N21" s="44"/>
      <c r="P21" s="44"/>
    </row>
    <row r="22" spans="2:16" ht="15.95" customHeight="1" x14ac:dyDescent="0.25">
      <c r="B22" s="44"/>
      <c r="C22" s="244" t="s">
        <v>212</v>
      </c>
      <c r="D22" s="244"/>
      <c r="E22" s="245" t="s">
        <v>201</v>
      </c>
      <c r="F22" s="44"/>
      <c r="G22" s="44"/>
      <c r="H22" s="198">
        <v>19</v>
      </c>
      <c r="I22" s="44"/>
      <c r="K22" s="44"/>
      <c r="L22" s="44"/>
      <c r="M22" s="44"/>
      <c r="N22" s="44"/>
      <c r="O22" s="44"/>
      <c r="P22" s="44"/>
    </row>
    <row r="23" spans="2:16" ht="15.95" customHeight="1" x14ac:dyDescent="0.25">
      <c r="B23" s="44"/>
      <c r="C23" s="244" t="str">
        <f>"Operating interest"</f>
        <v>Operating interest</v>
      </c>
      <c r="D23" s="244"/>
      <c r="E23" s="245" t="s">
        <v>177</v>
      </c>
      <c r="F23" s="44"/>
      <c r="G23" s="248">
        <f>Inputs!C34</f>
        <v>7.4999999999999997E-2</v>
      </c>
      <c r="H23" s="247">
        <f>(SUM(H14:H21))/2*G23</f>
        <v>55.208326674107141</v>
      </c>
      <c r="I23" s="44"/>
      <c r="K23" s="44"/>
      <c r="L23" s="44"/>
      <c r="M23" s="44"/>
      <c r="N23" s="44"/>
      <c r="O23" s="44"/>
      <c r="P23" s="44"/>
    </row>
    <row r="24" spans="2:16" ht="15.95" customHeight="1" x14ac:dyDescent="0.25">
      <c r="B24" s="44"/>
      <c r="C24" s="244"/>
      <c r="D24" s="244"/>
      <c r="E24" s="44"/>
      <c r="G24" s="124" t="s">
        <v>109</v>
      </c>
      <c r="H24" s="130">
        <f>SUM(H12:H23)</f>
        <v>2355.210371316964</v>
      </c>
      <c r="I24" s="44"/>
      <c r="L24" s="44"/>
      <c r="M24" s="44"/>
      <c r="N24" s="44"/>
      <c r="O24" s="44"/>
      <c r="P24" s="44"/>
    </row>
    <row r="25" spans="2:16" ht="15.95" customHeight="1" x14ac:dyDescent="0.25">
      <c r="B25" s="44"/>
      <c r="C25" s="244"/>
      <c r="D25" s="244"/>
      <c r="E25" s="92"/>
      <c r="F25" s="44"/>
      <c r="G25" s="44"/>
      <c r="H25" s="133"/>
      <c r="I25" s="44"/>
      <c r="K25" s="44"/>
      <c r="L25" s="44"/>
      <c r="M25" s="44"/>
      <c r="N25" s="44"/>
      <c r="O25" s="44"/>
      <c r="P25" s="44"/>
    </row>
    <row r="26" spans="2:16" ht="32.1" customHeight="1" x14ac:dyDescent="0.25">
      <c r="B26" s="41" t="s">
        <v>110</v>
      </c>
      <c r="C26" s="66"/>
      <c r="D26" s="66"/>
      <c r="E26" s="66"/>
      <c r="F26" s="66"/>
      <c r="G26" s="66"/>
      <c r="H26" s="243" t="s">
        <v>200</v>
      </c>
      <c r="I26" s="44"/>
      <c r="K26" s="44"/>
      <c r="L26" s="204"/>
      <c r="M26" s="44"/>
      <c r="N26" s="44"/>
      <c r="O26" s="44"/>
      <c r="P26" s="44"/>
    </row>
    <row r="27" spans="2:16" ht="15.95" customHeight="1" x14ac:dyDescent="0.25">
      <c r="B27" s="44"/>
      <c r="C27" s="244" t="s">
        <v>91</v>
      </c>
      <c r="D27" s="244"/>
      <c r="E27" s="44"/>
      <c r="F27" s="44"/>
      <c r="G27" s="44"/>
      <c r="H27" s="126">
        <f>(H48+H54)*H43/12</f>
        <v>46.35</v>
      </c>
      <c r="I27" s="44"/>
      <c r="K27" s="205"/>
      <c r="L27" s="134"/>
      <c r="O27" s="136"/>
    </row>
    <row r="28" spans="2:16" ht="15.95" customHeight="1" x14ac:dyDescent="0.25">
      <c r="B28" s="44"/>
      <c r="C28" s="244" t="s">
        <v>92</v>
      </c>
      <c r="D28" s="244"/>
      <c r="E28" s="44"/>
      <c r="F28" s="44"/>
      <c r="G28" s="44"/>
      <c r="H28" s="246">
        <f>(H49+H55)*H43/12</f>
        <v>36.712499999999999</v>
      </c>
      <c r="I28" s="44"/>
    </row>
    <row r="29" spans="2:16" ht="15.95" customHeight="1" x14ac:dyDescent="0.25">
      <c r="B29" s="44"/>
      <c r="C29" s="244" t="s">
        <v>93</v>
      </c>
      <c r="D29" s="244"/>
      <c r="E29" s="44"/>
      <c r="F29" s="44"/>
      <c r="G29" s="44"/>
      <c r="H29" s="247">
        <f>(H50+H56+H51+H57)*H43/12</f>
        <v>13.475</v>
      </c>
      <c r="I29" s="44"/>
      <c r="K29" s="205"/>
    </row>
    <row r="30" spans="2:16" ht="15.95" customHeight="1" x14ac:dyDescent="0.25">
      <c r="B30" s="44"/>
      <c r="C30" s="44"/>
      <c r="D30" s="44"/>
      <c r="E30" s="44"/>
      <c r="G30" s="124" t="s">
        <v>111</v>
      </c>
      <c r="H30" s="130">
        <f>SUM(H27:H29)</f>
        <v>96.537499999999994</v>
      </c>
      <c r="I30" s="44"/>
      <c r="K30" s="205"/>
      <c r="L30" s="119"/>
      <c r="M30" s="136"/>
    </row>
    <row r="31" spans="2:16" ht="15.95" customHeight="1" x14ac:dyDescent="0.25">
      <c r="B31" s="44"/>
      <c r="C31" s="44"/>
      <c r="D31" s="44"/>
      <c r="E31" s="44"/>
      <c r="F31" s="92"/>
      <c r="G31" s="44"/>
      <c r="H31" s="130"/>
      <c r="I31" s="44"/>
    </row>
    <row r="32" spans="2:16" ht="15.95" customHeight="1" x14ac:dyDescent="0.25">
      <c r="B32" s="44"/>
      <c r="C32" s="44"/>
      <c r="D32" s="44"/>
      <c r="E32" s="44"/>
      <c r="G32" s="124" t="s">
        <v>112</v>
      </c>
      <c r="H32" s="130">
        <f>H24+H30</f>
        <v>2451.7478713169639</v>
      </c>
      <c r="I32" s="44"/>
      <c r="K32" s="44"/>
    </row>
    <row r="33" spans="2:22" ht="15.95" customHeight="1" x14ac:dyDescent="0.25">
      <c r="B33" s="63"/>
      <c r="C33" s="63"/>
      <c r="D33" s="63"/>
      <c r="E33" s="63"/>
      <c r="F33" s="63"/>
      <c r="G33" s="63"/>
      <c r="H33" s="247"/>
      <c r="I33" s="44"/>
      <c r="L33" s="119"/>
    </row>
    <row r="34" spans="2:22" ht="15.95" customHeight="1" x14ac:dyDescent="0.25">
      <c r="B34" s="249" t="s">
        <v>167</v>
      </c>
      <c r="C34" s="250"/>
      <c r="D34" s="250"/>
      <c r="E34" s="44"/>
      <c r="F34" s="44"/>
      <c r="G34" s="44"/>
      <c r="H34" s="322">
        <f>H9-H24</f>
        <v>131.05837868303615</v>
      </c>
      <c r="I34" s="44"/>
      <c r="L34" s="119"/>
    </row>
    <row r="35" spans="2:22" ht="15.95" customHeight="1" x14ac:dyDescent="0.25">
      <c r="B35" s="251" t="s">
        <v>168</v>
      </c>
      <c r="C35" s="252"/>
      <c r="D35" s="252"/>
      <c r="E35" s="63"/>
      <c r="F35" s="63"/>
      <c r="G35" s="63"/>
      <c r="H35" s="323">
        <f>H9-H32</f>
        <v>34.520878683036244</v>
      </c>
      <c r="I35" s="44"/>
    </row>
    <row r="36" spans="2:22" ht="15.95" customHeight="1" x14ac:dyDescent="0.25">
      <c r="B36" s="44"/>
      <c r="C36" s="44"/>
      <c r="D36" s="44"/>
      <c r="E36" s="44"/>
      <c r="F36" s="44"/>
      <c r="G36" s="44"/>
      <c r="H36" s="253"/>
      <c r="I36" s="44"/>
      <c r="P36" s="119"/>
      <c r="Q36" s="119"/>
      <c r="R36" s="119"/>
      <c r="S36" s="119"/>
      <c r="T36" s="119"/>
      <c r="U36" s="119"/>
      <c r="V36" s="119"/>
    </row>
    <row r="37" spans="2:22" ht="15.95" customHeight="1" x14ac:dyDescent="0.25">
      <c r="B37" s="44"/>
      <c r="C37" s="244" t="s">
        <v>94</v>
      </c>
      <c r="D37" s="244"/>
      <c r="F37" s="44"/>
      <c r="G37" s="137">
        <f>(H32-H12-H13)/(H43*30)</f>
        <v>2.2818998212735613</v>
      </c>
      <c r="I37" s="44"/>
      <c r="K37" s="44"/>
      <c r="P37" s="119"/>
      <c r="Q37" s="119"/>
      <c r="R37" s="119"/>
      <c r="S37" s="119"/>
      <c r="T37" s="119"/>
      <c r="U37" s="119"/>
      <c r="V37" s="119"/>
    </row>
    <row r="38" spans="2:22" s="119" customFormat="1" ht="15.95" customHeight="1" x14ac:dyDescent="0.25">
      <c r="B38" s="44"/>
      <c r="C38" s="244" t="s">
        <v>95</v>
      </c>
      <c r="D38" s="244"/>
      <c r="F38" s="44"/>
      <c r="G38" s="137">
        <f>(H32-H12-H13)/(F7*D7+F6*(D6+D5)-Inputs!G28*(1+Heifer!G8))</f>
        <v>1.3778837131605681</v>
      </c>
      <c r="I38" s="44"/>
    </row>
    <row r="39" spans="2:22" s="119" customFormat="1" ht="15.95" customHeight="1" x14ac:dyDescent="0.25">
      <c r="B39" s="63"/>
      <c r="C39" s="254" t="s">
        <v>113</v>
      </c>
      <c r="D39" s="254"/>
      <c r="E39" s="255"/>
      <c r="F39" s="63"/>
      <c r="G39" s="138">
        <f>(H32-H6-H7-H8)/D5</f>
        <v>2513.662232965225</v>
      </c>
      <c r="H39" s="255"/>
      <c r="I39" s="44"/>
      <c r="M39" s="135"/>
    </row>
    <row r="40" spans="2:22" s="119" customFormat="1" ht="15.95" customHeight="1" x14ac:dyDescent="0.2">
      <c r="B40" s="256"/>
      <c r="C40" s="256"/>
      <c r="D40" s="256"/>
      <c r="E40" s="256"/>
      <c r="F40" s="256"/>
      <c r="G40" s="256"/>
      <c r="H40" s="256"/>
      <c r="K40" s="121"/>
      <c r="L40" s="121"/>
      <c r="M40" s="121"/>
      <c r="N40" s="121"/>
      <c r="O40" s="121"/>
    </row>
    <row r="41" spans="2:22" s="119" customFormat="1" ht="15.75" x14ac:dyDescent="0.25">
      <c r="B41" s="139"/>
      <c r="C41" s="139"/>
      <c r="D41" s="139"/>
      <c r="E41" s="139"/>
      <c r="F41" s="139"/>
      <c r="G41" s="123"/>
      <c r="H41" s="143"/>
      <c r="I41" s="140"/>
      <c r="J41" s="45"/>
      <c r="L41" s="121"/>
      <c r="M41" s="121"/>
      <c r="N41" s="121"/>
      <c r="O41" s="121"/>
    </row>
    <row r="42" spans="2:22" ht="15.75" x14ac:dyDescent="0.25">
      <c r="B42" s="257" t="s">
        <v>169</v>
      </c>
      <c r="C42" s="257"/>
      <c r="D42" s="257"/>
      <c r="E42" s="258" t="s">
        <v>120</v>
      </c>
      <c r="F42" s="259" t="s">
        <v>28</v>
      </c>
      <c r="G42" s="260" t="s">
        <v>120</v>
      </c>
      <c r="H42" s="258" t="s">
        <v>28</v>
      </c>
      <c r="I42" s="140"/>
      <c r="J42" s="45"/>
      <c r="K42" s="119"/>
    </row>
    <row r="43" spans="2:22" ht="15.75" x14ac:dyDescent="0.25">
      <c r="B43" s="144"/>
      <c r="C43" s="144" t="s">
        <v>129</v>
      </c>
      <c r="D43" s="144"/>
      <c r="E43" s="144"/>
      <c r="F43" s="144"/>
      <c r="G43" s="261" t="s">
        <v>196</v>
      </c>
      <c r="H43" s="32">
        <v>24</v>
      </c>
      <c r="I43" s="140"/>
      <c r="J43" s="45"/>
      <c r="K43" s="119"/>
      <c r="P43" s="119"/>
      <c r="Q43" s="119"/>
      <c r="R43" s="119"/>
      <c r="S43" s="119"/>
      <c r="T43" s="119"/>
      <c r="U43" s="119"/>
      <c r="V43" s="119"/>
    </row>
    <row r="44" spans="2:22" ht="15.75" x14ac:dyDescent="0.25">
      <c r="B44" s="144"/>
      <c r="C44" s="144"/>
      <c r="D44" s="144"/>
      <c r="E44" s="144"/>
      <c r="F44" s="144"/>
      <c r="G44" s="145"/>
      <c r="H44" s="262"/>
      <c r="I44" s="140"/>
      <c r="J44" s="45"/>
      <c r="K44" s="119"/>
      <c r="P44" s="119"/>
      <c r="Q44" s="119"/>
      <c r="R44" s="119"/>
      <c r="S44" s="119"/>
      <c r="T44" s="119"/>
      <c r="U44" s="119"/>
      <c r="V44" s="119"/>
    </row>
    <row r="45" spans="2:22" ht="15.75" x14ac:dyDescent="0.25">
      <c r="B45" s="139" t="s">
        <v>170</v>
      </c>
      <c r="C45" s="140"/>
      <c r="D45" s="140"/>
      <c r="E45" s="139"/>
      <c r="F45" s="259" t="s">
        <v>28</v>
      </c>
      <c r="G45" s="260" t="s">
        <v>120</v>
      </c>
      <c r="H45" s="258" t="s">
        <v>28</v>
      </c>
      <c r="I45" s="140"/>
      <c r="J45" s="45"/>
      <c r="K45" s="119"/>
    </row>
    <row r="46" spans="2:22" ht="15.75" x14ac:dyDescent="0.25">
      <c r="B46" s="263"/>
      <c r="C46" s="263" t="s">
        <v>220</v>
      </c>
      <c r="D46" s="263"/>
      <c r="E46" s="264"/>
      <c r="G46" s="265" t="s">
        <v>182</v>
      </c>
      <c r="H46" s="33">
        <v>375</v>
      </c>
      <c r="I46" s="140"/>
      <c r="J46" s="45"/>
      <c r="K46" s="44"/>
    </row>
    <row r="47" spans="2:22" s="119" customFormat="1" ht="15.75" x14ac:dyDescent="0.25">
      <c r="B47" s="139"/>
      <c r="C47" s="139" t="s">
        <v>6</v>
      </c>
      <c r="D47" s="139"/>
      <c r="E47" s="140"/>
      <c r="F47" s="29">
        <v>0.1</v>
      </c>
      <c r="G47" s="123" t="s">
        <v>177</v>
      </c>
      <c r="H47" s="141">
        <f>H46*F47</f>
        <v>37.5</v>
      </c>
      <c r="I47" s="140"/>
      <c r="J47" s="45"/>
      <c r="L47" s="121"/>
      <c r="M47" s="121"/>
      <c r="N47" s="121"/>
      <c r="O47" s="121"/>
    </row>
    <row r="48" spans="2:22" ht="15.75" x14ac:dyDescent="0.25">
      <c r="B48" s="139"/>
      <c r="C48" s="139" t="s">
        <v>7</v>
      </c>
      <c r="D48" s="139"/>
      <c r="E48" s="140"/>
      <c r="F48" s="30">
        <v>20</v>
      </c>
      <c r="G48" s="266" t="s">
        <v>197</v>
      </c>
      <c r="H48" s="267">
        <f>H46*(1-F47)/F48</f>
        <v>16.875</v>
      </c>
      <c r="I48" s="140"/>
      <c r="J48" s="45"/>
      <c r="K48" s="119"/>
      <c r="P48" s="119"/>
      <c r="Q48" s="119"/>
      <c r="R48" s="119"/>
      <c r="S48" s="119"/>
      <c r="T48" s="119"/>
      <c r="U48" s="119"/>
      <c r="V48" s="119"/>
    </row>
    <row r="49" spans="2:22" s="119" customFormat="1" ht="15.75" x14ac:dyDescent="0.25">
      <c r="B49" s="139"/>
      <c r="C49" s="139" t="s">
        <v>103</v>
      </c>
      <c r="D49" s="139"/>
      <c r="E49" s="139"/>
      <c r="F49" s="268"/>
      <c r="G49" s="140"/>
      <c r="H49" s="267">
        <f>((H46+H47)/2*Inputs!C34)</f>
        <v>15.46875</v>
      </c>
      <c r="I49" s="140"/>
      <c r="J49" s="45"/>
      <c r="L49" s="121"/>
      <c r="M49" s="121"/>
      <c r="N49" s="121"/>
      <c r="O49" s="121"/>
      <c r="P49" s="121"/>
      <c r="Q49" s="121"/>
      <c r="R49" s="121"/>
      <c r="S49" s="121"/>
      <c r="T49" s="121"/>
      <c r="U49" s="121"/>
      <c r="V49" s="121"/>
    </row>
    <row r="50" spans="2:22" ht="15.75" x14ac:dyDescent="0.25">
      <c r="B50" s="139"/>
      <c r="C50" s="139" t="s">
        <v>8</v>
      </c>
      <c r="D50" s="139"/>
      <c r="E50" s="139"/>
      <c r="F50" s="31">
        <v>2.5000000000000001E-3</v>
      </c>
      <c r="G50" s="123" t="s">
        <v>177</v>
      </c>
      <c r="H50" s="267">
        <f>F50*H46</f>
        <v>0.9375</v>
      </c>
      <c r="I50" s="140"/>
      <c r="J50" s="45"/>
      <c r="K50" s="119"/>
    </row>
    <row r="51" spans="2:22" ht="15.75" x14ac:dyDescent="0.25">
      <c r="B51" s="139"/>
      <c r="C51" s="139" t="s">
        <v>9</v>
      </c>
      <c r="D51" s="139"/>
      <c r="E51" s="139"/>
      <c r="F51" s="31">
        <v>1.4999999999999999E-2</v>
      </c>
      <c r="G51" s="123" t="s">
        <v>177</v>
      </c>
      <c r="H51" s="267">
        <f>F51*H46</f>
        <v>5.625</v>
      </c>
      <c r="I51" s="140"/>
      <c r="J51" s="45"/>
      <c r="K51" s="119"/>
    </row>
    <row r="52" spans="2:22" s="119" customFormat="1" ht="15.75" x14ac:dyDescent="0.25">
      <c r="B52" s="139"/>
      <c r="C52" s="139" t="s">
        <v>10</v>
      </c>
      <c r="D52" s="139"/>
      <c r="E52" s="140"/>
      <c r="F52" s="269"/>
      <c r="G52" s="140"/>
      <c r="H52" s="33">
        <v>70</v>
      </c>
      <c r="I52" s="140"/>
      <c r="J52" s="45"/>
      <c r="K52" s="44"/>
      <c r="L52" s="121"/>
      <c r="M52" s="121"/>
      <c r="N52" s="121"/>
      <c r="O52" s="121"/>
    </row>
    <row r="53" spans="2:22" ht="15.75" x14ac:dyDescent="0.25">
      <c r="B53" s="139"/>
      <c r="C53" s="139" t="s">
        <v>6</v>
      </c>
      <c r="D53" s="139"/>
      <c r="E53" s="140"/>
      <c r="F53" s="29">
        <v>0.1</v>
      </c>
      <c r="G53" s="123" t="s">
        <v>177</v>
      </c>
      <c r="H53" s="267">
        <f>H52*F53</f>
        <v>7</v>
      </c>
      <c r="I53" s="140"/>
      <c r="J53" s="45"/>
      <c r="K53" s="119"/>
    </row>
    <row r="54" spans="2:22" s="119" customFormat="1" ht="15.75" x14ac:dyDescent="0.25">
      <c r="B54" s="139"/>
      <c r="C54" s="139" t="s">
        <v>7</v>
      </c>
      <c r="D54" s="139"/>
      <c r="E54" s="140"/>
      <c r="F54" s="30">
        <v>10</v>
      </c>
      <c r="G54" s="266" t="s">
        <v>197</v>
      </c>
      <c r="H54" s="267">
        <f>H52*(1-F53)/F54</f>
        <v>6.3</v>
      </c>
      <c r="I54" s="140"/>
      <c r="J54" s="45"/>
      <c r="L54" s="121"/>
      <c r="M54" s="121"/>
      <c r="N54" s="121"/>
      <c r="O54" s="121"/>
      <c r="P54" s="121"/>
      <c r="Q54" s="121"/>
      <c r="R54" s="121"/>
      <c r="S54" s="121"/>
      <c r="T54" s="121"/>
      <c r="U54" s="121"/>
      <c r="V54" s="121"/>
    </row>
    <row r="55" spans="2:22" s="119" customFormat="1" ht="15.75" x14ac:dyDescent="0.25">
      <c r="B55" s="139"/>
      <c r="C55" s="139" t="s">
        <v>103</v>
      </c>
      <c r="D55" s="139"/>
      <c r="E55" s="140"/>
      <c r="F55" s="270"/>
      <c r="G55" s="140"/>
      <c r="H55" s="267">
        <f>((H52+H53)/2*Inputs!C34)</f>
        <v>2.8874999999999997</v>
      </c>
      <c r="I55" s="140"/>
      <c r="J55" s="45"/>
      <c r="L55" s="121"/>
      <c r="M55" s="121"/>
      <c r="N55" s="121"/>
      <c r="O55" s="121"/>
    </row>
    <row r="56" spans="2:22" ht="15.75" x14ac:dyDescent="0.25">
      <c r="B56" s="139"/>
      <c r="C56" s="139" t="s">
        <v>8</v>
      </c>
      <c r="D56" s="139"/>
      <c r="E56" s="140"/>
      <c r="F56" s="31">
        <v>2.5000000000000001E-3</v>
      </c>
      <c r="G56" s="123" t="s">
        <v>177</v>
      </c>
      <c r="H56" s="267">
        <f>F56*H52</f>
        <v>0.17500000000000002</v>
      </c>
      <c r="I56" s="140"/>
      <c r="J56" s="45"/>
      <c r="K56" s="119"/>
    </row>
    <row r="57" spans="2:22" ht="15.75" x14ac:dyDescent="0.25">
      <c r="B57" s="139"/>
      <c r="C57" s="139" t="s">
        <v>9</v>
      </c>
      <c r="D57" s="139"/>
      <c r="E57" s="140"/>
      <c r="F57" s="31">
        <v>0</v>
      </c>
      <c r="G57" s="123" t="s">
        <v>177</v>
      </c>
      <c r="H57" s="271">
        <f>F57*H52</f>
        <v>0</v>
      </c>
      <c r="I57" s="140"/>
      <c r="J57" s="45"/>
      <c r="K57" s="119"/>
    </row>
    <row r="58" spans="2:22" s="119" customFormat="1" ht="15.75" x14ac:dyDescent="0.25">
      <c r="B58" s="139"/>
      <c r="E58" s="139"/>
      <c r="F58" s="139"/>
      <c r="G58" s="272" t="s">
        <v>101</v>
      </c>
      <c r="H58" s="267">
        <f>H46+H52</f>
        <v>445</v>
      </c>
      <c r="I58" s="140"/>
      <c r="J58" s="45"/>
      <c r="L58" s="121"/>
      <c r="M58" s="121"/>
      <c r="N58" s="121"/>
      <c r="O58" s="121"/>
      <c r="P58" s="121"/>
      <c r="Q58" s="121"/>
      <c r="R58" s="121"/>
      <c r="S58" s="121"/>
      <c r="T58" s="121"/>
      <c r="U58" s="121"/>
      <c r="V58" s="121"/>
    </row>
    <row r="59" spans="2:22" ht="15.75" x14ac:dyDescent="0.25">
      <c r="B59" s="139"/>
      <c r="C59" s="255"/>
      <c r="D59" s="255"/>
      <c r="E59" s="144"/>
      <c r="F59" s="144"/>
      <c r="G59" s="273" t="s">
        <v>73</v>
      </c>
      <c r="H59" s="271">
        <f>SUM(H48:H51,H54:H57)*H43/12</f>
        <v>96.53749999999998</v>
      </c>
      <c r="I59" s="140"/>
      <c r="J59" s="45"/>
      <c r="K59" s="119"/>
    </row>
    <row r="60" spans="2:22" ht="15.75" hidden="1" x14ac:dyDescent="0.25">
      <c r="B60" s="139"/>
      <c r="C60" s="45"/>
      <c r="D60" s="45"/>
      <c r="E60" s="45"/>
      <c r="F60" s="45"/>
      <c r="G60" s="45"/>
      <c r="H60" s="140"/>
      <c r="I60" s="140"/>
      <c r="J60" s="45"/>
      <c r="K60" s="119"/>
    </row>
    <row r="61" spans="2:22" s="119" customFormat="1" ht="15.75" hidden="1" x14ac:dyDescent="0.25">
      <c r="B61" s="139"/>
      <c r="H61" s="120"/>
      <c r="I61" s="140"/>
      <c r="J61" s="45"/>
      <c r="L61" s="121"/>
      <c r="M61" s="121"/>
      <c r="N61" s="121"/>
      <c r="O61" s="121"/>
    </row>
    <row r="62" spans="2:22" ht="15.75" hidden="1" x14ac:dyDescent="0.25">
      <c r="B62" s="139"/>
      <c r="I62" s="140"/>
      <c r="J62" s="45"/>
      <c r="K62" s="119"/>
    </row>
    <row r="63" spans="2:22" ht="15.75" hidden="1" x14ac:dyDescent="0.25">
      <c r="B63" s="146"/>
      <c r="I63" s="140"/>
      <c r="J63" s="45"/>
      <c r="K63" s="119"/>
    </row>
    <row r="64" spans="2:22" ht="15.75" hidden="1" x14ac:dyDescent="0.25">
      <c r="I64" s="45"/>
      <c r="J64" s="45"/>
      <c r="K64" s="119"/>
    </row>
    <row r="66" spans="2:22" s="119" customFormat="1" hidden="1" x14ac:dyDescent="0.2">
      <c r="C66" s="274"/>
      <c r="D66" s="274"/>
      <c r="H66" s="120"/>
      <c r="K66" s="121"/>
      <c r="L66" s="121"/>
      <c r="M66" s="121"/>
      <c r="N66" s="121"/>
      <c r="O66" s="121"/>
    </row>
    <row r="68" spans="2:22" hidden="1" x14ac:dyDescent="0.2">
      <c r="P68" s="119"/>
      <c r="Q68" s="119"/>
      <c r="R68" s="119"/>
      <c r="S68" s="119"/>
      <c r="T68" s="119"/>
      <c r="U68" s="119"/>
      <c r="V68" s="119"/>
    </row>
    <row r="71" spans="2:22" hidden="1" x14ac:dyDescent="0.2">
      <c r="B71" s="274"/>
    </row>
    <row r="72" spans="2:22" s="119" customFormat="1" hidden="1" x14ac:dyDescent="0.2">
      <c r="C72" s="274"/>
      <c r="D72" s="274"/>
      <c r="H72" s="120"/>
      <c r="K72" s="121"/>
      <c r="L72" s="121"/>
      <c r="M72" s="121"/>
      <c r="N72" s="121"/>
      <c r="O72" s="121"/>
    </row>
    <row r="74" spans="2:22" s="119" customFormat="1" hidden="1" x14ac:dyDescent="0.2">
      <c r="H74" s="120"/>
      <c r="K74" s="121"/>
      <c r="L74" s="121"/>
      <c r="M74" s="121"/>
      <c r="N74" s="121"/>
      <c r="O74" s="121"/>
      <c r="P74" s="121"/>
      <c r="Q74" s="121"/>
      <c r="R74" s="121"/>
      <c r="S74" s="121"/>
      <c r="T74" s="121"/>
      <c r="U74" s="121"/>
      <c r="V74" s="121"/>
    </row>
    <row r="78" spans="2:22" s="119" customFormat="1" hidden="1" x14ac:dyDescent="0.2">
      <c r="H78" s="120"/>
      <c r="K78" s="121"/>
      <c r="L78" s="121"/>
      <c r="M78" s="121"/>
      <c r="N78" s="121"/>
      <c r="O78" s="121"/>
      <c r="P78" s="121"/>
      <c r="Q78" s="121"/>
      <c r="R78" s="121"/>
      <c r="S78" s="121"/>
      <c r="T78" s="121"/>
      <c r="U78" s="121"/>
      <c r="V78" s="121"/>
    </row>
    <row r="82" spans="2:22" hidden="1" x14ac:dyDescent="0.2">
      <c r="C82" s="274"/>
      <c r="D82" s="274"/>
      <c r="P82" s="119"/>
      <c r="Q82" s="119"/>
      <c r="R82" s="119"/>
      <c r="S82" s="119"/>
      <c r="T82" s="119"/>
      <c r="U82" s="119"/>
      <c r="V82" s="119"/>
    </row>
    <row r="84" spans="2:22" hidden="1" x14ac:dyDescent="0.2">
      <c r="P84" s="119"/>
      <c r="Q84" s="119"/>
      <c r="R84" s="119"/>
      <c r="S84" s="119"/>
      <c r="T84" s="119"/>
      <c r="U84" s="119"/>
      <c r="V84" s="119"/>
    </row>
    <row r="87" spans="2:22" hidden="1" x14ac:dyDescent="0.2">
      <c r="B87" s="274"/>
    </row>
    <row r="88" spans="2:22" s="119" customFormat="1" hidden="1" x14ac:dyDescent="0.2">
      <c r="C88" s="274"/>
      <c r="D88" s="274"/>
      <c r="H88" s="120"/>
      <c r="K88" s="121"/>
      <c r="L88" s="121"/>
      <c r="M88" s="121"/>
      <c r="N88" s="121"/>
      <c r="O88" s="121"/>
      <c r="P88" s="121"/>
      <c r="Q88" s="121"/>
      <c r="R88" s="121"/>
    </row>
    <row r="90" spans="2:22" s="119" customFormat="1" hidden="1" x14ac:dyDescent="0.2">
      <c r="H90" s="120"/>
      <c r="K90" s="121"/>
      <c r="L90" s="121"/>
      <c r="M90" s="121"/>
      <c r="N90" s="121"/>
      <c r="O90" s="121"/>
      <c r="P90" s="121"/>
      <c r="Q90" s="121"/>
      <c r="R90" s="121"/>
    </row>
    <row r="92" spans="2:22" hidden="1" x14ac:dyDescent="0.2">
      <c r="S92" s="119"/>
      <c r="T92" s="119"/>
      <c r="U92" s="119"/>
      <c r="V92" s="119"/>
    </row>
    <row r="93" spans="2:22" hidden="1" x14ac:dyDescent="0.2">
      <c r="B93" s="274"/>
      <c r="S93" s="119"/>
      <c r="T93" s="119"/>
      <c r="U93" s="119"/>
      <c r="V93" s="119"/>
    </row>
    <row r="94" spans="2:22" s="119" customFormat="1" hidden="1" x14ac:dyDescent="0.2">
      <c r="H94" s="120"/>
      <c r="K94" s="121"/>
      <c r="L94" s="121"/>
      <c r="M94" s="121"/>
      <c r="N94" s="121"/>
      <c r="O94" s="121"/>
      <c r="P94" s="121"/>
      <c r="Q94" s="121"/>
      <c r="R94" s="121"/>
      <c r="S94" s="121"/>
      <c r="T94" s="121"/>
      <c r="U94" s="121"/>
      <c r="V94" s="121"/>
    </row>
    <row r="95" spans="2:22" hidden="1" x14ac:dyDescent="0.2">
      <c r="B95" s="274"/>
    </row>
    <row r="96" spans="2:22" s="119" customFormat="1" hidden="1" x14ac:dyDescent="0.2">
      <c r="B96" s="274"/>
      <c r="G96" s="275"/>
      <c r="H96" s="120"/>
      <c r="K96" s="121"/>
      <c r="L96" s="121"/>
      <c r="M96" s="121"/>
      <c r="N96" s="121"/>
      <c r="O96" s="121"/>
      <c r="P96" s="121"/>
      <c r="Q96" s="121"/>
      <c r="R96" s="121"/>
    </row>
    <row r="98" spans="2:22" s="119" customFormat="1" hidden="1" x14ac:dyDescent="0.2">
      <c r="H98" s="120"/>
      <c r="K98" s="121"/>
      <c r="L98" s="121"/>
      <c r="M98" s="121"/>
      <c r="N98" s="121"/>
      <c r="O98" s="121"/>
      <c r="P98" s="121"/>
      <c r="Q98" s="121"/>
      <c r="R98" s="121"/>
      <c r="S98" s="121"/>
      <c r="T98" s="121"/>
      <c r="U98" s="121"/>
      <c r="V98" s="121"/>
    </row>
    <row r="99" spans="2:22" s="119" customFormat="1" hidden="1" x14ac:dyDescent="0.2">
      <c r="E99" s="274"/>
      <c r="H99" s="120"/>
      <c r="K99" s="121"/>
      <c r="L99" s="121"/>
      <c r="M99" s="121"/>
      <c r="N99" s="121"/>
      <c r="O99" s="121"/>
      <c r="P99" s="121"/>
      <c r="Q99" s="121"/>
      <c r="R99" s="121"/>
    </row>
    <row r="102" spans="2:22" s="119" customFormat="1" hidden="1" x14ac:dyDescent="0.2">
      <c r="H102" s="120"/>
      <c r="K102" s="121"/>
      <c r="L102" s="121"/>
      <c r="M102" s="121"/>
      <c r="N102" s="121"/>
      <c r="O102" s="121"/>
      <c r="P102" s="121"/>
      <c r="Q102" s="121"/>
      <c r="R102" s="121"/>
      <c r="S102" s="121"/>
      <c r="T102" s="121"/>
      <c r="U102" s="121"/>
      <c r="V102" s="121"/>
    </row>
    <row r="105" spans="2:22" s="119" customFormat="1" hidden="1" x14ac:dyDescent="0.2">
      <c r="H105" s="120"/>
      <c r="K105" s="121"/>
      <c r="L105" s="121"/>
      <c r="M105" s="121"/>
      <c r="N105" s="121"/>
      <c r="O105" s="121"/>
      <c r="P105" s="121"/>
      <c r="Q105" s="121"/>
      <c r="R105" s="121"/>
    </row>
    <row r="108" spans="2:22" hidden="1" x14ac:dyDescent="0.2">
      <c r="B108" s="274"/>
    </row>
    <row r="111" spans="2:22" s="119" customFormat="1" hidden="1" x14ac:dyDescent="0.2">
      <c r="C111" s="274"/>
      <c r="D111" s="274"/>
      <c r="H111" s="120"/>
      <c r="K111" s="121"/>
      <c r="L111" s="121"/>
      <c r="M111" s="121"/>
      <c r="N111" s="121"/>
      <c r="O111" s="121"/>
      <c r="P111" s="121"/>
      <c r="Q111" s="121"/>
      <c r="R111" s="121"/>
    </row>
    <row r="113" spans="2:22" hidden="1" x14ac:dyDescent="0.2">
      <c r="S113" s="119"/>
      <c r="T113" s="119"/>
      <c r="U113" s="119"/>
      <c r="V113" s="119"/>
    </row>
    <row r="116" spans="2:22" hidden="1" x14ac:dyDescent="0.2">
      <c r="B116" s="274"/>
    </row>
    <row r="117" spans="2:22" s="119" customFormat="1" hidden="1" x14ac:dyDescent="0.2">
      <c r="C117" s="274"/>
      <c r="D117" s="274"/>
      <c r="H117" s="120"/>
      <c r="K117" s="121"/>
      <c r="L117" s="121"/>
      <c r="M117" s="121"/>
      <c r="N117" s="121"/>
      <c r="O117" s="121"/>
      <c r="P117" s="121"/>
      <c r="Q117" s="121"/>
      <c r="R117" s="121"/>
    </row>
    <row r="119" spans="2:22" s="119" customFormat="1" hidden="1" x14ac:dyDescent="0.2">
      <c r="H119" s="120"/>
      <c r="K119" s="121"/>
      <c r="L119" s="121"/>
      <c r="M119" s="121"/>
      <c r="N119" s="121"/>
      <c r="O119" s="121"/>
      <c r="P119" s="121"/>
      <c r="Q119" s="121"/>
      <c r="R119" s="121"/>
      <c r="S119" s="121"/>
      <c r="T119" s="121"/>
      <c r="U119" s="121"/>
      <c r="V119" s="121"/>
    </row>
    <row r="123" spans="2:22" s="119" customFormat="1" hidden="1" x14ac:dyDescent="0.2">
      <c r="H123" s="120"/>
      <c r="K123" s="121"/>
      <c r="L123" s="121"/>
      <c r="M123" s="121"/>
      <c r="N123" s="121"/>
      <c r="O123" s="121"/>
      <c r="P123" s="121"/>
      <c r="Q123" s="121"/>
      <c r="R123" s="121"/>
      <c r="S123" s="121"/>
      <c r="T123" s="121"/>
      <c r="U123" s="121"/>
      <c r="V123" s="121"/>
    </row>
    <row r="127" spans="2:22" hidden="1" x14ac:dyDescent="0.2">
      <c r="C127" s="274"/>
      <c r="D127" s="274"/>
      <c r="S127" s="119"/>
      <c r="T127" s="119"/>
      <c r="U127" s="119"/>
      <c r="V127" s="119"/>
    </row>
    <row r="129" spans="2:22" hidden="1" x14ac:dyDescent="0.2">
      <c r="S129" s="119"/>
      <c r="T129" s="119"/>
      <c r="U129" s="119"/>
      <c r="V129" s="119"/>
    </row>
    <row r="132" spans="2:22" hidden="1" x14ac:dyDescent="0.2">
      <c r="B132" s="274"/>
    </row>
    <row r="133" spans="2:22" s="119" customFormat="1" hidden="1" x14ac:dyDescent="0.2">
      <c r="C133" s="274"/>
      <c r="D133" s="274"/>
      <c r="H133" s="120"/>
      <c r="K133" s="121"/>
      <c r="L133" s="121"/>
      <c r="M133" s="121"/>
      <c r="N133" s="121"/>
      <c r="O133" s="121"/>
      <c r="P133" s="121"/>
      <c r="Q133" s="121"/>
      <c r="R133" s="121"/>
    </row>
    <row r="135" spans="2:22" s="119" customFormat="1" hidden="1" x14ac:dyDescent="0.2">
      <c r="H135" s="120"/>
      <c r="K135" s="121"/>
      <c r="L135" s="121"/>
      <c r="M135" s="121"/>
      <c r="N135" s="121"/>
      <c r="O135" s="121"/>
      <c r="P135" s="121"/>
      <c r="Q135" s="121"/>
      <c r="R135" s="121"/>
    </row>
    <row r="137" spans="2:22" hidden="1" x14ac:dyDescent="0.2">
      <c r="S137" s="119"/>
      <c r="T137" s="119"/>
      <c r="U137" s="119"/>
      <c r="V137" s="119"/>
    </row>
    <row r="138" spans="2:22" hidden="1" x14ac:dyDescent="0.2">
      <c r="B138" s="274"/>
      <c r="S138" s="119"/>
      <c r="T138" s="119"/>
      <c r="U138" s="119"/>
      <c r="V138" s="119"/>
    </row>
    <row r="139" spans="2:22" s="119" customFormat="1" hidden="1" x14ac:dyDescent="0.2">
      <c r="H139" s="120"/>
      <c r="K139" s="121"/>
      <c r="L139" s="121"/>
      <c r="M139" s="121"/>
      <c r="N139" s="121"/>
      <c r="O139" s="121"/>
      <c r="P139" s="121"/>
      <c r="Q139" s="121"/>
      <c r="R139" s="121"/>
      <c r="S139" s="121"/>
      <c r="T139" s="121"/>
      <c r="U139" s="121"/>
      <c r="V139" s="121"/>
    </row>
    <row r="140" spans="2:22" hidden="1" x14ac:dyDescent="0.2">
      <c r="B140" s="274"/>
    </row>
    <row r="141" spans="2:22" s="119" customFormat="1" hidden="1" x14ac:dyDescent="0.2">
      <c r="B141" s="274"/>
      <c r="G141" s="275"/>
      <c r="H141" s="120"/>
      <c r="K141" s="121"/>
      <c r="L141" s="121"/>
      <c r="M141" s="121"/>
      <c r="N141" s="121"/>
      <c r="O141" s="121"/>
      <c r="P141" s="121"/>
      <c r="Q141" s="121"/>
      <c r="R141" s="121"/>
    </row>
    <row r="143" spans="2:22" s="119" customFormat="1" hidden="1" x14ac:dyDescent="0.2">
      <c r="H143" s="120"/>
      <c r="K143" s="121"/>
      <c r="L143" s="121"/>
      <c r="M143" s="121"/>
      <c r="N143" s="121"/>
      <c r="O143" s="121"/>
      <c r="P143" s="121"/>
      <c r="Q143" s="121"/>
      <c r="R143" s="121"/>
      <c r="S143" s="121"/>
      <c r="T143" s="121"/>
      <c r="U143" s="121"/>
      <c r="V143" s="121"/>
    </row>
    <row r="144" spans="2:22" s="119" customFormat="1" hidden="1" x14ac:dyDescent="0.2">
      <c r="E144" s="274"/>
      <c r="H144" s="120"/>
      <c r="K144" s="121"/>
      <c r="L144" s="121"/>
      <c r="M144" s="121"/>
      <c r="N144" s="121"/>
      <c r="O144" s="121"/>
      <c r="P144" s="121"/>
      <c r="Q144" s="121"/>
      <c r="R144" s="121"/>
    </row>
    <row r="147" spans="2:22" s="119" customFormat="1" hidden="1" x14ac:dyDescent="0.2">
      <c r="H147" s="120"/>
      <c r="K147" s="121"/>
      <c r="L147" s="121"/>
      <c r="M147" s="121"/>
      <c r="N147" s="121"/>
      <c r="O147" s="121"/>
      <c r="P147" s="121"/>
      <c r="Q147" s="121"/>
      <c r="R147" s="121"/>
      <c r="S147" s="121"/>
      <c r="T147" s="121"/>
      <c r="U147" s="121"/>
      <c r="V147" s="121"/>
    </row>
    <row r="150" spans="2:22" s="119" customFormat="1" hidden="1" x14ac:dyDescent="0.2">
      <c r="H150" s="120"/>
      <c r="K150" s="121"/>
      <c r="L150" s="121"/>
      <c r="M150" s="121"/>
      <c r="N150" s="121"/>
      <c r="O150" s="121"/>
      <c r="P150" s="121"/>
      <c r="Q150" s="121"/>
      <c r="R150" s="121"/>
    </row>
    <row r="153" spans="2:22" hidden="1" x14ac:dyDescent="0.2">
      <c r="B153" s="274"/>
    </row>
    <row r="156" spans="2:22" s="119" customFormat="1" hidden="1" x14ac:dyDescent="0.2">
      <c r="C156" s="274"/>
      <c r="D156" s="274"/>
      <c r="H156" s="120"/>
      <c r="K156" s="121"/>
      <c r="L156" s="121"/>
      <c r="M156" s="121"/>
      <c r="N156" s="121"/>
      <c r="O156" s="121"/>
      <c r="P156" s="121"/>
      <c r="Q156" s="121"/>
      <c r="R156" s="121"/>
    </row>
    <row r="158" spans="2:22" hidden="1" x14ac:dyDescent="0.2">
      <c r="S158" s="119"/>
      <c r="T158" s="119"/>
      <c r="U158" s="119"/>
      <c r="V158" s="119"/>
    </row>
    <row r="161" spans="2:22" hidden="1" x14ac:dyDescent="0.2">
      <c r="B161" s="274"/>
    </row>
    <row r="162" spans="2:22" s="119" customFormat="1" hidden="1" x14ac:dyDescent="0.2">
      <c r="C162" s="274"/>
      <c r="D162" s="274"/>
      <c r="H162" s="120"/>
      <c r="K162" s="121"/>
      <c r="L162" s="121"/>
      <c r="M162" s="121"/>
      <c r="N162" s="121"/>
      <c r="O162" s="121"/>
      <c r="P162" s="121"/>
      <c r="Q162" s="121"/>
      <c r="R162" s="121"/>
    </row>
    <row r="164" spans="2:22" s="119" customFormat="1" hidden="1" x14ac:dyDescent="0.2">
      <c r="H164" s="120"/>
      <c r="K164" s="121"/>
      <c r="L164" s="121"/>
      <c r="M164" s="121"/>
      <c r="N164" s="121"/>
      <c r="O164" s="121"/>
      <c r="P164" s="121"/>
      <c r="Q164" s="121"/>
      <c r="R164" s="121"/>
      <c r="S164" s="121"/>
      <c r="T164" s="121"/>
      <c r="U164" s="121"/>
      <c r="V164" s="121"/>
    </row>
    <row r="168" spans="2:22" s="119" customFormat="1" hidden="1" x14ac:dyDescent="0.2">
      <c r="H168" s="120"/>
      <c r="K168" s="121"/>
      <c r="L168" s="121"/>
      <c r="M168" s="121"/>
      <c r="N168" s="121"/>
      <c r="O168" s="121"/>
      <c r="P168" s="121"/>
      <c r="Q168" s="121"/>
      <c r="R168" s="121"/>
      <c r="S168" s="121"/>
      <c r="T168" s="121"/>
      <c r="U168" s="121"/>
      <c r="V168" s="121"/>
    </row>
    <row r="172" spans="2:22" hidden="1" x14ac:dyDescent="0.2">
      <c r="C172" s="274"/>
      <c r="D172" s="274"/>
      <c r="S172" s="119"/>
      <c r="T172" s="119"/>
      <c r="U172" s="119"/>
      <c r="V172" s="119"/>
    </row>
    <row r="174" spans="2:22" hidden="1" x14ac:dyDescent="0.2">
      <c r="S174" s="119"/>
      <c r="T174" s="119"/>
      <c r="U174" s="119"/>
      <c r="V174" s="119"/>
    </row>
    <row r="177" spans="2:22" hidden="1" x14ac:dyDescent="0.2">
      <c r="B177" s="274"/>
    </row>
    <row r="178" spans="2:22" s="119" customFormat="1" hidden="1" x14ac:dyDescent="0.2">
      <c r="C178" s="274"/>
      <c r="D178" s="274"/>
      <c r="H178" s="120"/>
      <c r="K178" s="121"/>
      <c r="L178" s="121"/>
      <c r="M178" s="121"/>
      <c r="N178" s="121"/>
      <c r="O178" s="121"/>
      <c r="P178" s="121"/>
      <c r="Q178" s="121"/>
      <c r="R178" s="121"/>
    </row>
    <row r="180" spans="2:22" s="119" customFormat="1" hidden="1" x14ac:dyDescent="0.2">
      <c r="H180" s="120"/>
      <c r="K180" s="121"/>
      <c r="L180" s="121"/>
      <c r="M180" s="121"/>
      <c r="N180" s="121"/>
      <c r="O180" s="121"/>
      <c r="P180" s="121"/>
      <c r="Q180" s="121"/>
      <c r="R180" s="121"/>
    </row>
    <row r="182" spans="2:22" hidden="1" x14ac:dyDescent="0.2">
      <c r="S182" s="119"/>
      <c r="T182" s="119"/>
      <c r="U182" s="119"/>
      <c r="V182" s="119"/>
    </row>
    <row r="183" spans="2:22" hidden="1" x14ac:dyDescent="0.2">
      <c r="B183" s="274"/>
      <c r="S183" s="119"/>
      <c r="T183" s="119"/>
      <c r="U183" s="119"/>
      <c r="V183" s="119"/>
    </row>
    <row r="184" spans="2:22" s="119" customFormat="1" hidden="1" x14ac:dyDescent="0.2">
      <c r="H184" s="120"/>
      <c r="K184" s="121"/>
      <c r="L184" s="121"/>
      <c r="M184" s="121"/>
      <c r="N184" s="121"/>
      <c r="O184" s="121"/>
      <c r="P184" s="121"/>
      <c r="Q184" s="121"/>
      <c r="R184" s="121"/>
      <c r="S184" s="121"/>
      <c r="T184" s="121"/>
      <c r="U184" s="121"/>
      <c r="V184" s="121"/>
    </row>
    <row r="185" spans="2:22" hidden="1" x14ac:dyDescent="0.2">
      <c r="B185" s="274"/>
    </row>
    <row r="186" spans="2:22" s="119" customFormat="1" hidden="1" x14ac:dyDescent="0.2">
      <c r="B186" s="274"/>
      <c r="G186" s="275"/>
      <c r="H186" s="120"/>
      <c r="K186" s="121"/>
      <c r="L186" s="121"/>
      <c r="M186" s="121"/>
      <c r="N186" s="121"/>
      <c r="O186" s="121"/>
      <c r="P186" s="121"/>
      <c r="Q186" s="121"/>
      <c r="R186" s="121"/>
    </row>
    <row r="188" spans="2:22" s="119" customFormat="1" hidden="1" x14ac:dyDescent="0.2">
      <c r="H188" s="120"/>
      <c r="K188" s="121"/>
      <c r="L188" s="121"/>
      <c r="M188" s="121"/>
      <c r="N188" s="121"/>
      <c r="O188" s="121"/>
      <c r="P188" s="121"/>
      <c r="Q188" s="121"/>
      <c r="R188" s="121"/>
      <c r="S188" s="121"/>
      <c r="T188" s="121"/>
      <c r="U188" s="121"/>
      <c r="V188" s="121"/>
    </row>
    <row r="189" spans="2:22" s="119" customFormat="1" hidden="1" x14ac:dyDescent="0.2">
      <c r="E189" s="274"/>
      <c r="H189" s="120"/>
      <c r="K189" s="121"/>
      <c r="L189" s="121"/>
      <c r="M189" s="121"/>
      <c r="N189" s="121"/>
      <c r="O189" s="121"/>
      <c r="P189" s="121"/>
      <c r="Q189" s="121"/>
      <c r="R189" s="121"/>
    </row>
    <row r="192" spans="2:22" s="119" customFormat="1" hidden="1" x14ac:dyDescent="0.2">
      <c r="H192" s="120"/>
      <c r="K192" s="121"/>
      <c r="L192" s="121"/>
      <c r="M192" s="121"/>
      <c r="N192" s="121"/>
      <c r="O192" s="121"/>
      <c r="P192" s="121"/>
      <c r="Q192" s="121"/>
      <c r="R192" s="121"/>
      <c r="S192" s="121"/>
      <c r="T192" s="121"/>
      <c r="U192" s="121"/>
      <c r="V192" s="121"/>
    </row>
    <row r="195" spans="2:22" s="119" customFormat="1" hidden="1" x14ac:dyDescent="0.2">
      <c r="H195" s="120"/>
      <c r="K195" s="121"/>
      <c r="L195" s="121"/>
      <c r="M195" s="121"/>
      <c r="N195" s="121"/>
      <c r="O195" s="121"/>
      <c r="P195" s="121"/>
      <c r="Q195" s="121"/>
      <c r="R195" s="121"/>
    </row>
    <row r="198" spans="2:22" hidden="1" x14ac:dyDescent="0.2">
      <c r="B198" s="274"/>
    </row>
    <row r="201" spans="2:22" s="119" customFormat="1" hidden="1" x14ac:dyDescent="0.2">
      <c r="C201" s="274"/>
      <c r="D201" s="274"/>
      <c r="H201" s="120"/>
      <c r="K201" s="121"/>
      <c r="L201" s="121"/>
      <c r="M201" s="121"/>
      <c r="N201" s="121"/>
      <c r="O201" s="121"/>
      <c r="P201" s="121"/>
      <c r="Q201" s="121"/>
      <c r="R201" s="121"/>
    </row>
    <row r="203" spans="2:22" hidden="1" x14ac:dyDescent="0.2">
      <c r="S203" s="119"/>
      <c r="T203" s="119"/>
      <c r="U203" s="119"/>
      <c r="V203" s="119"/>
    </row>
    <row r="206" spans="2:22" hidden="1" x14ac:dyDescent="0.2">
      <c r="B206" s="274"/>
    </row>
    <row r="207" spans="2:22" s="119" customFormat="1" hidden="1" x14ac:dyDescent="0.2">
      <c r="C207" s="274"/>
      <c r="D207" s="274"/>
      <c r="H207" s="120"/>
      <c r="K207" s="121"/>
      <c r="L207" s="121"/>
      <c r="M207" s="121"/>
      <c r="N207" s="121"/>
      <c r="O207" s="121"/>
      <c r="P207" s="121"/>
      <c r="Q207" s="121"/>
      <c r="R207" s="121"/>
    </row>
    <row r="209" spans="2:22" s="119" customFormat="1" hidden="1" x14ac:dyDescent="0.2">
      <c r="H209" s="120"/>
      <c r="K209" s="121"/>
      <c r="L209" s="121"/>
      <c r="M209" s="121"/>
      <c r="N209" s="121"/>
      <c r="O209" s="121"/>
      <c r="P209" s="121"/>
      <c r="Q209" s="121"/>
      <c r="R209" s="121"/>
      <c r="S209" s="121"/>
      <c r="T209" s="121"/>
      <c r="U209" s="121"/>
      <c r="V209" s="121"/>
    </row>
    <row r="213" spans="2:22" s="119" customFormat="1" hidden="1" x14ac:dyDescent="0.2">
      <c r="H213" s="120"/>
      <c r="K213" s="121"/>
      <c r="L213" s="121"/>
      <c r="M213" s="121"/>
      <c r="N213" s="121"/>
      <c r="O213" s="121"/>
      <c r="P213" s="121"/>
      <c r="Q213" s="121"/>
      <c r="R213" s="121"/>
      <c r="S213" s="121"/>
      <c r="T213" s="121"/>
      <c r="U213" s="121"/>
      <c r="V213" s="121"/>
    </row>
    <row r="217" spans="2:22" hidden="1" x14ac:dyDescent="0.2">
      <c r="C217" s="274"/>
      <c r="D217" s="274"/>
      <c r="S217" s="119"/>
      <c r="T217" s="119"/>
      <c r="U217" s="119"/>
      <c r="V217" s="119"/>
    </row>
    <row r="219" spans="2:22" hidden="1" x14ac:dyDescent="0.2">
      <c r="S219" s="119"/>
      <c r="T219" s="119"/>
      <c r="U219" s="119"/>
      <c r="V219" s="119"/>
    </row>
    <row r="222" spans="2:22" hidden="1" x14ac:dyDescent="0.2">
      <c r="B222" s="274"/>
    </row>
    <row r="223" spans="2:22" s="119" customFormat="1" hidden="1" x14ac:dyDescent="0.2">
      <c r="C223" s="274"/>
      <c r="D223" s="274"/>
      <c r="H223" s="120"/>
      <c r="K223" s="121"/>
      <c r="L223" s="121"/>
      <c r="M223" s="121"/>
      <c r="N223" s="121"/>
      <c r="O223" s="121"/>
      <c r="P223" s="121"/>
      <c r="Q223" s="121"/>
      <c r="R223" s="121"/>
    </row>
    <row r="225" spans="2:22" s="119" customFormat="1" hidden="1" x14ac:dyDescent="0.2">
      <c r="H225" s="120"/>
      <c r="K225" s="121"/>
      <c r="L225" s="121"/>
      <c r="M225" s="121"/>
      <c r="N225" s="121"/>
      <c r="O225" s="121"/>
      <c r="P225" s="121"/>
      <c r="Q225" s="121"/>
      <c r="R225" s="121"/>
    </row>
    <row r="227" spans="2:22" hidden="1" x14ac:dyDescent="0.2">
      <c r="S227" s="119"/>
      <c r="T227" s="119"/>
      <c r="U227" s="119"/>
      <c r="V227" s="119"/>
    </row>
    <row r="228" spans="2:22" hidden="1" x14ac:dyDescent="0.2">
      <c r="B228" s="274"/>
      <c r="S228" s="119"/>
      <c r="T228" s="119"/>
      <c r="U228" s="119"/>
      <c r="V228" s="119"/>
    </row>
    <row r="229" spans="2:22" s="119" customFormat="1" hidden="1" x14ac:dyDescent="0.2">
      <c r="H229" s="120"/>
      <c r="K229" s="121"/>
      <c r="L229" s="121"/>
      <c r="M229" s="121"/>
      <c r="N229" s="121"/>
      <c r="O229" s="121"/>
      <c r="P229" s="121"/>
      <c r="Q229" s="121"/>
      <c r="R229" s="121"/>
      <c r="S229" s="121"/>
      <c r="T229" s="121"/>
      <c r="U229" s="121"/>
      <c r="V229" s="121"/>
    </row>
    <row r="230" spans="2:22" hidden="1" x14ac:dyDescent="0.2">
      <c r="B230" s="274"/>
    </row>
    <row r="231" spans="2:22" s="119" customFormat="1" hidden="1" x14ac:dyDescent="0.2">
      <c r="B231" s="274"/>
      <c r="G231" s="275"/>
      <c r="H231" s="120"/>
      <c r="K231" s="121"/>
      <c r="L231" s="121"/>
      <c r="M231" s="121"/>
      <c r="N231" s="121"/>
      <c r="O231" s="121"/>
      <c r="P231" s="121"/>
      <c r="Q231" s="121"/>
      <c r="R231" s="121"/>
    </row>
    <row r="233" spans="2:22" s="119" customFormat="1" hidden="1" x14ac:dyDescent="0.2">
      <c r="H233" s="120"/>
      <c r="K233" s="121"/>
      <c r="L233" s="121"/>
      <c r="M233" s="121"/>
      <c r="N233" s="121"/>
      <c r="O233" s="121"/>
      <c r="P233" s="121"/>
      <c r="Q233" s="121"/>
      <c r="R233" s="121"/>
      <c r="S233" s="121"/>
      <c r="T233" s="121"/>
      <c r="U233" s="121"/>
      <c r="V233" s="121"/>
    </row>
    <row r="234" spans="2:22" s="119" customFormat="1" hidden="1" x14ac:dyDescent="0.2">
      <c r="H234" s="120"/>
      <c r="K234" s="121"/>
      <c r="L234" s="121"/>
      <c r="M234" s="121"/>
      <c r="N234" s="121"/>
      <c r="O234" s="121"/>
      <c r="P234" s="121"/>
      <c r="Q234" s="121"/>
      <c r="R234" s="121"/>
      <c r="S234" s="121"/>
      <c r="T234" s="121"/>
      <c r="U234" s="121"/>
      <c r="V234" s="121"/>
    </row>
    <row r="236" spans="2:22" hidden="1" x14ac:dyDescent="0.2">
      <c r="E236" s="274"/>
      <c r="S236" s="119"/>
      <c r="T236" s="119"/>
      <c r="U236" s="119"/>
      <c r="V236" s="119"/>
    </row>
    <row r="237" spans="2:22" s="119" customFormat="1" hidden="1" x14ac:dyDescent="0.2">
      <c r="H237" s="120"/>
      <c r="K237" s="121"/>
      <c r="L237" s="121"/>
      <c r="M237" s="121"/>
      <c r="N237" s="121"/>
      <c r="O237" s="121"/>
      <c r="P237" s="121"/>
      <c r="Q237" s="121"/>
      <c r="R237" s="121"/>
      <c r="S237" s="121"/>
      <c r="T237" s="121"/>
      <c r="U237" s="121"/>
      <c r="V237" s="121"/>
    </row>
    <row r="242" spans="2:22" s="119" customFormat="1" hidden="1" x14ac:dyDescent="0.2">
      <c r="H242" s="120"/>
      <c r="K242" s="121"/>
      <c r="L242" s="121"/>
      <c r="M242" s="121"/>
      <c r="N242" s="121"/>
      <c r="O242" s="121"/>
      <c r="P242" s="121"/>
      <c r="Q242" s="121"/>
      <c r="R242" s="121"/>
    </row>
    <row r="245" spans="2:22" hidden="1" x14ac:dyDescent="0.2">
      <c r="B245" s="274"/>
    </row>
    <row r="248" spans="2:22" s="119" customFormat="1" hidden="1" x14ac:dyDescent="0.2">
      <c r="C248" s="274"/>
      <c r="D248" s="274"/>
      <c r="H248" s="120"/>
      <c r="K248" s="121"/>
      <c r="L248" s="121"/>
      <c r="M248" s="121"/>
      <c r="N248" s="121"/>
      <c r="O248" s="121"/>
      <c r="P248" s="121"/>
      <c r="Q248" s="121"/>
      <c r="R248" s="121"/>
    </row>
    <row r="250" spans="2:22" hidden="1" x14ac:dyDescent="0.2">
      <c r="S250" s="119"/>
      <c r="T250" s="119"/>
      <c r="U250" s="119"/>
      <c r="V250" s="119"/>
    </row>
    <row r="253" spans="2:22" hidden="1" x14ac:dyDescent="0.2">
      <c r="B253" s="274"/>
    </row>
    <row r="254" spans="2:22" s="119" customFormat="1" hidden="1" x14ac:dyDescent="0.2">
      <c r="C254" s="274"/>
      <c r="D254" s="274"/>
      <c r="H254" s="120"/>
      <c r="K254" s="121"/>
      <c r="L254" s="121"/>
      <c r="M254" s="121"/>
      <c r="N254" s="121"/>
      <c r="O254" s="121"/>
      <c r="P254" s="121"/>
      <c r="Q254" s="121"/>
      <c r="R254" s="121"/>
    </row>
    <row r="256" spans="2:22" s="119" customFormat="1" hidden="1" x14ac:dyDescent="0.2">
      <c r="H256" s="120"/>
      <c r="K256" s="121"/>
      <c r="L256" s="121"/>
      <c r="M256" s="121"/>
      <c r="N256" s="121"/>
      <c r="O256" s="121"/>
      <c r="P256" s="121"/>
      <c r="Q256" s="121"/>
      <c r="R256" s="121"/>
      <c r="S256" s="121"/>
      <c r="T256" s="121"/>
      <c r="U256" s="121"/>
      <c r="V256" s="121"/>
    </row>
    <row r="260" spans="2:22" s="119" customFormat="1" hidden="1" x14ac:dyDescent="0.2">
      <c r="H260" s="120"/>
      <c r="K260" s="121"/>
      <c r="L260" s="121"/>
      <c r="M260" s="121"/>
      <c r="N260" s="121"/>
      <c r="O260" s="121"/>
      <c r="P260" s="121"/>
      <c r="Q260" s="121"/>
      <c r="R260" s="121"/>
      <c r="S260" s="121"/>
      <c r="T260" s="121"/>
      <c r="U260" s="121"/>
      <c r="V260" s="121"/>
    </row>
    <row r="264" spans="2:22" hidden="1" x14ac:dyDescent="0.2">
      <c r="C264" s="274"/>
      <c r="D264" s="274"/>
      <c r="S264" s="119"/>
      <c r="T264" s="119"/>
      <c r="U264" s="119"/>
      <c r="V264" s="119"/>
    </row>
    <row r="266" spans="2:22" hidden="1" x14ac:dyDescent="0.2">
      <c r="S266" s="119"/>
      <c r="T266" s="119"/>
      <c r="U266" s="119"/>
      <c r="V266" s="119"/>
    </row>
    <row r="269" spans="2:22" hidden="1" x14ac:dyDescent="0.2">
      <c r="B269" s="274"/>
    </row>
    <row r="270" spans="2:22" s="119" customFormat="1" hidden="1" x14ac:dyDescent="0.2">
      <c r="C270" s="274"/>
      <c r="D270" s="274"/>
      <c r="H270" s="120"/>
      <c r="K270" s="121"/>
      <c r="L270" s="121"/>
      <c r="M270" s="121"/>
      <c r="N270" s="121"/>
      <c r="O270" s="121"/>
      <c r="P270" s="121"/>
      <c r="Q270" s="121"/>
      <c r="R270" s="121"/>
    </row>
    <row r="272" spans="2:22" s="119" customFormat="1" hidden="1" x14ac:dyDescent="0.2">
      <c r="H272" s="120"/>
      <c r="K272" s="121"/>
      <c r="L272" s="121"/>
      <c r="M272" s="121"/>
      <c r="N272" s="121"/>
      <c r="O272" s="121"/>
      <c r="P272" s="121"/>
      <c r="Q272" s="121"/>
      <c r="R272" s="121"/>
    </row>
    <row r="274" spans="2:22" hidden="1" x14ac:dyDescent="0.2">
      <c r="S274" s="119"/>
      <c r="T274" s="119"/>
      <c r="U274" s="119"/>
      <c r="V274" s="119"/>
    </row>
    <row r="275" spans="2:22" hidden="1" x14ac:dyDescent="0.2">
      <c r="B275" s="274"/>
      <c r="S275" s="119"/>
      <c r="T275" s="119"/>
      <c r="U275" s="119"/>
      <c r="V275" s="119"/>
    </row>
    <row r="276" spans="2:22" s="119" customFormat="1" hidden="1" x14ac:dyDescent="0.2">
      <c r="H276" s="120"/>
      <c r="K276" s="121"/>
      <c r="L276" s="121"/>
      <c r="M276" s="121"/>
      <c r="N276" s="121"/>
      <c r="O276" s="121"/>
      <c r="P276" s="121"/>
      <c r="Q276" s="121"/>
      <c r="R276" s="121"/>
      <c r="S276" s="121"/>
      <c r="T276" s="121"/>
      <c r="U276" s="121"/>
      <c r="V276" s="121"/>
    </row>
    <row r="277" spans="2:22" hidden="1" x14ac:dyDescent="0.2">
      <c r="B277" s="274"/>
    </row>
    <row r="278" spans="2:22" s="119" customFormat="1" hidden="1" x14ac:dyDescent="0.2">
      <c r="B278" s="274"/>
      <c r="G278" s="275"/>
      <c r="H278" s="120"/>
      <c r="K278" s="121"/>
      <c r="L278" s="121"/>
      <c r="M278" s="121"/>
      <c r="N278" s="121"/>
      <c r="O278" s="121"/>
      <c r="P278" s="121"/>
      <c r="Q278" s="121"/>
      <c r="R278" s="121"/>
    </row>
    <row r="280" spans="2:22" s="119" customFormat="1" hidden="1" x14ac:dyDescent="0.2">
      <c r="H280" s="120"/>
      <c r="K280" s="121"/>
      <c r="L280" s="121"/>
      <c r="M280" s="121"/>
      <c r="N280" s="121"/>
      <c r="O280" s="121"/>
      <c r="P280" s="121"/>
      <c r="Q280" s="121"/>
      <c r="R280" s="121"/>
      <c r="S280" s="121"/>
      <c r="T280" s="121"/>
      <c r="U280" s="121"/>
      <c r="V280" s="121"/>
    </row>
    <row r="281" spans="2:22" s="119" customFormat="1" hidden="1" x14ac:dyDescent="0.2">
      <c r="H281" s="120"/>
      <c r="K281" s="121"/>
      <c r="L281" s="121"/>
      <c r="M281" s="121"/>
      <c r="N281" s="121"/>
      <c r="O281" s="121"/>
      <c r="P281" s="121"/>
      <c r="Q281" s="121"/>
      <c r="R281" s="121"/>
      <c r="S281" s="121"/>
      <c r="T281" s="121"/>
      <c r="U281" s="121"/>
      <c r="V281" s="121"/>
    </row>
    <row r="284" spans="2:22" s="119" customFormat="1" hidden="1" x14ac:dyDescent="0.2">
      <c r="H284" s="120"/>
      <c r="K284" s="121"/>
      <c r="L284" s="121"/>
      <c r="M284" s="121"/>
      <c r="N284" s="121"/>
      <c r="O284" s="121"/>
      <c r="P284" s="121"/>
      <c r="Q284" s="121"/>
      <c r="R284" s="121"/>
      <c r="S284" s="121"/>
      <c r="T284" s="121"/>
      <c r="U284" s="121"/>
      <c r="V284" s="121"/>
    </row>
  </sheetData>
  <sheetProtection sheet="1" objects="1" scenarios="1"/>
  <mergeCells count="1">
    <mergeCell ref="B2:H2"/>
  </mergeCells>
  <pageMargins left="0.7" right="0.7" top="0.75" bottom="0.75" header="0.3" footer="0.3"/>
  <pageSetup scale="99" orientation="portrait" r:id="rId1"/>
  <ignoredErrors>
    <ignoredError sqref="H24"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78"/>
  <sheetViews>
    <sheetView showGridLines="0" topLeftCell="A68" zoomScale="140" zoomScaleNormal="140" zoomScaleSheetLayoutView="100" workbookViewId="0">
      <selection activeCell="O42" sqref="O42"/>
    </sheetView>
  </sheetViews>
  <sheetFormatPr defaultColWidth="0" defaultRowHeight="13.5" zeroHeight="1" x14ac:dyDescent="0.25"/>
  <cols>
    <col min="1" max="1" width="3.33203125" style="45" customWidth="1"/>
    <col min="2" max="2" width="1.77734375" style="45" customWidth="1"/>
    <col min="3" max="3" width="21.77734375" style="45" customWidth="1"/>
    <col min="4" max="4" width="14.77734375" style="45" customWidth="1"/>
    <col min="5" max="5" width="1.77734375" style="45" customWidth="1"/>
    <col min="6" max="6" width="9.77734375" style="45" customWidth="1"/>
    <col min="7" max="7" width="1.77734375" style="45" customWidth="1"/>
    <col min="8" max="8" width="8.77734375" style="45" customWidth="1"/>
    <col min="9" max="9" width="1.77734375" style="45" customWidth="1"/>
    <col min="10" max="10" width="9.77734375" style="45" customWidth="1"/>
    <col min="11" max="11" width="1.33203125" style="45" customWidth="1"/>
    <col min="12" max="12" width="7.77734375" style="45" customWidth="1"/>
    <col min="13" max="14" width="6.77734375" style="45" customWidth="1"/>
    <col min="15" max="15" width="6.44140625" style="45" customWidth="1"/>
    <col min="16" max="16" width="6.33203125" style="45" customWidth="1"/>
    <col min="17" max="18" width="5.77734375" style="45" customWidth="1"/>
    <col min="19" max="19" width="6.33203125" style="45" customWidth="1"/>
    <col min="20" max="20" width="5.77734375" style="45" customWidth="1"/>
    <col min="21" max="21" width="3.33203125" style="45" customWidth="1"/>
    <col min="22" max="22" width="6.77734375" style="45" hidden="1" customWidth="1"/>
    <col min="23" max="30" width="0" style="45" hidden="1" customWidth="1"/>
    <col min="31" max="16384" width="7.109375" style="45" hidden="1"/>
  </cols>
  <sheetData>
    <row r="1" spans="2:20" x14ac:dyDescent="0.25"/>
    <row r="2" spans="2:20" ht="21" x14ac:dyDescent="0.35">
      <c r="B2" s="334" t="s">
        <v>172</v>
      </c>
      <c r="C2" s="334"/>
      <c r="D2" s="334"/>
      <c r="E2" s="334"/>
      <c r="F2" s="334"/>
      <c r="G2" s="334"/>
      <c r="H2" s="334"/>
      <c r="I2" s="334"/>
      <c r="J2" s="334"/>
      <c r="K2" s="334"/>
      <c r="L2" s="334"/>
    </row>
    <row r="3" spans="2:20" ht="15.95" customHeight="1" x14ac:dyDescent="0.25">
      <c r="B3" s="336" t="s">
        <v>171</v>
      </c>
      <c r="C3" s="336"/>
      <c r="D3" s="336"/>
      <c r="E3" s="336"/>
      <c r="F3" s="336"/>
      <c r="G3" s="336"/>
      <c r="H3" s="336"/>
      <c r="I3" s="336"/>
      <c r="J3" s="336"/>
      <c r="K3" s="336"/>
      <c r="L3" s="336"/>
      <c r="N3" s="152" t="s">
        <v>203</v>
      </c>
    </row>
    <row r="4" spans="2:20" ht="15.95" customHeight="1" x14ac:dyDescent="0.25">
      <c r="B4" s="140"/>
      <c r="C4" s="44"/>
      <c r="D4" s="44"/>
      <c r="E4" s="44"/>
      <c r="F4" s="338" t="s">
        <v>235</v>
      </c>
      <c r="G4" s="338"/>
      <c r="H4" s="338"/>
      <c r="I4" s="44"/>
      <c r="J4" s="338" t="s">
        <v>148</v>
      </c>
      <c r="K4" s="338"/>
      <c r="L4" s="338"/>
      <c r="O4" s="337" t="s">
        <v>235</v>
      </c>
      <c r="P4" s="337"/>
      <c r="Q4" s="337"/>
      <c r="R4" s="337" t="s">
        <v>148</v>
      </c>
      <c r="S4" s="337"/>
      <c r="T4" s="337"/>
    </row>
    <row r="5" spans="2:20" ht="15.95" customHeight="1" x14ac:dyDescent="0.25">
      <c r="B5" s="41" t="s">
        <v>106</v>
      </c>
      <c r="C5" s="66"/>
      <c r="D5" s="66"/>
      <c r="E5" s="66"/>
      <c r="F5" s="106" t="s">
        <v>21</v>
      </c>
      <c r="G5" s="106"/>
      <c r="H5" s="106" t="s">
        <v>145</v>
      </c>
      <c r="I5" s="41"/>
      <c r="J5" s="106" t="s">
        <v>21</v>
      </c>
      <c r="K5" s="106"/>
      <c r="L5" s="106" t="s">
        <v>145</v>
      </c>
      <c r="O5" s="145"/>
      <c r="P5" s="197" t="s">
        <v>145</v>
      </c>
      <c r="Q5" s="145"/>
      <c r="R5" s="145"/>
      <c r="S5" s="145" t="s">
        <v>145</v>
      </c>
      <c r="T5" s="145"/>
    </row>
    <row r="6" spans="2:20" ht="15.95" customHeight="1" x14ac:dyDescent="0.25">
      <c r="B6" s="140"/>
      <c r="C6" s="44" t="str">
        <f>"Milk sales @ $"&amp;H55&amp;"/cwt"</f>
        <v>Milk sales @ $21.25/cwt</v>
      </c>
      <c r="D6" s="44"/>
      <c r="E6" s="44"/>
      <c r="F6" s="147">
        <f>H52*H55/100</f>
        <v>4674.9149999999991</v>
      </c>
      <c r="G6" s="147"/>
      <c r="H6" s="147">
        <f>F6/$H52*100</f>
        <v>21.249999999999996</v>
      </c>
      <c r="I6" s="147"/>
      <c r="J6" s="147">
        <f>J52*$J55/100</f>
        <v>5312.5</v>
      </c>
      <c r="K6" s="147"/>
      <c r="L6" s="147">
        <f>J6/J$52*100</f>
        <v>21.25</v>
      </c>
      <c r="N6" s="196">
        <f>N8*0.9</f>
        <v>19.124999999999996</v>
      </c>
      <c r="O6" s="140"/>
      <c r="P6" s="141">
        <f>(($H$52*N6/100)/$H$52*100)+SUM($H$7:$H$10)-$H$39</f>
        <v>-2.4838314271330653</v>
      </c>
      <c r="Q6" s="141"/>
      <c r="R6" s="141"/>
      <c r="S6" s="141">
        <f>(($J$52*N6/100)/$J$52*100)+SUM($L$7:$L$10)-$L$39</f>
        <v>-0.87135230231979222</v>
      </c>
      <c r="T6" s="141"/>
    </row>
    <row r="7" spans="2:20" ht="15.95" customHeight="1" x14ac:dyDescent="0.25">
      <c r="B7" s="140"/>
      <c r="C7" s="44" t="s">
        <v>79</v>
      </c>
      <c r="D7" s="44"/>
      <c r="E7" s="44"/>
      <c r="F7" s="147">
        <f>(H7/100)*H52</f>
        <v>0</v>
      </c>
      <c r="G7" s="147"/>
      <c r="H7" s="313">
        <v>0</v>
      </c>
      <c r="I7" s="147"/>
      <c r="J7" s="147">
        <f>(L7/100)*J52</f>
        <v>0</v>
      </c>
      <c r="K7" s="147"/>
      <c r="L7" s="313">
        <v>0</v>
      </c>
      <c r="N7" s="196">
        <f>N8*0.95</f>
        <v>20.187499999999996</v>
      </c>
      <c r="O7" s="140"/>
      <c r="P7" s="141">
        <f>(($H$52*N7/100)/$H$52*100)+SUM($H$7:$H$10)-$H$39</f>
        <v>-1.4213314271330653</v>
      </c>
      <c r="Q7" s="141"/>
      <c r="R7" s="141"/>
      <c r="S7" s="141">
        <f>(($J$52*N7/100)/$J$52*100)+SUM($L$7:$L$10)-$L$39</f>
        <v>0.19114769768020778</v>
      </c>
      <c r="T7" s="141"/>
    </row>
    <row r="8" spans="2:20" ht="15.95" customHeight="1" x14ac:dyDescent="0.25">
      <c r="B8" s="140"/>
      <c r="C8" s="44" t="s">
        <v>80</v>
      </c>
      <c r="D8" s="44"/>
      <c r="E8" s="44"/>
      <c r="F8" s="147">
        <f>(H8/100)*H52</f>
        <v>0</v>
      </c>
      <c r="G8" s="147"/>
      <c r="H8" s="313">
        <v>0</v>
      </c>
      <c r="I8" s="147"/>
      <c r="J8" s="147">
        <f>(L8/100)*J52</f>
        <v>0</v>
      </c>
      <c r="K8" s="147"/>
      <c r="L8" s="313">
        <v>0</v>
      </c>
      <c r="N8" s="196">
        <f>H6</f>
        <v>21.249999999999996</v>
      </c>
      <c r="O8" s="140"/>
      <c r="P8" s="141">
        <f>(($H$52*N8/100)/$H$52*100)+SUM($H$7:$H$10)-$H$39</f>
        <v>-0.35883142713306526</v>
      </c>
      <c r="Q8" s="141"/>
      <c r="R8" s="141"/>
      <c r="S8" s="141">
        <f>(($J$52*N8/100)/$J$52*100)+SUM($L$7:$L$10)-$L$39</f>
        <v>1.2536476976802078</v>
      </c>
      <c r="T8" s="141"/>
    </row>
    <row r="9" spans="2:20" ht="15.95" customHeight="1" x14ac:dyDescent="0.25">
      <c r="B9" s="140"/>
      <c r="C9" s="44" t="s">
        <v>117</v>
      </c>
      <c r="D9" s="44"/>
      <c r="E9" s="44"/>
      <c r="F9" s="147">
        <f>IF($H$68=0,$H$73*((Inputs!C27+Inputs!C30)/2),($J$73*Inputs!C27)+($L$73*Inputs!C30))</f>
        <v>546.4</v>
      </c>
      <c r="G9" s="147"/>
      <c r="H9" s="147">
        <f>F9/H$52*100</f>
        <v>2.4836815214822088</v>
      </c>
      <c r="I9" s="147"/>
      <c r="J9" s="147">
        <f>IF($H$68=0,$H$73*((Inputs!C27+Inputs!C30)/2),($J$73*Inputs!C27)+($L$73*Inputs!C30))</f>
        <v>546.4</v>
      </c>
      <c r="K9" s="147"/>
      <c r="L9" s="147">
        <f>J9/J$52*100</f>
        <v>2.1856</v>
      </c>
      <c r="N9" s="196">
        <f>N8*1.05</f>
        <v>22.312499999999996</v>
      </c>
      <c r="O9" s="140"/>
      <c r="P9" s="141">
        <f>(($H$52*N9/100)/$H$52*100)+SUM($H$7:$H$10)-$H$39</f>
        <v>0.70366857286693474</v>
      </c>
      <c r="Q9" s="141"/>
      <c r="R9" s="141"/>
      <c r="S9" s="141">
        <f>(($J$52*N9/100)/$J$52*100)+SUM($L$7:$L$10)-$L$39</f>
        <v>2.3161476976802078</v>
      </c>
      <c r="T9" s="141"/>
    </row>
    <row r="10" spans="2:20" ht="15.95" customHeight="1" x14ac:dyDescent="0.25">
      <c r="B10" s="140"/>
      <c r="C10" s="44" t="str">
        <f>"Cull cow sales: "&amp;H78&amp;" lbs. x "&amp;H76*100&amp;"% x $"&amp;H77&amp;"/cwt"</f>
        <v>Cull cow sales: 1450 lbs. x 27% x $130/cwt</v>
      </c>
      <c r="D10" s="44"/>
      <c r="E10" s="44"/>
      <c r="F10" s="148">
        <f>$H$78*$H$76*$H$77/100</f>
        <v>508.95</v>
      </c>
      <c r="G10" s="148"/>
      <c r="H10" s="148">
        <f>F10/H$52*100</f>
        <v>2.3134511536573394</v>
      </c>
      <c r="I10" s="148"/>
      <c r="J10" s="148">
        <f>$H$78*$H$76*$H$77/100</f>
        <v>508.95</v>
      </c>
      <c r="K10" s="148"/>
      <c r="L10" s="148">
        <f>J10/J$52*100</f>
        <v>2.0358000000000001</v>
      </c>
      <c r="N10" s="196">
        <f>N8*1.1</f>
        <v>23.374999999999996</v>
      </c>
      <c r="O10" s="145"/>
      <c r="P10" s="321">
        <f>(($H$52*N10/100)/$H$52*100)+SUM($H$7:$H$10)-$H$39</f>
        <v>1.7661685728669383</v>
      </c>
      <c r="Q10" s="321"/>
      <c r="R10" s="321"/>
      <c r="S10" s="321">
        <f>(($J$52*N10/100)/$J$52*100)+SUM($L$7:$L$10)-$L$39</f>
        <v>3.3786476976802078</v>
      </c>
      <c r="T10" s="321"/>
    </row>
    <row r="11" spans="2:20" ht="15.95" customHeight="1" x14ac:dyDescent="0.25">
      <c r="B11" s="140"/>
      <c r="C11" s="92"/>
      <c r="D11" s="124" t="s">
        <v>108</v>
      </c>
      <c r="E11" s="44"/>
      <c r="F11" s="276">
        <f>SUM(F6:F10)</f>
        <v>5730.2649999999985</v>
      </c>
      <c r="G11" s="246"/>
      <c r="H11" s="276">
        <f>SUM(H6:H10)</f>
        <v>26.047132675139544</v>
      </c>
      <c r="I11" s="246"/>
      <c r="J11" s="276">
        <f>SUM(J6:J10)</f>
        <v>6367.8499999999995</v>
      </c>
      <c r="K11" s="246"/>
      <c r="L11" s="276">
        <f>SUM(L6:L10)</f>
        <v>25.471400000000003</v>
      </c>
    </row>
    <row r="12" spans="2:20" ht="15.95" customHeight="1" x14ac:dyDescent="0.25">
      <c r="B12" s="140"/>
      <c r="C12" s="44"/>
      <c r="D12" s="44"/>
      <c r="E12" s="44"/>
      <c r="F12" s="246"/>
      <c r="G12" s="246"/>
      <c r="H12" s="246"/>
      <c r="I12" s="246"/>
      <c r="J12" s="147"/>
      <c r="K12" s="246"/>
      <c r="L12" s="246"/>
    </row>
    <row r="13" spans="2:20" ht="15.95" customHeight="1" x14ac:dyDescent="0.25">
      <c r="B13" s="41" t="s">
        <v>107</v>
      </c>
      <c r="C13" s="66"/>
      <c r="D13" s="66"/>
      <c r="E13" s="66"/>
      <c r="F13" s="106" t="s">
        <v>21</v>
      </c>
      <c r="G13" s="106"/>
      <c r="H13" s="106" t="s">
        <v>145</v>
      </c>
      <c r="I13" s="41"/>
      <c r="J13" s="106" t="s">
        <v>21</v>
      </c>
      <c r="K13" s="106"/>
      <c r="L13" s="106" t="s">
        <v>145</v>
      </c>
      <c r="N13" s="140"/>
    </row>
    <row r="14" spans="2:20" ht="15.95" customHeight="1" x14ac:dyDescent="0.25">
      <c r="B14" s="44"/>
      <c r="C14" s="44" t="s">
        <v>13</v>
      </c>
      <c r="D14" s="44"/>
      <c r="E14" s="44"/>
      <c r="F14" s="147">
        <f>IF($H$68=0,'Cow feed'!D20,'Cow feed'!H20)</f>
        <v>2818.1692711607138</v>
      </c>
      <c r="G14" s="147"/>
      <c r="H14" s="147">
        <f t="shared" ref="H14:H23" si="0">F14/$H$52*100</f>
        <v>12.810093234243869</v>
      </c>
      <c r="I14" s="147"/>
      <c r="J14" s="147">
        <f>IF($H$68=0,'Cow feed'!F20,'Cow feed'!I20)</f>
        <v>3001.8336537499999</v>
      </c>
      <c r="K14" s="147"/>
      <c r="L14" s="147">
        <f>J14/J$52*100</f>
        <v>12.007334615</v>
      </c>
      <c r="N14" s="140"/>
    </row>
    <row r="15" spans="2:20" ht="15.95" customHeight="1" x14ac:dyDescent="0.25">
      <c r="B15" s="44"/>
      <c r="C15" s="44" t="s">
        <v>81</v>
      </c>
      <c r="D15" s="44"/>
      <c r="E15" s="44"/>
      <c r="F15" s="147">
        <f>($L58*$H58)</f>
        <v>675</v>
      </c>
      <c r="G15" s="147"/>
      <c r="H15" s="147">
        <f t="shared" si="0"/>
        <v>3.0682376043200787</v>
      </c>
      <c r="I15" s="147"/>
      <c r="J15" s="147">
        <f>($L58*$J58)</f>
        <v>675</v>
      </c>
      <c r="K15" s="147"/>
      <c r="L15" s="147">
        <f t="shared" ref="L15:L23" si="1">J15/$J$52*100</f>
        <v>2.7</v>
      </c>
      <c r="N15" s="140"/>
    </row>
    <row r="16" spans="2:20" ht="15.95" customHeight="1" x14ac:dyDescent="0.25">
      <c r="B16" s="44"/>
      <c r="C16" s="44" t="s">
        <v>222</v>
      </c>
      <c r="D16" s="44"/>
      <c r="E16" s="44"/>
      <c r="F16" s="313">
        <v>85</v>
      </c>
      <c r="G16" s="147"/>
      <c r="H16" s="147">
        <f t="shared" si="0"/>
        <v>0.38637066128475062</v>
      </c>
      <c r="I16" s="149"/>
      <c r="J16" s="313">
        <v>90</v>
      </c>
      <c r="K16" s="149"/>
      <c r="L16" s="149">
        <f t="shared" si="1"/>
        <v>0.36</v>
      </c>
      <c r="N16" s="140"/>
    </row>
    <row r="17" spans="2:16" ht="15.95" customHeight="1" x14ac:dyDescent="0.25">
      <c r="B17" s="44"/>
      <c r="C17" s="44" t="s">
        <v>221</v>
      </c>
      <c r="D17" s="44"/>
      <c r="E17" s="44"/>
      <c r="F17" s="313">
        <v>170</v>
      </c>
      <c r="G17" s="147"/>
      <c r="H17" s="147">
        <f t="shared" si="0"/>
        <v>0.77274132256950123</v>
      </c>
      <c r="I17" s="149"/>
      <c r="J17" s="313">
        <v>175</v>
      </c>
      <c r="K17" s="149"/>
      <c r="L17" s="149">
        <f t="shared" si="1"/>
        <v>0.70000000000000007</v>
      </c>
      <c r="N17" s="140"/>
    </row>
    <row r="18" spans="2:16" ht="15.95" customHeight="1" x14ac:dyDescent="0.25">
      <c r="B18" s="44"/>
      <c r="C18" s="44" t="s">
        <v>206</v>
      </c>
      <c r="D18" s="44"/>
      <c r="E18" s="44"/>
      <c r="F18" s="313">
        <v>92</v>
      </c>
      <c r="G18" s="147"/>
      <c r="H18" s="147">
        <f t="shared" si="0"/>
        <v>0.41818942162584777</v>
      </c>
      <c r="I18" s="149"/>
      <c r="J18" s="313">
        <v>100</v>
      </c>
      <c r="K18" s="149"/>
      <c r="L18" s="149">
        <f t="shared" si="1"/>
        <v>0.4</v>
      </c>
      <c r="N18" s="140"/>
    </row>
    <row r="19" spans="2:16" ht="15.95" customHeight="1" x14ac:dyDescent="0.25">
      <c r="B19" s="44"/>
      <c r="C19" s="44" t="s">
        <v>207</v>
      </c>
      <c r="D19" s="44"/>
      <c r="E19" s="44"/>
      <c r="F19" s="313">
        <v>115</v>
      </c>
      <c r="G19" s="147"/>
      <c r="H19" s="147">
        <f t="shared" si="0"/>
        <v>0.5227367770323097</v>
      </c>
      <c r="I19" s="149"/>
      <c r="J19" s="313">
        <v>115</v>
      </c>
      <c r="K19" s="149"/>
      <c r="L19" s="149">
        <f t="shared" si="1"/>
        <v>0.45999999999999996</v>
      </c>
      <c r="N19" s="140"/>
    </row>
    <row r="20" spans="2:16" ht="15.95" customHeight="1" x14ac:dyDescent="0.25">
      <c r="B20" s="44"/>
      <c r="C20" s="44" t="s">
        <v>229</v>
      </c>
      <c r="D20" s="44"/>
      <c r="E20" s="44"/>
      <c r="F20" s="147">
        <f>H52*(H59+H60)/100</f>
        <v>263.99519999999995</v>
      </c>
      <c r="G20" s="147"/>
      <c r="H20" s="147">
        <f t="shared" si="0"/>
        <v>1.2</v>
      </c>
      <c r="I20" s="149"/>
      <c r="J20" s="147">
        <f>J52*(J59+J60)/100</f>
        <v>300</v>
      </c>
      <c r="K20" s="149"/>
      <c r="L20" s="149">
        <f t="shared" si="1"/>
        <v>1.2</v>
      </c>
      <c r="N20" s="140"/>
    </row>
    <row r="21" spans="2:16" ht="15.95" customHeight="1" x14ac:dyDescent="0.25">
      <c r="B21" s="44"/>
      <c r="C21" s="44" t="s">
        <v>223</v>
      </c>
      <c r="D21" s="44"/>
      <c r="E21" s="44"/>
      <c r="F21" s="313">
        <v>130</v>
      </c>
      <c r="G21" s="147"/>
      <c r="H21" s="147">
        <f t="shared" si="0"/>
        <v>0.59091983490608924</v>
      </c>
      <c r="I21" s="149"/>
      <c r="J21" s="313">
        <v>130</v>
      </c>
      <c r="K21" s="149"/>
      <c r="L21" s="149">
        <f t="shared" si="1"/>
        <v>0.52</v>
      </c>
      <c r="N21" s="140"/>
    </row>
    <row r="22" spans="2:16" ht="15.95" customHeight="1" x14ac:dyDescent="0.25">
      <c r="B22" s="44"/>
      <c r="C22" s="44" t="s">
        <v>82</v>
      </c>
      <c r="D22" s="44"/>
      <c r="E22" s="44"/>
      <c r="F22" s="147">
        <f>H61*L93</f>
        <v>241.81034482758619</v>
      </c>
      <c r="G22" s="147"/>
      <c r="H22" s="147">
        <f t="shared" si="0"/>
        <v>1.0991579157238596</v>
      </c>
      <c r="I22" s="149"/>
      <c r="J22" s="147">
        <f>F22</f>
        <v>241.81034482758619</v>
      </c>
      <c r="K22" s="149"/>
      <c r="L22" s="149">
        <f t="shared" si="1"/>
        <v>0.96724137931034471</v>
      </c>
      <c r="N22" s="140"/>
    </row>
    <row r="23" spans="2:16" ht="15.95" customHeight="1" x14ac:dyDescent="0.25">
      <c r="B23" s="44"/>
      <c r="C23" s="44" t="s">
        <v>219</v>
      </c>
      <c r="D23" s="44"/>
      <c r="E23" s="44"/>
      <c r="F23" s="313">
        <v>68</v>
      </c>
      <c r="G23" s="194"/>
      <c r="H23" s="147">
        <f t="shared" si="0"/>
        <v>0.30909652902780055</v>
      </c>
      <c r="I23" s="194"/>
      <c r="J23" s="313">
        <v>68</v>
      </c>
      <c r="K23" s="194"/>
      <c r="L23" s="149">
        <f t="shared" si="1"/>
        <v>0.27200000000000002</v>
      </c>
      <c r="N23" s="140"/>
    </row>
    <row r="24" spans="2:16" ht="15.95" customHeight="1" x14ac:dyDescent="0.25">
      <c r="B24" s="44"/>
      <c r="C24" s="44" t="s">
        <v>83</v>
      </c>
      <c r="D24" s="44"/>
      <c r="E24" s="44"/>
      <c r="F24" s="147"/>
      <c r="G24" s="147"/>
      <c r="H24" s="147"/>
      <c r="I24" s="149"/>
      <c r="J24" s="149"/>
      <c r="K24" s="149"/>
      <c r="L24" s="149"/>
    </row>
    <row r="25" spans="2:16" ht="15.95" customHeight="1" x14ac:dyDescent="0.25">
      <c r="B25" s="44"/>
      <c r="C25" s="44" t="s">
        <v>98</v>
      </c>
      <c r="D25" s="44"/>
      <c r="E25" s="44"/>
      <c r="F25" s="147">
        <f>H62</f>
        <v>0</v>
      </c>
      <c r="G25" s="147"/>
      <c r="H25" s="147">
        <f>F25/$H$52*100</f>
        <v>0</v>
      </c>
      <c r="I25" s="149"/>
      <c r="J25" s="149">
        <f>J62</f>
        <v>0</v>
      </c>
      <c r="K25" s="149"/>
      <c r="L25" s="149">
        <f>J25/$J$52*100</f>
        <v>0</v>
      </c>
    </row>
    <row r="26" spans="2:16" ht="15.95" customHeight="1" x14ac:dyDescent="0.25">
      <c r="B26" s="44"/>
      <c r="C26" s="44" t="s">
        <v>208</v>
      </c>
      <c r="D26" s="44"/>
      <c r="E26" s="44"/>
      <c r="F26" s="313">
        <v>60</v>
      </c>
      <c r="G26" s="147"/>
      <c r="H26" s="147">
        <f>F26/$H$52*100</f>
        <v>0.2727322314951181</v>
      </c>
      <c r="I26" s="149"/>
      <c r="J26" s="313">
        <v>60</v>
      </c>
      <c r="K26" s="149"/>
      <c r="L26" s="149">
        <f>J26/$J$52*100</f>
        <v>0.24</v>
      </c>
      <c r="N26" s="140"/>
    </row>
    <row r="27" spans="2:16" ht="15.95" customHeight="1" x14ac:dyDescent="0.25">
      <c r="B27" s="44"/>
      <c r="C27" s="44" t="s">
        <v>253</v>
      </c>
      <c r="D27" s="44"/>
      <c r="E27" s="44"/>
      <c r="F27" s="313">
        <v>50</v>
      </c>
      <c r="G27" s="147"/>
      <c r="H27" s="147">
        <f>F27/$H$52*100</f>
        <v>0.22727685957926511</v>
      </c>
      <c r="I27" s="147"/>
      <c r="J27" s="313">
        <v>50</v>
      </c>
      <c r="K27" s="147"/>
      <c r="L27" s="147">
        <f>J27/$J$52*100</f>
        <v>0.2</v>
      </c>
      <c r="N27" s="140"/>
    </row>
    <row r="28" spans="2:16" ht="15.95" customHeight="1" x14ac:dyDescent="0.25">
      <c r="B28" s="44"/>
      <c r="C28" s="44" t="s">
        <v>212</v>
      </c>
      <c r="D28" s="44"/>
      <c r="E28" s="44"/>
      <c r="F28" s="313">
        <v>25</v>
      </c>
      <c r="G28" s="147"/>
      <c r="H28" s="147">
        <f>F28/$H$52*100</f>
        <v>0.11363842978963255</v>
      </c>
      <c r="I28" s="147"/>
      <c r="J28" s="313">
        <v>25</v>
      </c>
      <c r="K28" s="147"/>
      <c r="L28" s="147">
        <f>J28/$J$52*100</f>
        <v>0.1</v>
      </c>
      <c r="N28" s="140"/>
    </row>
    <row r="29" spans="2:16" ht="15.95" customHeight="1" x14ac:dyDescent="0.25">
      <c r="B29" s="44"/>
      <c r="C29" s="44" t="s">
        <v>116</v>
      </c>
      <c r="D29" s="44"/>
      <c r="E29" s="44"/>
      <c r="F29" s="148">
        <f>(SUM(F$14:F$28)-F20-F25)*(Inputs!C34/2)</f>
        <v>169.87423559956125</v>
      </c>
      <c r="G29" s="148"/>
      <c r="H29" s="148">
        <f>F29/$H$52*100</f>
        <v>0.77216965580992947</v>
      </c>
      <c r="I29" s="148"/>
      <c r="J29" s="148">
        <f>(SUM(J$14:J$28)-J20-J25)*(Inputs!C34/2)</f>
        <v>177.43664994665946</v>
      </c>
      <c r="K29" s="148"/>
      <c r="L29" s="148">
        <f>J29/$J$52*100</f>
        <v>0.70974659978663779</v>
      </c>
      <c r="N29" s="140"/>
    </row>
    <row r="30" spans="2:16" ht="15.95" customHeight="1" x14ac:dyDescent="0.25">
      <c r="B30" s="44"/>
      <c r="C30" s="92"/>
      <c r="D30" s="124" t="s">
        <v>109</v>
      </c>
      <c r="E30" s="44"/>
      <c r="F30" s="150">
        <f>SUM(F14:F29)</f>
        <v>4963.8490515878611</v>
      </c>
      <c r="G30" s="149"/>
      <c r="H30" s="150">
        <f>SUM(H14:H29)</f>
        <v>22.563360477408054</v>
      </c>
      <c r="I30" s="149"/>
      <c r="J30" s="150">
        <f>SUM(J14:J29)</f>
        <v>5209.0806485242456</v>
      </c>
      <c r="K30" s="149"/>
      <c r="L30" s="150">
        <f>SUM(L14:L29)</f>
        <v>20.836322594096977</v>
      </c>
      <c r="P30" s="315"/>
    </row>
    <row r="31" spans="2:16" ht="15.95" customHeight="1" x14ac:dyDescent="0.25">
      <c r="B31" s="44"/>
      <c r="C31" s="44"/>
      <c r="D31" s="44"/>
      <c r="E31" s="44"/>
      <c r="F31" s="246"/>
      <c r="G31" s="149"/>
      <c r="H31" s="246"/>
      <c r="I31" s="149"/>
      <c r="J31" s="149"/>
      <c r="K31" s="149"/>
      <c r="L31" s="149"/>
    </row>
    <row r="32" spans="2:16" ht="15.95" customHeight="1" x14ac:dyDescent="0.25">
      <c r="B32" s="41" t="s">
        <v>110</v>
      </c>
      <c r="C32" s="66"/>
      <c r="D32" s="66"/>
      <c r="E32" s="66"/>
      <c r="F32" s="106" t="s">
        <v>21</v>
      </c>
      <c r="G32" s="106"/>
      <c r="H32" s="106" t="s">
        <v>145</v>
      </c>
      <c r="I32" s="41"/>
      <c r="J32" s="106" t="s">
        <v>21</v>
      </c>
      <c r="K32" s="106"/>
      <c r="L32" s="106" t="s">
        <v>145</v>
      </c>
    </row>
    <row r="33" spans="2:26" ht="15.95" customHeight="1" x14ac:dyDescent="0.25">
      <c r="B33" s="140"/>
      <c r="C33" s="44" t="s">
        <v>84</v>
      </c>
      <c r="D33" s="44"/>
      <c r="E33" s="44"/>
      <c r="F33" s="313">
        <v>271</v>
      </c>
      <c r="G33" s="149"/>
      <c r="H33" s="147">
        <f>F33/$H$52*100</f>
        <v>1.2318405789196167</v>
      </c>
      <c r="I33" s="149"/>
      <c r="J33" s="313">
        <v>271</v>
      </c>
      <c r="K33" s="149"/>
      <c r="L33" s="147">
        <f>J33/$J$52*100</f>
        <v>1.0840000000000001</v>
      </c>
      <c r="N33" s="140"/>
    </row>
    <row r="34" spans="2:26" ht="15.95" customHeight="1" x14ac:dyDescent="0.25">
      <c r="B34" s="140"/>
      <c r="C34" s="44" t="s">
        <v>85</v>
      </c>
      <c r="D34" s="44"/>
      <c r="E34" s="44"/>
      <c r="F34" s="147">
        <f>N92</f>
        <v>261.10742705570289</v>
      </c>
      <c r="G34" s="147"/>
      <c r="H34" s="147">
        <f>F34/$H$52*100</f>
        <v>1.1868735206808436</v>
      </c>
      <c r="I34" s="147"/>
      <c r="J34" s="147">
        <f>F34</f>
        <v>261.10742705570289</v>
      </c>
      <c r="K34" s="147"/>
      <c r="L34" s="147">
        <f>J34/$J$52*100</f>
        <v>1.0444297082228116</v>
      </c>
      <c r="N34" s="140"/>
    </row>
    <row r="35" spans="2:26" ht="15.95" customHeight="1" x14ac:dyDescent="0.25">
      <c r="B35" s="140"/>
      <c r="C35" s="44" t="s">
        <v>115</v>
      </c>
      <c r="D35" s="44"/>
      <c r="E35" s="44"/>
      <c r="F35" s="147">
        <f>H67*Inputs!C34</f>
        <v>191.25</v>
      </c>
      <c r="G35" s="147"/>
      <c r="H35" s="147">
        <f>F35/$H$52*100</f>
        <v>0.86933398789068894</v>
      </c>
      <c r="I35" s="147"/>
      <c r="J35" s="147">
        <f>F35</f>
        <v>191.25</v>
      </c>
      <c r="K35" s="147"/>
      <c r="L35" s="147">
        <f>J35/$J$52*100</f>
        <v>0.76500000000000001</v>
      </c>
    </row>
    <row r="36" spans="2:26" ht="15.95" customHeight="1" x14ac:dyDescent="0.25">
      <c r="B36" s="140"/>
      <c r="C36" s="44" t="s">
        <v>254</v>
      </c>
      <c r="D36" s="44"/>
      <c r="E36" s="44"/>
      <c r="F36" s="314">
        <v>122</v>
      </c>
      <c r="G36" s="151"/>
      <c r="H36" s="148">
        <f>F36/$H$52*100</f>
        <v>0.5545555373734069</v>
      </c>
      <c r="I36" s="151"/>
      <c r="J36" s="314">
        <v>122</v>
      </c>
      <c r="K36" s="151"/>
      <c r="L36" s="148">
        <f>J36/$J$52*100</f>
        <v>0.48799999999999999</v>
      </c>
      <c r="N36" s="140"/>
    </row>
    <row r="37" spans="2:26" ht="15.95" customHeight="1" x14ac:dyDescent="0.25">
      <c r="B37" s="140"/>
      <c r="C37" s="44"/>
      <c r="D37" s="124" t="s">
        <v>111</v>
      </c>
      <c r="E37" s="44"/>
      <c r="F37" s="150">
        <f>SUM(F33:F36)</f>
        <v>845.35742705570283</v>
      </c>
      <c r="G37" s="149"/>
      <c r="H37" s="150">
        <f>SUM(H33:H36)</f>
        <v>3.8426036248645561</v>
      </c>
      <c r="I37" s="149"/>
      <c r="J37" s="150">
        <f>SUM(J33:J36)</f>
        <v>845.35742705570283</v>
      </c>
      <c r="K37" s="149"/>
      <c r="L37" s="150">
        <f>SUM(L33:L36)</f>
        <v>3.3814297082228117</v>
      </c>
    </row>
    <row r="38" spans="2:26" ht="15.95" customHeight="1" x14ac:dyDescent="0.25">
      <c r="B38" s="140"/>
      <c r="C38" s="44"/>
      <c r="D38" s="44"/>
      <c r="E38" s="44"/>
      <c r="F38" s="149"/>
      <c r="G38" s="246"/>
      <c r="H38" s="149"/>
      <c r="I38" s="246"/>
      <c r="J38" s="149"/>
      <c r="K38" s="246"/>
      <c r="L38" s="246"/>
    </row>
    <row r="39" spans="2:26" ht="15.95" customHeight="1" x14ac:dyDescent="0.25">
      <c r="B39" s="152"/>
      <c r="C39" s="92"/>
      <c r="D39" s="124" t="s">
        <v>112</v>
      </c>
      <c r="E39" s="44"/>
      <c r="F39" s="150">
        <f>F30+F37</f>
        <v>5809.206478643564</v>
      </c>
      <c r="G39" s="246"/>
      <c r="H39" s="150">
        <f>H30+H37</f>
        <v>26.405964102272609</v>
      </c>
      <c r="I39" s="246"/>
      <c r="J39" s="150">
        <f>J30+J37</f>
        <v>6054.4380755799484</v>
      </c>
      <c r="K39" s="246"/>
      <c r="L39" s="150">
        <f>L30+L37</f>
        <v>24.217752302319788</v>
      </c>
      <c r="N39" s="140"/>
    </row>
    <row r="40" spans="2:26" ht="15.95" customHeight="1" x14ac:dyDescent="0.25">
      <c r="B40" s="252"/>
      <c r="C40" s="63"/>
      <c r="D40" s="63"/>
      <c r="E40" s="63"/>
      <c r="F40" s="153"/>
      <c r="G40" s="247"/>
      <c r="H40" s="153"/>
      <c r="I40" s="247"/>
      <c r="J40" s="153"/>
      <c r="K40" s="247"/>
      <c r="L40" s="247"/>
    </row>
    <row r="41" spans="2:26" ht="15.95" customHeight="1" x14ac:dyDescent="0.25">
      <c r="B41" s="317" t="s">
        <v>167</v>
      </c>
      <c r="C41" s="318"/>
      <c r="D41" s="117"/>
      <c r="E41" s="117"/>
      <c r="F41" s="319">
        <f>F11-F30</f>
        <v>766.41594841213737</v>
      </c>
      <c r="G41" s="320"/>
      <c r="H41" s="319">
        <f>H11-H30</f>
        <v>3.4837721977314899</v>
      </c>
      <c r="I41" s="320"/>
      <c r="J41" s="319">
        <f>J11-J30</f>
        <v>1158.7693514757539</v>
      </c>
      <c r="K41" s="320"/>
      <c r="L41" s="319">
        <f>L11-L30</f>
        <v>4.6350774059030257</v>
      </c>
    </row>
    <row r="42" spans="2:26" ht="15.95" customHeight="1" x14ac:dyDescent="0.25">
      <c r="B42" s="251" t="s">
        <v>168</v>
      </c>
      <c r="C42" s="277"/>
      <c r="D42" s="63"/>
      <c r="E42" s="63"/>
      <c r="F42" s="316">
        <f>F11-F39</f>
        <v>-78.941478643565461</v>
      </c>
      <c r="G42" s="88"/>
      <c r="H42" s="316">
        <f>H11-H39</f>
        <v>-0.35883142713306526</v>
      </c>
      <c r="I42" s="88"/>
      <c r="J42" s="316">
        <f>J11-J39</f>
        <v>313.41192442005104</v>
      </c>
      <c r="K42" s="88"/>
      <c r="L42" s="316">
        <f>L11-L39</f>
        <v>1.2536476976802149</v>
      </c>
    </row>
    <row r="43" spans="2:26" ht="15.95" customHeight="1" x14ac:dyDescent="0.25">
      <c r="B43" s="152"/>
      <c r="C43" s="140"/>
      <c r="D43" s="140"/>
      <c r="E43" s="140"/>
      <c r="F43" s="140"/>
      <c r="G43" s="278"/>
      <c r="H43" s="140"/>
      <c r="I43" s="278"/>
      <c r="J43" s="154"/>
      <c r="K43" s="278"/>
      <c r="L43" s="140"/>
    </row>
    <row r="44" spans="2:26" ht="15.95" customHeight="1" x14ac:dyDescent="0.25">
      <c r="B44" s="279"/>
      <c r="C44" s="280"/>
      <c r="D44" s="140"/>
      <c r="E44" s="140"/>
      <c r="F44" s="140"/>
      <c r="G44" s="278"/>
      <c r="H44" s="140"/>
      <c r="I44" s="278"/>
      <c r="J44" s="154"/>
      <c r="K44" s="278"/>
      <c r="L44" s="281"/>
    </row>
    <row r="45" spans="2:26" ht="15.95" customHeight="1" x14ac:dyDescent="0.25">
      <c r="B45" s="282"/>
      <c r="C45" s="140"/>
      <c r="D45" s="140"/>
      <c r="E45" s="140"/>
      <c r="F45" s="140"/>
      <c r="G45" s="278"/>
      <c r="H45" s="335" t="s">
        <v>11</v>
      </c>
      <c r="I45" s="335"/>
      <c r="J45" s="335"/>
      <c r="K45" s="278"/>
      <c r="L45" s="140"/>
      <c r="M45" s="140"/>
      <c r="N45" s="140"/>
      <c r="O45" s="140"/>
      <c r="P45" s="140"/>
      <c r="Q45" s="140"/>
      <c r="R45" s="140"/>
      <c r="S45" s="140"/>
      <c r="T45" s="140"/>
      <c r="U45" s="140"/>
      <c r="V45" s="140"/>
      <c r="W45" s="140"/>
      <c r="X45" s="140"/>
      <c r="Y45" s="140"/>
      <c r="Z45" s="140"/>
    </row>
    <row r="46" spans="2:26" ht="15.95" customHeight="1" x14ac:dyDescent="0.25">
      <c r="B46" s="140"/>
      <c r="C46" s="139"/>
      <c r="D46" s="139"/>
      <c r="E46" s="140"/>
      <c r="F46" s="140"/>
      <c r="G46" s="152"/>
      <c r="H46" s="324">
        <f>H52</f>
        <v>21999.599999999999</v>
      </c>
      <c r="I46" s="140"/>
      <c r="J46" s="324">
        <f>J52</f>
        <v>25000</v>
      </c>
      <c r="K46" s="283"/>
      <c r="L46" s="283"/>
      <c r="M46" s="139"/>
      <c r="N46" s="139"/>
      <c r="O46" s="139"/>
      <c r="P46" s="139"/>
      <c r="Q46" s="140"/>
      <c r="R46" s="140"/>
      <c r="S46" s="140"/>
      <c r="T46" s="139"/>
      <c r="U46" s="139"/>
      <c r="V46" s="140"/>
      <c r="W46" s="140"/>
      <c r="X46" s="140"/>
      <c r="Y46" s="140"/>
      <c r="Z46" s="140"/>
    </row>
    <row r="47" spans="2:26" ht="15.95" customHeight="1" x14ac:dyDescent="0.25">
      <c r="B47" s="257" t="s">
        <v>173</v>
      </c>
      <c r="C47" s="257"/>
      <c r="D47" s="257"/>
      <c r="E47" s="284"/>
      <c r="F47" s="260" t="s">
        <v>120</v>
      </c>
      <c r="G47" s="284"/>
      <c r="H47" s="285" t="s">
        <v>28</v>
      </c>
      <c r="I47" s="284"/>
      <c r="J47" s="285" t="s">
        <v>28</v>
      </c>
      <c r="K47" s="285"/>
      <c r="L47" s="285" t="s">
        <v>28</v>
      </c>
      <c r="M47" s="285" t="s">
        <v>120</v>
      </c>
      <c r="N47" s="155"/>
      <c r="O47" s="139"/>
      <c r="P47" s="139"/>
      <c r="Q47" s="156"/>
      <c r="R47" s="140"/>
      <c r="S47" s="140"/>
      <c r="T47" s="139"/>
      <c r="U47" s="139"/>
      <c r="V47" s="140"/>
      <c r="W47" s="140"/>
      <c r="X47" s="140"/>
      <c r="Y47" s="140"/>
      <c r="Z47" s="140"/>
    </row>
    <row r="48" spans="2:26" ht="15.95" customHeight="1" x14ac:dyDescent="0.25">
      <c r="B48" s="139"/>
      <c r="C48" s="139" t="s">
        <v>130</v>
      </c>
      <c r="D48" s="139"/>
      <c r="E48" s="140"/>
      <c r="F48" s="123" t="s">
        <v>195</v>
      </c>
      <c r="G48" s="140"/>
      <c r="H48" s="15">
        <v>72</v>
      </c>
      <c r="I48" s="140"/>
      <c r="J48" s="15">
        <v>78.545699999999997</v>
      </c>
      <c r="K48" s="140"/>
      <c r="L48" s="140"/>
      <c r="M48" s="139"/>
      <c r="N48" s="210"/>
      <c r="O48" s="139"/>
      <c r="P48" s="139"/>
      <c r="Q48" s="157"/>
      <c r="R48" s="140"/>
      <c r="S48" s="158"/>
      <c r="T48" s="139"/>
      <c r="U48" s="139"/>
      <c r="V48" s="140"/>
      <c r="W48" s="140"/>
      <c r="X48" s="140"/>
      <c r="Y48" s="140"/>
      <c r="Z48" s="140"/>
    </row>
    <row r="49" spans="2:26" ht="15.95" customHeight="1" x14ac:dyDescent="0.25">
      <c r="B49" s="139"/>
      <c r="C49" s="139" t="s">
        <v>131</v>
      </c>
      <c r="D49" s="139"/>
      <c r="E49" s="140"/>
      <c r="F49" s="123" t="s">
        <v>199</v>
      </c>
      <c r="G49" s="140"/>
      <c r="H49" s="16">
        <v>315</v>
      </c>
      <c r="I49" s="140"/>
      <c r="J49" s="16">
        <v>315</v>
      </c>
      <c r="K49" s="140"/>
      <c r="L49" s="140"/>
      <c r="M49" s="139"/>
      <c r="N49" s="210"/>
      <c r="O49" s="139"/>
      <c r="P49" s="139"/>
      <c r="Q49" s="139"/>
      <c r="R49" s="140"/>
      <c r="S49" s="139"/>
      <c r="T49" s="139"/>
      <c r="U49" s="139"/>
      <c r="V49" s="140"/>
      <c r="W49" s="140"/>
      <c r="X49" s="140"/>
      <c r="Y49" s="140"/>
      <c r="Z49" s="140"/>
    </row>
    <row r="50" spans="2:26" ht="15.95" customHeight="1" x14ac:dyDescent="0.25">
      <c r="B50" s="139"/>
      <c r="C50" s="139" t="s">
        <v>132</v>
      </c>
      <c r="D50" s="139"/>
      <c r="E50" s="140"/>
      <c r="F50" s="123" t="s">
        <v>195</v>
      </c>
      <c r="G50" s="140"/>
      <c r="H50" s="158">
        <f>H48*H49</f>
        <v>22680</v>
      </c>
      <c r="I50" s="142"/>
      <c r="J50" s="158">
        <f>J48*J49</f>
        <v>24741.895499999999</v>
      </c>
      <c r="K50" s="140"/>
      <c r="L50" s="140"/>
      <c r="M50" s="139"/>
      <c r="N50" s="210"/>
      <c r="O50" s="139"/>
      <c r="P50" s="140"/>
      <c r="Q50" s="160"/>
      <c r="R50" s="140"/>
      <c r="S50" s="161"/>
      <c r="T50" s="139"/>
      <c r="U50" s="139"/>
      <c r="V50" s="140"/>
      <c r="W50" s="140"/>
      <c r="X50" s="140"/>
      <c r="Y50" s="140"/>
      <c r="Z50" s="140"/>
    </row>
    <row r="51" spans="2:26" ht="15.95" customHeight="1" x14ac:dyDescent="0.25">
      <c r="B51" s="139"/>
      <c r="C51" s="139" t="s">
        <v>146</v>
      </c>
      <c r="D51" s="139"/>
      <c r="E51" s="140"/>
      <c r="F51" s="123" t="s">
        <v>177</v>
      </c>
      <c r="G51" s="140"/>
      <c r="H51" s="13">
        <v>0.97</v>
      </c>
      <c r="I51" s="140"/>
      <c r="J51" s="13">
        <v>0.97</v>
      </c>
      <c r="K51" s="140"/>
      <c r="L51" s="140"/>
      <c r="M51" s="139"/>
      <c r="N51" s="210"/>
      <c r="O51" s="139"/>
      <c r="P51" s="140"/>
      <c r="Q51" s="162"/>
      <c r="R51" s="140"/>
      <c r="S51" s="162"/>
      <c r="T51" s="139"/>
      <c r="U51" s="139"/>
      <c r="V51" s="140"/>
      <c r="W51" s="140"/>
      <c r="X51" s="140"/>
      <c r="Y51" s="140"/>
      <c r="Z51" s="140"/>
    </row>
    <row r="52" spans="2:26" ht="15.95" customHeight="1" x14ac:dyDescent="0.25">
      <c r="B52" s="139"/>
      <c r="C52" s="139" t="s">
        <v>132</v>
      </c>
      <c r="D52" s="139"/>
      <c r="E52" s="140"/>
      <c r="F52" s="123" t="s">
        <v>178</v>
      </c>
      <c r="G52" s="140"/>
      <c r="H52" s="158">
        <f>H50*H51</f>
        <v>21999.599999999999</v>
      </c>
      <c r="I52" s="142"/>
      <c r="J52" s="158">
        <v>25000</v>
      </c>
      <c r="K52" s="140"/>
      <c r="L52" s="140"/>
      <c r="M52" s="139"/>
      <c r="N52" s="210"/>
      <c r="O52" s="139"/>
      <c r="P52" s="140"/>
      <c r="Q52" s="159"/>
      <c r="R52" s="140"/>
      <c r="S52" s="159"/>
      <c r="T52" s="139"/>
      <c r="U52" s="139"/>
      <c r="V52" s="140"/>
      <c r="W52" s="140"/>
      <c r="X52" s="140"/>
      <c r="Y52" s="140"/>
      <c r="Z52" s="140"/>
    </row>
    <row r="53" spans="2:26" ht="15.95" customHeight="1" x14ac:dyDescent="0.25">
      <c r="B53" s="139"/>
      <c r="C53" s="139" t="s">
        <v>133</v>
      </c>
      <c r="D53" s="139"/>
      <c r="E53" s="140"/>
      <c r="F53" s="123" t="s">
        <v>178</v>
      </c>
      <c r="G53" s="140"/>
      <c r="H53" s="158">
        <f>H52*$H70</f>
        <v>2859948</v>
      </c>
      <c r="I53" s="142"/>
      <c r="J53" s="158">
        <f>J52*H70</f>
        <v>3250000</v>
      </c>
      <c r="K53" s="140"/>
      <c r="L53" s="140"/>
      <c r="M53" s="139"/>
      <c r="N53" s="210"/>
      <c r="O53" s="139"/>
      <c r="P53" s="140"/>
      <c r="Q53" s="143"/>
      <c r="R53" s="140"/>
      <c r="S53" s="143"/>
      <c r="T53" s="139"/>
      <c r="U53" s="139"/>
      <c r="V53" s="140"/>
      <c r="W53" s="140"/>
      <c r="X53" s="140"/>
      <c r="Y53" s="140"/>
      <c r="Z53" s="140"/>
    </row>
    <row r="54" spans="2:26" ht="15.95" customHeight="1" x14ac:dyDescent="0.25">
      <c r="B54" s="139"/>
      <c r="C54" s="139" t="s">
        <v>134</v>
      </c>
      <c r="D54" s="139"/>
      <c r="E54" s="140"/>
      <c r="F54" s="123" t="s">
        <v>178</v>
      </c>
      <c r="G54" s="140"/>
      <c r="H54" s="158">
        <f>H53/12</f>
        <v>238329</v>
      </c>
      <c r="I54" s="142"/>
      <c r="J54" s="158">
        <f>J53/12</f>
        <v>270833.33333333331</v>
      </c>
      <c r="K54" s="140"/>
      <c r="L54" s="140"/>
      <c r="M54" s="139"/>
      <c r="N54" s="210"/>
      <c r="O54" s="139"/>
      <c r="P54" s="140"/>
      <c r="Q54" s="159"/>
      <c r="R54" s="140"/>
      <c r="S54" s="159"/>
      <c r="T54" s="139"/>
      <c r="U54" s="139"/>
      <c r="V54" s="140"/>
      <c r="W54" s="140"/>
      <c r="X54" s="140"/>
      <c r="Y54" s="140"/>
      <c r="Z54" s="140"/>
    </row>
    <row r="55" spans="2:26" ht="15.95" customHeight="1" x14ac:dyDescent="0.25">
      <c r="B55" s="139"/>
      <c r="C55" s="139" t="s">
        <v>135</v>
      </c>
      <c r="D55" s="139"/>
      <c r="E55" s="140"/>
      <c r="F55" s="286" t="s">
        <v>179</v>
      </c>
      <c r="G55" s="140"/>
      <c r="H55" s="141">
        <f>Inputs!C24</f>
        <v>21.25</v>
      </c>
      <c r="I55" s="141"/>
      <c r="J55" s="141">
        <f>Inputs!C24</f>
        <v>21.25</v>
      </c>
      <c r="K55" s="140"/>
      <c r="L55" s="140"/>
      <c r="M55" s="139"/>
      <c r="N55" s="210"/>
      <c r="O55" s="139"/>
      <c r="P55" s="140"/>
      <c r="Q55" s="140"/>
      <c r="R55" s="140"/>
      <c r="S55" s="140"/>
      <c r="T55" s="139"/>
      <c r="U55" s="139"/>
      <c r="V55" s="140"/>
      <c r="W55" s="140"/>
      <c r="X55" s="140"/>
      <c r="Y55" s="140"/>
      <c r="Z55" s="140"/>
    </row>
    <row r="56" spans="2:26" ht="15.95" customHeight="1" x14ac:dyDescent="0.25">
      <c r="B56" s="139"/>
      <c r="C56" s="139" t="s">
        <v>79</v>
      </c>
      <c r="D56" s="139"/>
      <c r="E56" s="140"/>
      <c r="F56" s="286" t="s">
        <v>179</v>
      </c>
      <c r="G56" s="140"/>
      <c r="H56" s="33">
        <v>0</v>
      </c>
      <c r="I56" s="141" t="s">
        <v>114</v>
      </c>
      <c r="J56" s="33">
        <v>0</v>
      </c>
      <c r="K56" s="140"/>
      <c r="L56" s="140"/>
      <c r="M56" s="139"/>
      <c r="N56" s="210"/>
      <c r="O56" s="139"/>
      <c r="P56" s="140"/>
      <c r="Q56" s="159"/>
      <c r="R56" s="140"/>
      <c r="S56" s="159"/>
      <c r="T56" s="139"/>
      <c r="U56" s="139"/>
      <c r="V56" s="140"/>
      <c r="W56" s="140"/>
      <c r="X56" s="140"/>
      <c r="Y56" s="140"/>
      <c r="Z56" s="140"/>
    </row>
    <row r="57" spans="2:26" ht="15.95" customHeight="1" x14ac:dyDescent="0.25">
      <c r="B57" s="139"/>
      <c r="C57" s="139" t="s">
        <v>136</v>
      </c>
      <c r="D57" s="139"/>
      <c r="E57" s="140"/>
      <c r="F57" s="286" t="s">
        <v>179</v>
      </c>
      <c r="G57" s="140"/>
      <c r="H57" s="33">
        <v>0</v>
      </c>
      <c r="I57" s="141" t="s">
        <v>114</v>
      </c>
      <c r="J57" s="33">
        <v>0</v>
      </c>
      <c r="K57" s="140"/>
      <c r="L57" s="140"/>
      <c r="M57" s="287"/>
      <c r="N57" s="210"/>
      <c r="O57" s="139"/>
      <c r="P57" s="140"/>
      <c r="Q57" s="140"/>
      <c r="R57" s="140"/>
      <c r="S57" s="140"/>
      <c r="T57" s="140"/>
      <c r="U57" s="139"/>
      <c r="V57" s="140"/>
      <c r="W57" s="140"/>
      <c r="X57" s="140"/>
      <c r="Y57" s="140"/>
      <c r="Z57" s="140"/>
    </row>
    <row r="58" spans="2:26" ht="15.95" customHeight="1" x14ac:dyDescent="0.25">
      <c r="B58" s="139"/>
      <c r="C58" s="139" t="s">
        <v>205</v>
      </c>
      <c r="E58" s="140"/>
      <c r="F58" s="123" t="s">
        <v>230</v>
      </c>
      <c r="G58" s="140"/>
      <c r="H58" s="16">
        <v>30</v>
      </c>
      <c r="I58" s="140"/>
      <c r="J58" s="16">
        <v>30</v>
      </c>
      <c r="K58" s="140"/>
      <c r="L58" s="33">
        <v>22.5</v>
      </c>
      <c r="M58" s="286" t="s">
        <v>204</v>
      </c>
      <c r="N58" s="209"/>
      <c r="O58" s="140"/>
      <c r="P58" s="140"/>
      <c r="Q58" s="140"/>
      <c r="R58" s="140"/>
      <c r="S58" s="140"/>
      <c r="T58" s="139"/>
      <c r="U58" s="140"/>
      <c r="V58" s="140"/>
      <c r="W58" s="140"/>
      <c r="X58" s="140"/>
      <c r="Y58" s="140"/>
      <c r="Z58" s="140"/>
    </row>
    <row r="59" spans="2:26" ht="15.95" customHeight="1" x14ac:dyDescent="0.25">
      <c r="B59" s="139"/>
      <c r="C59" s="139" t="s">
        <v>137</v>
      </c>
      <c r="D59" s="140"/>
      <c r="E59" s="140"/>
      <c r="F59" s="286" t="s">
        <v>179</v>
      </c>
      <c r="G59" s="140"/>
      <c r="H59" s="33">
        <v>1.05</v>
      </c>
      <c r="I59" s="141"/>
      <c r="J59" s="33">
        <v>1.05</v>
      </c>
      <c r="M59" s="272"/>
      <c r="N59" s="209"/>
      <c r="O59" s="164"/>
      <c r="P59" s="140"/>
      <c r="Q59" s="160"/>
      <c r="R59" s="140"/>
      <c r="S59" s="160"/>
      <c r="T59" s="139"/>
      <c r="U59" s="139"/>
      <c r="V59" s="140"/>
      <c r="W59" s="140"/>
      <c r="X59" s="140"/>
      <c r="Y59" s="140"/>
      <c r="Z59" s="140"/>
    </row>
    <row r="60" spans="2:26" ht="15.95" customHeight="1" x14ac:dyDescent="0.25">
      <c r="B60" s="139"/>
      <c r="C60" s="139" t="s">
        <v>174</v>
      </c>
      <c r="D60" s="140"/>
      <c r="E60" s="140"/>
      <c r="F60" s="286" t="s">
        <v>179</v>
      </c>
      <c r="G60" s="140"/>
      <c r="H60" s="14">
        <v>0.15</v>
      </c>
      <c r="I60" s="288"/>
      <c r="J60" s="14">
        <f>+H60</f>
        <v>0.15</v>
      </c>
      <c r="M60" s="272"/>
      <c r="N60" s="209"/>
      <c r="O60" s="139"/>
      <c r="P60" s="140"/>
      <c r="Q60" s="160"/>
      <c r="R60" s="140"/>
      <c r="S60" s="160"/>
      <c r="T60" s="139"/>
      <c r="U60" s="139"/>
      <c r="V60" s="140"/>
      <c r="W60" s="140"/>
      <c r="X60" s="140"/>
      <c r="Y60" s="140"/>
      <c r="Z60" s="140"/>
    </row>
    <row r="61" spans="2:26" ht="15.95" customHeight="1" x14ac:dyDescent="0.25">
      <c r="B61" s="139"/>
      <c r="C61" s="139" t="s">
        <v>1</v>
      </c>
      <c r="D61" s="140"/>
      <c r="E61" s="140"/>
      <c r="F61" s="286" t="s">
        <v>177</v>
      </c>
      <c r="G61" s="140"/>
      <c r="H61" s="13">
        <v>3.3000000000000002E-2</v>
      </c>
      <c r="I61" s="140"/>
      <c r="J61" s="13">
        <v>3.3000000000000002E-2</v>
      </c>
      <c r="M61" s="272"/>
      <c r="N61" s="209"/>
      <c r="O61" s="139"/>
      <c r="P61" s="140"/>
      <c r="Q61" s="160"/>
      <c r="R61" s="140"/>
      <c r="S61" s="160"/>
      <c r="T61" s="139"/>
      <c r="U61" s="139"/>
      <c r="V61" s="140"/>
      <c r="W61" s="140"/>
      <c r="X61" s="140"/>
      <c r="Y61" s="140"/>
      <c r="Z61" s="140"/>
    </row>
    <row r="62" spans="2:26" ht="15.95" customHeight="1" x14ac:dyDescent="0.25">
      <c r="B62" s="139"/>
      <c r="C62" s="139" t="s">
        <v>139</v>
      </c>
      <c r="D62" s="140"/>
      <c r="E62" s="140"/>
      <c r="F62" s="123" t="s">
        <v>180</v>
      </c>
      <c r="G62" s="140"/>
      <c r="H62" s="289">
        <f>IF(H68=1,0,H67*H80)</f>
        <v>0</v>
      </c>
      <c r="I62" s="141"/>
      <c r="J62" s="289">
        <f>IF(H68=1,0,H67*H80)</f>
        <v>0</v>
      </c>
      <c r="M62" s="140"/>
      <c r="N62" s="209"/>
      <c r="O62" s="139"/>
      <c r="P62" s="140"/>
      <c r="Q62" s="167"/>
      <c r="R62" s="140"/>
      <c r="S62" s="167"/>
      <c r="T62" s="139"/>
      <c r="U62" s="139"/>
      <c r="V62" s="140"/>
      <c r="W62" s="140"/>
      <c r="X62" s="140"/>
      <c r="Y62" s="140"/>
      <c r="Z62" s="140"/>
    </row>
    <row r="63" spans="2:26" ht="15.95" customHeight="1" x14ac:dyDescent="0.25">
      <c r="B63" s="139"/>
      <c r="C63" s="139" t="s">
        <v>138</v>
      </c>
      <c r="D63" s="140"/>
      <c r="E63" s="140"/>
      <c r="F63" s="123" t="s">
        <v>180</v>
      </c>
      <c r="G63" s="140"/>
      <c r="H63" s="267">
        <f>H67*Inputs!C34</f>
        <v>191.25</v>
      </c>
      <c r="I63" s="141"/>
      <c r="J63" s="267">
        <f>H69*Inputs!C34</f>
        <v>191.25</v>
      </c>
      <c r="M63" s="139"/>
      <c r="N63" s="140"/>
      <c r="O63" s="139"/>
      <c r="P63" s="140"/>
      <c r="Q63" s="167"/>
      <c r="R63" s="140"/>
      <c r="S63" s="167"/>
      <c r="T63" s="139"/>
      <c r="U63" s="139"/>
      <c r="V63" s="140"/>
      <c r="W63" s="140"/>
      <c r="X63" s="140"/>
      <c r="Y63" s="140"/>
      <c r="Z63" s="140"/>
    </row>
    <row r="64" spans="2:26" ht="15.95" customHeight="1" x14ac:dyDescent="0.25">
      <c r="B64" s="139"/>
      <c r="C64" s="139"/>
      <c r="D64" s="140"/>
      <c r="E64" s="143"/>
      <c r="F64" s="290"/>
      <c r="G64" s="290"/>
      <c r="H64" s="290"/>
      <c r="I64" s="290"/>
      <c r="J64" s="290"/>
      <c r="K64" s="139"/>
      <c r="L64" s="139"/>
      <c r="M64" s="139"/>
      <c r="N64" s="139"/>
      <c r="O64" s="139"/>
      <c r="P64" s="139"/>
      <c r="Q64" s="139"/>
      <c r="R64" s="139"/>
      <c r="S64" s="139"/>
      <c r="T64" s="140"/>
      <c r="U64" s="140"/>
      <c r="V64" s="140"/>
      <c r="W64" s="140"/>
      <c r="X64" s="140"/>
      <c r="Y64" s="140"/>
      <c r="Z64" s="140"/>
    </row>
    <row r="65" spans="2:26" ht="15.95" customHeight="1" x14ac:dyDescent="0.25">
      <c r="B65" s="257" t="s">
        <v>175</v>
      </c>
      <c r="C65" s="284"/>
      <c r="D65" s="257"/>
      <c r="E65" s="291"/>
      <c r="F65" s="260" t="s">
        <v>120</v>
      </c>
      <c r="G65" s="284"/>
      <c r="H65" s="258" t="s">
        <v>28</v>
      </c>
      <c r="I65" s="140"/>
      <c r="J65" s="209"/>
      <c r="K65" s="139"/>
      <c r="L65" s="139"/>
      <c r="M65" s="139"/>
      <c r="N65" s="139"/>
      <c r="O65" s="139"/>
      <c r="P65" s="139"/>
      <c r="Q65" s="139"/>
      <c r="R65" s="139"/>
      <c r="S65" s="139"/>
      <c r="T65" s="140"/>
      <c r="U65" s="140"/>
      <c r="V65" s="140"/>
      <c r="W65" s="140"/>
      <c r="X65" s="140"/>
      <c r="Y65" s="140"/>
      <c r="Z65" s="140"/>
    </row>
    <row r="66" spans="2:26" ht="15.95" customHeight="1" x14ac:dyDescent="0.25">
      <c r="B66" s="139"/>
      <c r="C66" s="139" t="s">
        <v>2</v>
      </c>
      <c r="D66" s="139"/>
      <c r="E66" s="140"/>
      <c r="F66" s="123" t="s">
        <v>180</v>
      </c>
      <c r="G66" s="140"/>
      <c r="H66" s="163">
        <f>H67</f>
        <v>2550</v>
      </c>
      <c r="I66" s="140"/>
      <c r="J66" s="209"/>
      <c r="K66" s="140"/>
      <c r="L66" s="140"/>
      <c r="M66" s="140"/>
      <c r="N66" s="139"/>
      <c r="O66" s="139"/>
      <c r="P66" s="140"/>
      <c r="Q66" s="167"/>
      <c r="R66" s="165"/>
      <c r="S66" s="167"/>
      <c r="T66" s="140"/>
      <c r="U66" s="139"/>
      <c r="V66" s="139"/>
      <c r="W66" s="140"/>
      <c r="X66" s="140"/>
      <c r="Y66" s="140"/>
      <c r="Z66" s="140"/>
    </row>
    <row r="67" spans="2:26" ht="15.95" customHeight="1" x14ac:dyDescent="0.25">
      <c r="B67" s="139"/>
      <c r="C67" s="139" t="s">
        <v>3</v>
      </c>
      <c r="D67" s="139"/>
      <c r="E67" s="140"/>
      <c r="F67" s="123" t="s">
        <v>181</v>
      </c>
      <c r="G67" s="140"/>
      <c r="H67" s="163">
        <f>Heifer!G5</f>
        <v>2550</v>
      </c>
      <c r="I67" s="140"/>
      <c r="J67" s="209"/>
      <c r="K67" s="140"/>
      <c r="L67" s="140"/>
      <c r="M67" s="140"/>
      <c r="N67" s="140"/>
      <c r="O67" s="139"/>
      <c r="P67" s="140"/>
      <c r="Q67" s="166"/>
      <c r="R67" s="168"/>
      <c r="S67" s="166"/>
      <c r="T67" s="140"/>
      <c r="U67" s="140"/>
      <c r="V67" s="140"/>
      <c r="W67" s="140"/>
      <c r="X67" s="140"/>
      <c r="Y67" s="140"/>
      <c r="Z67" s="140"/>
    </row>
    <row r="68" spans="2:26" ht="15.95" customHeight="1" x14ac:dyDescent="0.25">
      <c r="B68" s="139"/>
      <c r="C68" s="139" t="s">
        <v>24</v>
      </c>
      <c r="D68" s="139"/>
      <c r="E68" s="140"/>
      <c r="F68" s="140"/>
      <c r="G68" s="140"/>
      <c r="H68" s="16">
        <v>1</v>
      </c>
      <c r="I68" s="140"/>
      <c r="J68" s="209"/>
      <c r="K68" s="140"/>
      <c r="L68" s="140"/>
      <c r="M68" s="140"/>
      <c r="N68" s="140"/>
      <c r="O68" s="139"/>
      <c r="P68" s="140"/>
      <c r="Q68" s="139"/>
      <c r="R68" s="162"/>
      <c r="S68" s="140"/>
      <c r="T68" s="140"/>
      <c r="U68" s="140"/>
      <c r="V68" s="140"/>
      <c r="W68" s="140"/>
      <c r="X68" s="140"/>
      <c r="Y68" s="140"/>
      <c r="Z68" s="140"/>
    </row>
    <row r="69" spans="2:26" ht="15.95" customHeight="1" x14ac:dyDescent="0.25">
      <c r="B69" s="139"/>
      <c r="C69" s="139" t="s">
        <v>4</v>
      </c>
      <c r="D69" s="139"/>
      <c r="E69" s="140"/>
      <c r="F69" s="140"/>
      <c r="G69" s="140"/>
      <c r="H69" s="163">
        <f>H66*(1-H75)+H67*H75</f>
        <v>2550</v>
      </c>
      <c r="I69" s="140"/>
      <c r="J69" s="209"/>
      <c r="K69" s="140"/>
      <c r="L69" s="140"/>
      <c r="M69" s="140"/>
      <c r="N69" s="140"/>
      <c r="O69" s="139"/>
      <c r="P69" s="140"/>
      <c r="Q69" s="140"/>
      <c r="R69" s="140"/>
      <c r="S69" s="140"/>
      <c r="T69" s="140"/>
      <c r="U69" s="140"/>
      <c r="V69" s="140"/>
      <c r="W69" s="140"/>
      <c r="X69" s="140"/>
      <c r="Y69" s="140"/>
      <c r="Z69" s="140"/>
    </row>
    <row r="70" spans="2:26" ht="15.95" customHeight="1" x14ac:dyDescent="0.25">
      <c r="B70" s="139"/>
      <c r="C70" s="139" t="s">
        <v>18</v>
      </c>
      <c r="D70" s="139"/>
      <c r="E70" s="140"/>
      <c r="F70" s="123" t="s">
        <v>77</v>
      </c>
      <c r="G70" s="140"/>
      <c r="H70" s="12">
        <v>130</v>
      </c>
      <c r="I70" s="140"/>
      <c r="J70" s="292"/>
      <c r="K70" s="140"/>
      <c r="L70" s="140"/>
      <c r="M70" s="140"/>
      <c r="N70" s="139"/>
      <c r="O70" s="139"/>
      <c r="P70" s="140"/>
      <c r="Q70" s="140"/>
      <c r="R70" s="162"/>
      <c r="S70" s="169"/>
      <c r="T70" s="140"/>
      <c r="U70" s="139"/>
      <c r="V70" s="139"/>
      <c r="W70" s="140"/>
      <c r="X70" s="140"/>
      <c r="Y70" s="140"/>
      <c r="Z70" s="140"/>
    </row>
    <row r="71" spans="2:26" ht="15.95" customHeight="1" x14ac:dyDescent="0.25">
      <c r="B71" s="139"/>
      <c r="C71" s="139" t="s">
        <v>75</v>
      </c>
      <c r="D71" s="140"/>
      <c r="E71" s="140"/>
      <c r="F71" s="123" t="s">
        <v>177</v>
      </c>
      <c r="G71" s="140"/>
      <c r="H71" s="13">
        <v>0.16</v>
      </c>
      <c r="I71" s="140"/>
      <c r="J71" s="292"/>
      <c r="K71" s="140"/>
      <c r="L71" s="140"/>
      <c r="M71" s="140"/>
      <c r="N71" s="139"/>
      <c r="O71" s="139"/>
      <c r="P71" s="140"/>
      <c r="Q71" s="140"/>
      <c r="R71" s="162"/>
      <c r="S71" s="169"/>
      <c r="T71" s="140"/>
      <c r="U71" s="139"/>
      <c r="V71" s="139"/>
      <c r="W71" s="140"/>
      <c r="X71" s="140"/>
      <c r="Y71" s="140"/>
      <c r="Z71" s="140"/>
    </row>
    <row r="72" spans="2:26" ht="15.95" customHeight="1" x14ac:dyDescent="0.25">
      <c r="B72" s="139"/>
      <c r="C72" s="139" t="s">
        <v>20</v>
      </c>
      <c r="D72" s="139"/>
      <c r="E72" s="140"/>
      <c r="F72" s="123" t="s">
        <v>77</v>
      </c>
      <c r="G72" s="140"/>
      <c r="H72" s="140">
        <f>+H70+(H71*H70)</f>
        <v>150.80000000000001</v>
      </c>
      <c r="I72" s="140"/>
      <c r="J72" s="293">
        <f>H72/H70</f>
        <v>1.1600000000000001</v>
      </c>
      <c r="K72" s="294"/>
      <c r="L72" s="294"/>
      <c r="M72" s="140"/>
      <c r="N72" s="139"/>
      <c r="O72" s="139"/>
      <c r="P72" s="140"/>
      <c r="Q72" s="140"/>
      <c r="R72" s="140"/>
      <c r="S72" s="142"/>
      <c r="T72" s="140"/>
      <c r="U72" s="139"/>
      <c r="V72" s="139"/>
      <c r="W72" s="140"/>
      <c r="X72" s="140"/>
      <c r="Y72" s="140"/>
      <c r="Z72" s="140"/>
    </row>
    <row r="73" spans="2:26" ht="15.95" customHeight="1" x14ac:dyDescent="0.25">
      <c r="B73" s="139"/>
      <c r="C73" s="139" t="s">
        <v>23</v>
      </c>
      <c r="D73" s="139"/>
      <c r="E73" s="140"/>
      <c r="F73" s="45" t="s">
        <v>177</v>
      </c>
      <c r="H73" s="13">
        <v>0.95</v>
      </c>
      <c r="I73" s="140"/>
      <c r="J73" s="293">
        <f>IF(H68=1,H73/2,H73)</f>
        <v>0.47499999999999998</v>
      </c>
      <c r="K73" s="294"/>
      <c r="L73" s="295">
        <f>IF(H68=1,H73/2-H80,H73)</f>
        <v>0.14499999999999996</v>
      </c>
      <c r="M73" s="140"/>
      <c r="N73" s="139"/>
      <c r="O73" s="139"/>
      <c r="P73" s="140"/>
      <c r="Q73" s="140"/>
      <c r="R73" s="140"/>
      <c r="S73" s="140"/>
      <c r="T73" s="140"/>
      <c r="U73" s="139"/>
      <c r="V73" s="139"/>
      <c r="W73" s="140"/>
      <c r="X73" s="140"/>
      <c r="Y73" s="140"/>
      <c r="Z73" s="140"/>
    </row>
    <row r="74" spans="2:26" ht="15.95" customHeight="1" x14ac:dyDescent="0.25">
      <c r="B74" s="140"/>
      <c r="C74" s="139" t="s">
        <v>27</v>
      </c>
      <c r="D74" s="296"/>
      <c r="E74" s="140"/>
      <c r="F74" s="140"/>
      <c r="G74" s="140"/>
      <c r="H74" s="170"/>
      <c r="I74" s="140"/>
      <c r="J74" s="209"/>
      <c r="K74" s="140"/>
      <c r="L74" s="140"/>
      <c r="M74" s="140"/>
      <c r="N74" s="139"/>
      <c r="O74" s="139"/>
      <c r="P74" s="140"/>
      <c r="Q74" s="140"/>
      <c r="R74" s="170"/>
      <c r="S74" s="140"/>
      <c r="T74" s="139"/>
      <c r="U74" s="139"/>
      <c r="V74" s="139"/>
      <c r="W74" s="140"/>
      <c r="X74" s="140"/>
      <c r="Y74" s="140"/>
      <c r="Z74" s="140"/>
    </row>
    <row r="75" spans="2:26" ht="15.95" customHeight="1" x14ac:dyDescent="0.25">
      <c r="B75" s="139"/>
      <c r="C75" s="139" t="s">
        <v>141</v>
      </c>
      <c r="D75" s="140"/>
      <c r="E75" s="140"/>
      <c r="F75" s="45" t="s">
        <v>177</v>
      </c>
      <c r="G75" s="140"/>
      <c r="H75" s="13">
        <v>0.06</v>
      </c>
      <c r="I75" s="140"/>
      <c r="J75" s="209"/>
      <c r="K75" s="140"/>
      <c r="L75" s="140"/>
      <c r="M75" s="140"/>
      <c r="N75" s="139"/>
      <c r="O75" s="139"/>
      <c r="P75" s="140"/>
      <c r="Q75" s="140"/>
      <c r="R75" s="143"/>
      <c r="S75" s="140"/>
      <c r="T75" s="139"/>
      <c r="U75" s="139"/>
      <c r="V75" s="139"/>
      <c r="W75" s="140"/>
      <c r="X75" s="140"/>
      <c r="Y75" s="140"/>
      <c r="Z75" s="140"/>
    </row>
    <row r="76" spans="2:26" ht="15.95" customHeight="1" x14ac:dyDescent="0.25">
      <c r="B76" s="139"/>
      <c r="C76" s="139" t="s">
        <v>140</v>
      </c>
      <c r="D76" s="140"/>
      <c r="E76" s="140"/>
      <c r="F76" s="45" t="s">
        <v>177</v>
      </c>
      <c r="G76" s="140"/>
      <c r="H76" s="13">
        <v>0.27</v>
      </c>
      <c r="I76" s="140"/>
      <c r="J76" s="209"/>
      <c r="K76" s="140"/>
      <c r="L76" s="140"/>
      <c r="M76" s="140"/>
      <c r="N76" s="139"/>
      <c r="O76" s="139"/>
      <c r="P76" s="140"/>
      <c r="Q76" s="140"/>
      <c r="R76" s="143"/>
      <c r="S76" s="140"/>
      <c r="T76" s="139"/>
      <c r="U76" s="139"/>
      <c r="V76" s="139"/>
      <c r="W76" s="140"/>
      <c r="X76" s="140"/>
      <c r="Y76" s="140"/>
      <c r="Z76" s="140"/>
    </row>
    <row r="77" spans="2:26" ht="15.95" customHeight="1" x14ac:dyDescent="0.25">
      <c r="B77" s="139"/>
      <c r="C77" s="139" t="s">
        <v>142</v>
      </c>
      <c r="D77" s="140"/>
      <c r="E77" s="140"/>
      <c r="F77" s="123" t="s">
        <v>179</v>
      </c>
      <c r="G77" s="140"/>
      <c r="H77" s="163">
        <f>Inputs!C31</f>
        <v>130</v>
      </c>
      <c r="I77" s="140"/>
      <c r="J77" s="209"/>
      <c r="K77" s="140"/>
      <c r="L77" s="140"/>
      <c r="M77" s="140"/>
      <c r="N77" s="139"/>
      <c r="O77" s="139"/>
      <c r="P77" s="140"/>
      <c r="Q77" s="140"/>
      <c r="R77" s="171"/>
      <c r="S77" s="140"/>
      <c r="T77" s="139"/>
      <c r="U77" s="139"/>
      <c r="V77" s="139"/>
      <c r="W77" s="140"/>
      <c r="X77" s="140"/>
      <c r="Y77" s="140"/>
      <c r="Z77" s="140"/>
    </row>
    <row r="78" spans="2:26" ht="15.95" customHeight="1" x14ac:dyDescent="0.25">
      <c r="B78" s="139"/>
      <c r="C78" s="139" t="s">
        <v>143</v>
      </c>
      <c r="D78" s="140"/>
      <c r="E78" s="140"/>
      <c r="F78" s="123" t="s">
        <v>121</v>
      </c>
      <c r="G78" s="140"/>
      <c r="H78" s="12">
        <v>1450</v>
      </c>
      <c r="I78" s="140"/>
      <c r="J78" s="209"/>
      <c r="K78" s="140"/>
      <c r="L78" s="140"/>
      <c r="M78" s="140"/>
      <c r="N78" s="139"/>
      <c r="O78" s="139"/>
      <c r="P78" s="140"/>
      <c r="Q78" s="140"/>
      <c r="R78" s="172"/>
      <c r="S78" s="140"/>
      <c r="T78" s="139"/>
      <c r="U78" s="139"/>
      <c r="V78" s="139"/>
      <c r="W78" s="140"/>
      <c r="X78" s="140"/>
      <c r="Y78" s="140"/>
      <c r="Z78" s="140"/>
    </row>
    <row r="79" spans="2:26" ht="15.95" customHeight="1" x14ac:dyDescent="0.25">
      <c r="B79" s="139"/>
      <c r="C79" s="139" t="s">
        <v>5</v>
      </c>
      <c r="D79" s="139"/>
      <c r="E79" s="140"/>
      <c r="F79" s="123" t="s">
        <v>181</v>
      </c>
      <c r="G79" s="140"/>
      <c r="H79" s="297">
        <f>H77/100*H78</f>
        <v>1885</v>
      </c>
      <c r="I79" s="140"/>
      <c r="J79" s="209"/>
      <c r="K79" s="140"/>
      <c r="L79" s="140"/>
      <c r="M79" s="140"/>
      <c r="N79" s="139"/>
      <c r="O79" s="139"/>
      <c r="P79" s="140"/>
      <c r="Q79" s="139"/>
      <c r="R79" s="167"/>
      <c r="S79" s="139"/>
      <c r="T79" s="139"/>
      <c r="U79" s="139"/>
      <c r="V79" s="139"/>
      <c r="W79" s="140"/>
      <c r="X79" s="140"/>
      <c r="Y79" s="140"/>
      <c r="Z79" s="140"/>
    </row>
    <row r="80" spans="2:26" ht="15.95" customHeight="1" x14ac:dyDescent="0.25">
      <c r="B80" s="144"/>
      <c r="C80" s="144" t="s">
        <v>144</v>
      </c>
      <c r="D80" s="144"/>
      <c r="E80" s="145"/>
      <c r="F80" s="298" t="s">
        <v>177</v>
      </c>
      <c r="G80" s="145"/>
      <c r="H80" s="299">
        <f>H75+H76</f>
        <v>0.33</v>
      </c>
      <c r="I80" s="140"/>
      <c r="J80" s="209"/>
      <c r="K80" s="140"/>
      <c r="L80" s="140"/>
      <c r="M80" s="140"/>
      <c r="N80" s="139"/>
      <c r="O80" s="139"/>
      <c r="P80" s="140"/>
      <c r="Q80" s="173"/>
      <c r="R80" s="143"/>
      <c r="S80" s="139"/>
      <c r="T80" s="139"/>
      <c r="U80" s="139"/>
      <c r="V80" s="139"/>
      <c r="W80" s="140"/>
      <c r="X80" s="140"/>
      <c r="Y80" s="140"/>
      <c r="Z80" s="140"/>
    </row>
    <row r="81" spans="2:30" ht="15.95" customHeight="1" x14ac:dyDescent="0.25">
      <c r="B81" s="139"/>
      <c r="C81" s="139"/>
      <c r="D81" s="139"/>
      <c r="E81" s="140"/>
      <c r="F81" s="143"/>
      <c r="G81" s="173"/>
      <c r="H81" s="140"/>
      <c r="I81" s="143"/>
      <c r="J81" s="139"/>
      <c r="K81" s="139"/>
      <c r="L81" s="139"/>
      <c r="M81" s="139"/>
      <c r="N81" s="139"/>
      <c r="O81" s="139"/>
      <c r="P81" s="139"/>
      <c r="Q81" s="139"/>
      <c r="R81" s="139"/>
      <c r="S81" s="139"/>
      <c r="T81" s="140"/>
      <c r="U81" s="140"/>
      <c r="V81" s="140"/>
      <c r="W81" s="140"/>
      <c r="X81" s="140"/>
      <c r="Y81" s="140"/>
      <c r="Z81" s="140"/>
    </row>
    <row r="82" spans="2:30" ht="15.95" customHeight="1" x14ac:dyDescent="0.25">
      <c r="B82" s="144" t="str">
        <f>LEFT(J82,42)&amp;FIXED(H70,0,TRUE)&amp;" lactating cows)"</f>
        <v>Land, building and equipment investment (130 lactating cows)</v>
      </c>
      <c r="C82" s="145"/>
      <c r="D82" s="144"/>
      <c r="E82" s="144"/>
      <c r="F82" s="144"/>
      <c r="G82" s="145"/>
      <c r="H82" s="145"/>
      <c r="I82" s="145"/>
      <c r="J82" s="300" t="s">
        <v>176</v>
      </c>
      <c r="K82" s="144"/>
      <c r="L82" s="144"/>
      <c r="M82" s="144"/>
      <c r="N82" s="144"/>
      <c r="O82" s="139"/>
      <c r="P82" s="139"/>
      <c r="Q82" s="139"/>
      <c r="R82" s="139"/>
      <c r="S82" s="139"/>
      <c r="T82" s="140"/>
      <c r="U82" s="140"/>
      <c r="V82" s="140"/>
      <c r="W82" s="140"/>
      <c r="X82" s="140"/>
      <c r="Y82" s="140"/>
      <c r="Z82" s="140"/>
    </row>
    <row r="83" spans="2:30" ht="32.1" customHeight="1" x14ac:dyDescent="0.25">
      <c r="B83" s="74"/>
      <c r="C83" s="301" t="s">
        <v>186</v>
      </c>
      <c r="D83" s="188" t="s">
        <v>120</v>
      </c>
      <c r="E83" s="74"/>
      <c r="F83" s="188"/>
      <c r="G83" s="74"/>
      <c r="H83" s="302"/>
      <c r="I83" s="74"/>
      <c r="J83" s="302" t="s">
        <v>188</v>
      </c>
      <c r="K83" s="303"/>
      <c r="L83" s="302" t="s">
        <v>184</v>
      </c>
      <c r="M83" s="302" t="s">
        <v>185</v>
      </c>
      <c r="N83" s="232" t="s">
        <v>29</v>
      </c>
      <c r="O83" s="208"/>
      <c r="P83" s="208"/>
      <c r="Q83" s="208"/>
      <c r="R83" s="140"/>
      <c r="S83" s="140"/>
      <c r="T83" s="140"/>
      <c r="U83" s="140"/>
      <c r="V83" s="140"/>
    </row>
    <row r="84" spans="2:30" ht="15.95" customHeight="1" x14ac:dyDescent="0.25">
      <c r="B84" s="304"/>
      <c r="C84" s="45" t="s">
        <v>76</v>
      </c>
      <c r="D84" s="174" t="s">
        <v>198</v>
      </c>
      <c r="H84" s="305"/>
      <c r="J84" s="207">
        <v>20000</v>
      </c>
      <c r="K84" s="305"/>
      <c r="L84" s="305">
        <f t="shared" ref="L84:L91" si="2">+J84/H$72</f>
        <v>132.62599469496021</v>
      </c>
      <c r="M84" s="35">
        <v>1</v>
      </c>
      <c r="N84" s="175">
        <f>((L84+L84*M84)/2*Inputs!C33)</f>
        <v>9.2838196286472154</v>
      </c>
      <c r="O84" s="175"/>
      <c r="P84" s="175"/>
      <c r="Q84" s="176"/>
      <c r="R84" s="140"/>
      <c r="S84" s="140"/>
      <c r="T84" s="140"/>
      <c r="U84" s="140"/>
      <c r="V84" s="140"/>
    </row>
    <row r="85" spans="2:30" ht="15.95" customHeight="1" x14ac:dyDescent="0.25">
      <c r="B85" s="139"/>
      <c r="C85" s="177" t="s">
        <v>22</v>
      </c>
      <c r="D85" s="174" t="s">
        <v>216</v>
      </c>
      <c r="F85" s="306"/>
      <c r="H85" s="305"/>
      <c r="J85" s="207">
        <v>375000</v>
      </c>
      <c r="K85" s="305"/>
      <c r="L85" s="305">
        <f t="shared" si="2"/>
        <v>2486.7374005305037</v>
      </c>
      <c r="M85" s="35">
        <v>0</v>
      </c>
      <c r="N85" s="175">
        <f>((L85+L85*M85)/2*Inputs!C33)</f>
        <v>87.035809018567633</v>
      </c>
      <c r="O85" s="175"/>
      <c r="P85" s="175"/>
      <c r="Q85" s="176"/>
      <c r="R85" s="140"/>
      <c r="S85" s="140"/>
      <c r="T85" s="140"/>
      <c r="U85" s="140"/>
      <c r="V85" s="140"/>
    </row>
    <row r="86" spans="2:30" ht="15.95" customHeight="1" x14ac:dyDescent="0.25">
      <c r="B86" s="139"/>
      <c r="C86" s="177" t="s">
        <v>213</v>
      </c>
      <c r="D86" s="174" t="s">
        <v>216</v>
      </c>
      <c r="F86" s="306"/>
      <c r="H86" s="305"/>
      <c r="J86" s="207">
        <v>60000</v>
      </c>
      <c r="K86" s="305"/>
      <c r="L86" s="305">
        <f t="shared" si="2"/>
        <v>397.87798408488061</v>
      </c>
      <c r="M86" s="35">
        <v>0</v>
      </c>
      <c r="N86" s="175">
        <f>((L86+L86*M86)/2*Inputs!C33)</f>
        <v>13.925729442970823</v>
      </c>
      <c r="O86" s="175"/>
      <c r="P86" s="175"/>
      <c r="Q86" s="176"/>
      <c r="R86" s="140"/>
      <c r="S86" s="140"/>
      <c r="T86" s="140"/>
      <c r="U86" s="140"/>
      <c r="V86" s="140"/>
    </row>
    <row r="87" spans="2:30" ht="15.95" customHeight="1" x14ac:dyDescent="0.25">
      <c r="B87" s="139"/>
      <c r="C87" s="177" t="s">
        <v>214</v>
      </c>
      <c r="D87" s="174" t="s">
        <v>216</v>
      </c>
      <c r="F87" s="306"/>
      <c r="H87" s="305"/>
      <c r="J87" s="207">
        <v>450000</v>
      </c>
      <c r="K87" s="305"/>
      <c r="L87" s="305">
        <f t="shared" si="2"/>
        <v>2984.0848806366043</v>
      </c>
      <c r="M87" s="35">
        <v>0</v>
      </c>
      <c r="N87" s="175">
        <f>((L87+L87*M87)/2*Inputs!C33)</f>
        <v>104.44297082228117</v>
      </c>
      <c r="O87" s="175"/>
      <c r="P87" s="175"/>
      <c r="Q87" s="176"/>
      <c r="R87" s="140"/>
      <c r="S87" s="140"/>
      <c r="T87" s="140"/>
      <c r="U87" s="140"/>
      <c r="V87" s="163"/>
    </row>
    <row r="88" spans="2:30" ht="15.95" customHeight="1" x14ac:dyDescent="0.25">
      <c r="B88" s="139"/>
      <c r="C88" s="177" t="s">
        <v>215</v>
      </c>
      <c r="D88" s="174" t="s">
        <v>216</v>
      </c>
      <c r="F88" s="306"/>
      <c r="H88" s="305"/>
      <c r="J88" s="207">
        <v>100000</v>
      </c>
      <c r="K88" s="305"/>
      <c r="L88" s="305">
        <f t="shared" si="2"/>
        <v>663.12997347480098</v>
      </c>
      <c r="M88" s="35">
        <v>0</v>
      </c>
      <c r="N88" s="175">
        <f>((L88+L88*M88)/2*Inputs!C33)</f>
        <v>23.209549071618035</v>
      </c>
      <c r="O88" s="175"/>
      <c r="P88" s="175"/>
      <c r="Q88" s="176"/>
      <c r="R88" s="140"/>
      <c r="S88" s="140"/>
      <c r="T88" s="140"/>
      <c r="U88" s="140"/>
      <c r="V88" s="140"/>
    </row>
    <row r="89" spans="2:30" ht="15.95" customHeight="1" x14ac:dyDescent="0.25">
      <c r="B89" s="139"/>
      <c r="C89" s="233" t="s">
        <v>217</v>
      </c>
      <c r="D89" s="174" t="s">
        <v>216</v>
      </c>
      <c r="J89" s="207">
        <v>0</v>
      </c>
      <c r="L89" s="305">
        <f t="shared" si="2"/>
        <v>0</v>
      </c>
      <c r="M89" s="35">
        <v>0</v>
      </c>
      <c r="N89" s="175">
        <f>((L89+L89*M89)/2*Inputs!C33)</f>
        <v>0</v>
      </c>
      <c r="O89" s="175"/>
      <c r="P89" s="175"/>
      <c r="Q89" s="176"/>
      <c r="R89" s="140"/>
      <c r="S89" s="140"/>
      <c r="T89" s="140"/>
      <c r="U89" s="140"/>
      <c r="V89" s="140"/>
    </row>
    <row r="90" spans="2:30" ht="15.95" customHeight="1" x14ac:dyDescent="0.25">
      <c r="B90" s="139"/>
      <c r="C90" s="177" t="s">
        <v>10</v>
      </c>
      <c r="D90" s="174"/>
      <c r="F90" s="306"/>
      <c r="H90" s="305"/>
      <c r="J90" s="207">
        <v>100000</v>
      </c>
      <c r="K90" s="305"/>
      <c r="L90" s="305">
        <f t="shared" si="2"/>
        <v>663.12997347480098</v>
      </c>
      <c r="M90" s="35">
        <v>0</v>
      </c>
      <c r="N90" s="175">
        <f>((L90+L90*M90)/2*Inputs!C33)</f>
        <v>23.209549071618035</v>
      </c>
      <c r="O90" s="175"/>
      <c r="P90" s="175"/>
      <c r="Q90" s="176"/>
      <c r="S90" s="140"/>
      <c r="T90" s="140"/>
      <c r="U90" s="140"/>
      <c r="V90" s="140"/>
      <c r="W90" s="140"/>
    </row>
    <row r="91" spans="2:30" ht="15.95" customHeight="1" x14ac:dyDescent="0.25">
      <c r="B91" s="139"/>
      <c r="C91" s="34" t="s">
        <v>218</v>
      </c>
      <c r="D91" s="74"/>
      <c r="E91" s="74"/>
      <c r="F91" s="182"/>
      <c r="G91" s="74"/>
      <c r="H91" s="182"/>
      <c r="I91" s="74"/>
      <c r="J91" s="193">
        <v>0</v>
      </c>
      <c r="K91" s="180"/>
      <c r="L91" s="180">
        <f t="shared" si="2"/>
        <v>0</v>
      </c>
      <c r="M91" s="36">
        <v>0</v>
      </c>
      <c r="N91" s="181">
        <f>((L91+L91*M91)/2*Inputs!C33)</f>
        <v>0</v>
      </c>
      <c r="O91" s="175"/>
      <c r="P91" s="175"/>
      <c r="Q91" s="176"/>
      <c r="S91" s="140"/>
      <c r="T91" s="140"/>
      <c r="U91" s="140"/>
      <c r="V91" s="140"/>
      <c r="W91" s="140"/>
    </row>
    <row r="92" spans="2:30" ht="15.95" customHeight="1" x14ac:dyDescent="0.25">
      <c r="B92" s="139"/>
      <c r="C92" s="139"/>
      <c r="D92" s="140"/>
      <c r="E92" s="140"/>
      <c r="F92" s="168"/>
      <c r="G92" s="183"/>
      <c r="H92" s="183"/>
      <c r="I92" s="140"/>
      <c r="J92" s="140"/>
      <c r="K92" s="140"/>
      <c r="L92" s="140"/>
      <c r="M92" s="140"/>
      <c r="N92" s="176">
        <f>SUM(N84:N91)</f>
        <v>261.10742705570289</v>
      </c>
      <c r="O92" s="139"/>
      <c r="P92" s="139"/>
      <c r="Q92" s="140"/>
      <c r="R92" s="140"/>
      <c r="T92" s="140"/>
      <c r="U92" s="140"/>
      <c r="V92" s="140"/>
      <c r="W92" s="140"/>
      <c r="X92" s="140"/>
    </row>
    <row r="93" spans="2:30" ht="15.95" customHeight="1" x14ac:dyDescent="0.25">
      <c r="B93" s="139"/>
      <c r="C93" s="307"/>
      <c r="D93" s="307" t="s">
        <v>189</v>
      </c>
      <c r="E93" s="307"/>
      <c r="F93" s="308"/>
      <c r="G93" s="308"/>
      <c r="H93" s="308"/>
      <c r="I93" s="309"/>
      <c r="J93" s="310">
        <f>SUM(J84:J91)</f>
        <v>1105000</v>
      </c>
      <c r="K93" s="311"/>
      <c r="L93" s="311">
        <f>+J93/H$72</f>
        <v>7327.5862068965507</v>
      </c>
      <c r="N93" s="140"/>
      <c r="O93" s="140"/>
      <c r="P93" s="184"/>
      <c r="Q93" s="184"/>
      <c r="R93" s="184"/>
      <c r="S93" s="184"/>
      <c r="T93" s="140"/>
      <c r="U93" s="140"/>
      <c r="V93" s="140"/>
      <c r="W93" s="140"/>
      <c r="X93" s="140"/>
      <c r="Y93" s="140"/>
    </row>
    <row r="94" spans="2:30" ht="15.95" customHeight="1" x14ac:dyDescent="0.25">
      <c r="D94" s="177" t="s">
        <v>190</v>
      </c>
      <c r="E94" s="177"/>
      <c r="I94" s="306"/>
      <c r="J94" s="312">
        <f>H67*H72</f>
        <v>384540</v>
      </c>
      <c r="K94" s="305"/>
      <c r="L94" s="305">
        <f>+J94/H$72</f>
        <v>2550</v>
      </c>
      <c r="N94" s="140"/>
      <c r="O94" s="140"/>
      <c r="P94" s="140"/>
      <c r="Q94" s="183"/>
      <c r="R94" s="140"/>
      <c r="S94" s="140"/>
      <c r="T94" s="184"/>
      <c r="U94" s="140"/>
      <c r="V94" s="183"/>
      <c r="W94" s="140"/>
      <c r="X94" s="140"/>
      <c r="Y94" s="140"/>
    </row>
    <row r="95" spans="2:30" ht="15.95" customHeight="1" x14ac:dyDescent="0.25">
      <c r="C95" s="74"/>
      <c r="D95" s="74"/>
      <c r="E95" s="74"/>
      <c r="F95" s="74"/>
      <c r="G95" s="74"/>
      <c r="H95" s="188" t="s">
        <v>12</v>
      </c>
      <c r="I95" s="182"/>
      <c r="J95" s="185">
        <f>+J93+J94</f>
        <v>1489540</v>
      </c>
      <c r="K95" s="180"/>
      <c r="L95" s="185">
        <f>+L93+L94</f>
        <v>9877.5862068965507</v>
      </c>
      <c r="N95" s="140"/>
      <c r="O95" s="140"/>
      <c r="P95" s="140"/>
      <c r="Q95" s="183"/>
      <c r="R95" s="140"/>
      <c r="S95" s="140"/>
      <c r="T95" s="183"/>
      <c r="U95" s="183"/>
      <c r="V95" s="183"/>
      <c r="W95" s="186"/>
      <c r="X95" s="183"/>
      <c r="Y95" s="183"/>
      <c r="Z95" s="179"/>
      <c r="AA95" s="179"/>
      <c r="AB95" s="187"/>
      <c r="AC95" s="187"/>
    </row>
    <row r="96" spans="2:30" ht="15.95" hidden="1" customHeight="1" x14ac:dyDescent="0.25">
      <c r="B96" s="177"/>
      <c r="C96" s="139"/>
      <c r="D96" s="140"/>
      <c r="E96" s="140"/>
      <c r="F96" s="168"/>
      <c r="G96" s="189"/>
      <c r="H96" s="183"/>
      <c r="I96" s="183"/>
      <c r="J96" s="190"/>
      <c r="K96" s="183"/>
      <c r="L96" s="183"/>
      <c r="M96" s="183"/>
      <c r="N96" s="183"/>
      <c r="O96" s="191"/>
      <c r="P96" s="183"/>
      <c r="Q96" s="183"/>
      <c r="R96" s="183"/>
      <c r="S96" s="183"/>
      <c r="T96" s="140"/>
      <c r="U96" s="183"/>
      <c r="V96" s="183"/>
      <c r="W96" s="183"/>
      <c r="X96" s="186"/>
      <c r="Y96" s="183"/>
      <c r="Z96" s="183"/>
      <c r="AA96" s="179"/>
      <c r="AB96" s="179"/>
      <c r="AC96" s="187"/>
      <c r="AD96" s="187"/>
    </row>
    <row r="100" spans="2:3" hidden="1" x14ac:dyDescent="0.25">
      <c r="B100" s="146"/>
    </row>
    <row r="104" spans="2:3" hidden="1" x14ac:dyDescent="0.25">
      <c r="B104" s="146"/>
    </row>
    <row r="107" spans="2:3" hidden="1" x14ac:dyDescent="0.25">
      <c r="C107" s="146"/>
    </row>
    <row r="118" spans="2:3" hidden="1" x14ac:dyDescent="0.25">
      <c r="C118" s="146"/>
    </row>
    <row r="121" spans="2:3" hidden="1" x14ac:dyDescent="0.25">
      <c r="B121" s="146"/>
    </row>
    <row r="123" spans="2:3" hidden="1" x14ac:dyDescent="0.25">
      <c r="C123" s="146"/>
    </row>
    <row r="126" spans="2:3" hidden="1" x14ac:dyDescent="0.25">
      <c r="B126" s="146"/>
    </row>
    <row r="128" spans="2:3" hidden="1" x14ac:dyDescent="0.25">
      <c r="B128" s="146"/>
    </row>
    <row r="129" spans="2:6" hidden="1" x14ac:dyDescent="0.25">
      <c r="B129" s="146"/>
    </row>
    <row r="131" spans="2:6" hidden="1" x14ac:dyDescent="0.25">
      <c r="F131" s="192"/>
    </row>
    <row r="147" spans="2:3" hidden="1" x14ac:dyDescent="0.25">
      <c r="B147" s="146"/>
    </row>
    <row r="151" spans="2:3" hidden="1" x14ac:dyDescent="0.25">
      <c r="B151" s="146"/>
    </row>
    <row r="154" spans="2:3" hidden="1" x14ac:dyDescent="0.25">
      <c r="C154" s="146"/>
    </row>
    <row r="165" spans="2:3" hidden="1" x14ac:dyDescent="0.25">
      <c r="C165" s="146"/>
    </row>
    <row r="168" spans="2:3" hidden="1" x14ac:dyDescent="0.25">
      <c r="B168" s="146"/>
    </row>
    <row r="170" spans="2:3" hidden="1" x14ac:dyDescent="0.25">
      <c r="C170" s="146"/>
    </row>
    <row r="173" spans="2:3" hidden="1" x14ac:dyDescent="0.25">
      <c r="B173" s="146"/>
    </row>
    <row r="175" spans="2:3" hidden="1" x14ac:dyDescent="0.25">
      <c r="B175" s="146"/>
    </row>
    <row r="176" spans="2:3" hidden="1" x14ac:dyDescent="0.25">
      <c r="B176" s="146"/>
    </row>
    <row r="178" spans="6:6" hidden="1" x14ac:dyDescent="0.25">
      <c r="F178" s="192"/>
    </row>
  </sheetData>
  <sheetProtection sheet="1" objects="1" scenarios="1"/>
  <mergeCells count="7">
    <mergeCell ref="H45:J45"/>
    <mergeCell ref="B3:L3"/>
    <mergeCell ref="O4:Q4"/>
    <mergeCell ref="R4:T4"/>
    <mergeCell ref="B2:L2"/>
    <mergeCell ref="F4:H4"/>
    <mergeCell ref="J4:L4"/>
  </mergeCells>
  <phoneticPr fontId="63" type="noConversion"/>
  <pageMargins left="0.25" right="0.25" top="0.75" bottom="0.75" header="0.3" footer="0.3"/>
  <pageSetup scale="86" orientation="portrait" r:id="rId1"/>
  <ignoredErrors>
    <ignoredError sqref="H55 J55 J60 L73" unlockedFormula="1"/>
    <ignoredError sqref="H33 H37 F37 H39 F39"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d0c97a-79aa-4cc6-bd7d-1cd468b1e455" xsi:nil="true"/>
    <lcf76f155ced4ddcb4097134ff3c332f xmlns="9f608c11-4ccd-421c-a88d-29e29a7a365f">
      <Terms xmlns="http://schemas.microsoft.com/office/infopath/2007/PartnerControls"/>
    </lcf76f155ced4ddcb4097134ff3c332f>
    <Date xmlns="9f608c11-4ccd-421c-a88d-29e29a7a365f" xsi:nil="true"/>
    <last_x0020_update xmlns="9f608c11-4ccd-421c-a88d-29e29a7a365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995914E1A9804181E196FA66AF5914" ma:contentTypeVersion="22" ma:contentTypeDescription="Create a new document." ma:contentTypeScope="" ma:versionID="49bc3717ac011662a7c70b5c2deb4687">
  <xsd:schema xmlns:xsd="http://www.w3.org/2001/XMLSchema" xmlns:xs="http://www.w3.org/2001/XMLSchema" xmlns:p="http://schemas.microsoft.com/office/2006/metadata/properties" xmlns:ns2="9f608c11-4ccd-421c-a88d-29e29a7a365f" xmlns:ns3="7bd0c97a-79aa-4cc6-bd7d-1cd468b1e455" targetNamespace="http://schemas.microsoft.com/office/2006/metadata/properties" ma:root="true" ma:fieldsID="c18841c0fa0e7a306ce0a97d75ff09cc" ns2:_="" ns3:_="">
    <xsd:import namespace="9f608c11-4ccd-421c-a88d-29e29a7a365f"/>
    <xsd:import namespace="7bd0c97a-79aa-4cc6-bd7d-1cd468b1e45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ast_x0020_update" minOccurs="0"/>
                <xsd:element ref="ns2:MediaServiceLocation" minOccurs="0"/>
                <xsd:element ref="ns2:Dat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08c11-4ccd-421c-a88d-29e29a7a3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ast_x0020_update" ma:index="19" nillable="true" ma:displayName="last update" ma:format="DateOnly" ma:internalName="last_x0020_update">
      <xsd:simpleType>
        <xsd:restriction base="dms:DateTime"/>
      </xsd:simpleType>
    </xsd:element>
    <xsd:element name="MediaServiceLocation" ma:index="20" nillable="true" ma:displayName="Location" ma:internalName="MediaServiceLocation" ma:readOnly="true">
      <xsd:simpleType>
        <xsd:restriction base="dms:Text"/>
      </xsd:simpleType>
    </xsd:element>
    <xsd:element name="Date" ma:index="21" nillable="true" ma:displayName="Date" ma:format="DateOnly" ma:internalName="Date">
      <xsd:simpleType>
        <xsd:restriction base="dms:DateTime"/>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d0c97a-79aa-4cc6-bd7d-1cd468b1e45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b1755391-8c5a-49fe-93a6-be9ca737bd28}" ma:internalName="TaxCatchAll" ma:showField="CatchAllData" ma:web="7bd0c97a-79aa-4cc6-bd7d-1cd468b1e4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8"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F1B931-B9D9-4489-A417-450E0335A22B}">
  <ds:schemaRefs>
    <ds:schemaRef ds:uri="http://schemas.microsoft.com/office/2006/metadata/properties"/>
    <ds:schemaRef ds:uri="http://schemas.microsoft.com/office/infopath/2007/PartnerControls"/>
    <ds:schemaRef ds:uri="68029b82-de8b-4bb8-a3ab-fd0183ed5d77"/>
    <ds:schemaRef ds:uri="efba6830-88fc-4660-8252-66421c0ed606"/>
  </ds:schemaRefs>
</ds:datastoreItem>
</file>

<file path=customXml/itemProps2.xml><?xml version="1.0" encoding="utf-8"?>
<ds:datastoreItem xmlns:ds="http://schemas.openxmlformats.org/officeDocument/2006/customXml" ds:itemID="{23B2FEE7-52EE-483A-9B5C-B203CB0EB6BD}">
  <ds:schemaRefs>
    <ds:schemaRef ds:uri="http://schemas.microsoft.com/sharepoint/v3/contenttype/forms"/>
  </ds:schemaRefs>
</ds:datastoreItem>
</file>

<file path=customXml/itemProps3.xml><?xml version="1.0" encoding="utf-8"?>
<ds:datastoreItem xmlns:ds="http://schemas.openxmlformats.org/officeDocument/2006/customXml" ds:itemID="{9EBE0B50-1039-4A9C-9AB9-8F668316A2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Introduction</vt:lpstr>
      <vt:lpstr>Inputs</vt:lpstr>
      <vt:lpstr>Cow feed</vt:lpstr>
      <vt:lpstr>Heifer feed</vt:lpstr>
      <vt:lpstr>Heifer</vt:lpstr>
      <vt:lpstr>Dairy</vt:lpstr>
      <vt:lpstr>\C</vt:lpstr>
      <vt:lpstr>Dairy!Print_Area</vt:lpstr>
      <vt:lpstr>Heifer!Print_Area</vt:lpstr>
      <vt:lpstr>'Heifer feed'!Print_Area</vt:lpstr>
      <vt:lpstr>Inputs!Print_Area</vt:lpstr>
    </vt:vector>
  </TitlesOfParts>
  <Company>Curators of the University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Dairy Budgets</dc:title>
  <dc:subject>Estimate costs and returns for dairy production and heifer raising in Missouri using this budgeting tool.</dc:subject>
  <dc:creator>Ryan Milhollin, Scott Poock, Stacey Hamilton, Reagan Bluel</dc:creator>
  <dc:description/>
  <cp:lastModifiedBy>Stokes, Victoria</cp:lastModifiedBy>
  <cp:lastPrinted>2025-07-21T14:50:37Z</cp:lastPrinted>
  <dcterms:created xsi:type="dcterms:W3CDTF">1999-09-20T23:17:58Z</dcterms:created>
  <dcterms:modified xsi:type="dcterms:W3CDTF">2026-10-23T01:44:45Z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0x010100BE995914E1A9804181E196FA66AF5914</vt:lpwstr>
  </property>
</Properties>
</file>